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omments2.xml" ContentType="application/vnd.openxmlformats-officedocument.spreadsheetml.comments+xml"/>
  <Override PartName="/xl/customProperty18.bin" ContentType="application/vnd.openxmlformats-officedocument.spreadsheetml.customProperty"/>
  <Override PartName="/xl/drawings/drawing18.xml" ContentType="application/vnd.openxmlformats-officedocument.drawing+xml"/>
  <Override PartName="/xl/comments3.xml" ContentType="application/vnd.openxmlformats-officedocument.spreadsheetml.comments+xml"/>
  <Override PartName="/xl/customProperty19.bin" ContentType="application/vnd.openxmlformats-officedocument.spreadsheetml.customProperty"/>
  <Override PartName="/xl/drawings/drawing19.xml" ContentType="application/vnd.openxmlformats-officedocument.drawing+xml"/>
  <Override PartName="/xl/comments4.xml" ContentType="application/vnd.openxmlformats-officedocument.spreadsheetml.comments+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omments5.xml" ContentType="application/vnd.openxmlformats-officedocument.spreadsheetml.comments+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omments6.xml" ContentType="application/vnd.openxmlformats-officedocument.spreadsheetml.comments+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omments7.xml" ContentType="application/vnd.openxmlformats-officedocument.spreadsheetml.comments+xml"/>
  <Override PartName="/xl/customProperty28.bin" ContentType="application/vnd.openxmlformats-officedocument.spreadsheetml.customProperty"/>
  <Override PartName="/xl/drawings/drawing28.xml" ContentType="application/vnd.openxmlformats-officedocument.drawing+xml"/>
  <Override PartName="/xl/comments8.xml" ContentType="application/vnd.openxmlformats-officedocument.spreadsheetml.comments+xml"/>
  <Override PartName="/xl/customProperty29.bin" ContentType="application/vnd.openxmlformats-officedocument.spreadsheetml.customProperty"/>
  <Override PartName="/xl/drawings/drawing29.xml" ContentType="application/vnd.openxmlformats-officedocument.drawing+xml"/>
  <Override PartName="/xl/comments9.xml" ContentType="application/vnd.openxmlformats-officedocument.spreadsheetml.comments+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ustomProperty32.bin" ContentType="application/vnd.openxmlformats-officedocument.spreadsheetml.customProperty"/>
  <Override PartName="/xl/drawings/drawing32.xml" ContentType="application/vnd.openxmlformats-officedocument.drawing+xml"/>
  <Override PartName="/xl/customProperty33.bin" ContentType="application/vnd.openxmlformats-officedocument.spreadsheetml.customProperty"/>
  <Override PartName="/xl/drawings/drawing33.xml" ContentType="application/vnd.openxmlformats-officedocument.drawing+xml"/>
  <Override PartName="/xl/customProperty34.bin" ContentType="application/vnd.openxmlformats-officedocument.spreadsheetml.customProperty"/>
  <Override PartName="/xl/drawings/drawing34.xml" ContentType="application/vnd.openxmlformats-officedocument.drawing+xml"/>
  <Override PartName="/xl/customProperty35.bin" ContentType="application/vnd.openxmlformats-officedocument.spreadsheetml.customProperty"/>
  <Override PartName="/xl/drawings/drawing35.xml" ContentType="application/vnd.openxmlformats-officedocument.drawing+xml"/>
  <Override PartName="/xl/customProperty36.bin" ContentType="application/vnd.openxmlformats-officedocument.spreadsheetml.customProperty"/>
  <Override PartName="/xl/drawings/drawing36.xml" ContentType="application/vnd.openxmlformats-officedocument.drawing+xml"/>
  <Override PartName="/xl/customProperty37.bin" ContentType="application/vnd.openxmlformats-officedocument.spreadsheetml.customProperty"/>
  <Override PartName="/xl/drawings/drawing37.xml" ContentType="application/vnd.openxmlformats-officedocument.drawing+xml"/>
  <Override PartName="/xl/customProperty38.bin" ContentType="application/vnd.openxmlformats-officedocument.spreadsheetml.customProperty"/>
  <Override PartName="/xl/drawings/drawing38.xml" ContentType="application/vnd.openxmlformats-officedocument.drawing+xml"/>
  <Override PartName="/xl/comments10.xml" ContentType="application/vnd.openxmlformats-officedocument.spreadsheetml.comments+xml"/>
  <Override PartName="/xl/customProperty39.bin" ContentType="application/vnd.openxmlformats-officedocument.spreadsheetml.customProperty"/>
  <Override PartName="/xl/drawings/drawing39.xml" ContentType="application/vnd.openxmlformats-officedocument.drawing+xml"/>
  <Override PartName="/xl/customProperty40.bin" ContentType="application/vnd.openxmlformats-officedocument.spreadsheetml.customProperty"/>
  <Override PartName="/xl/drawings/drawing40.xml" ContentType="application/vnd.openxmlformats-officedocument.drawing+xml"/>
  <Override PartName="/xl/customProperty41.bin" ContentType="application/vnd.openxmlformats-officedocument.spreadsheetml.customProperty"/>
  <Override PartName="/xl/drawings/drawing41.xml" ContentType="application/vnd.openxmlformats-officedocument.drawing+xml"/>
  <Override PartName="/xl/customProperty42.bin" ContentType="application/vnd.openxmlformats-officedocument.spreadsheetml.customProperty"/>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4385" yWindow="165" windowWidth="7200" windowHeight="11355" tabRatio="767" firstSheet="28" activeTab="28"/>
  </bookViews>
  <sheets>
    <sheet name="AER only" sheetId="247" state="veryHidden" r:id="rId1"/>
    <sheet name="Contents" sheetId="137" state="hidden" r:id="rId2"/>
    <sheet name="Instructions" sheetId="86" state="hidden" r:id="rId3"/>
    <sheet name="Business &amp; other details" sheetId="248" state="hidden" r:id="rId4"/>
    <sheet name="1. CPI" sheetId="216" state="hidden" r:id="rId5"/>
    <sheet name="2. Escalators" sheetId="237" state="hidden" r:id="rId6"/>
    <sheet name="3 - Capex summary" sheetId="203" state="hidden" r:id="rId7"/>
    <sheet name="4. Connections market expansn" sheetId="242" state="hidden" r:id="rId8"/>
    <sheet name="5. Mains augmentation" sheetId="205" state="hidden" r:id="rId9"/>
    <sheet name="6. Mains replacement" sheetId="187" state="hidden" r:id="rId10"/>
    <sheet name="7. Telemetry" sheetId="238" state="hidden" r:id="rId11"/>
    <sheet name="8. Meter replacement" sheetId="206" state="hidden" r:id="rId12"/>
    <sheet name="9. Other capex" sheetId="235" state="hidden" r:id="rId13"/>
    <sheet name="12. IT" sheetId="239" state="hidden" r:id="rId14"/>
    <sheet name="14. Overheads" sheetId="210" state="hidden" r:id="rId15"/>
    <sheet name="15. Related party transactions" sheetId="223" state="hidden" r:id="rId16"/>
    <sheet name="16. Capex allocation" sheetId="211" state="hidden" r:id="rId17"/>
    <sheet name="17. Gross Capex " sheetId="201" state="hidden" r:id="rId18"/>
    <sheet name="20. Changes in provisions" sheetId="217" state="hidden" r:id="rId19"/>
    <sheet name="21 - Indicative bill impacts" sheetId="233" state="hidden" r:id="rId20"/>
    <sheet name="22. WACC Inputs" sheetId="94" state="hidden" r:id="rId21"/>
    <sheet name="23.1 Opex incl. RPM" sheetId="218" state="hidden" r:id="rId22"/>
    <sheet name="23.2 Opex excl. RPM" sheetId="243" state="hidden" r:id="rId23"/>
    <sheet name="23.3 Opex base-step-trend" sheetId="249" state="hidden" r:id="rId24"/>
    <sheet name="23.4 Opex incentive mechanism" sheetId="246" state="hidden" r:id="rId25"/>
    <sheet name="24. Cost category matrix" sheetId="220" state="hidden" r:id="rId26"/>
    <sheet name="25. ARS" sheetId="221" state="hidden" r:id="rId27"/>
    <sheet name="26. Allocation of total revenue" sheetId="245" state="hidden" r:id="rId28"/>
    <sheet name="27. Customer numbers" sheetId="190" r:id="rId29"/>
    <sheet name="28. Consumption and demand" sheetId="191" r:id="rId30"/>
    <sheet name="29.1 Gas extenstions ($)" sheetId="234" state="hidden" r:id="rId31"/>
    <sheet name="29.2.1 Gas extenstions cust no" sheetId="230" state="hidden" r:id="rId32"/>
    <sheet name="29.3.1 Gas extensions - demand" sheetId="231" state="hidden" r:id="rId33"/>
    <sheet name="29.2.2 Gas extenstions cust no" sheetId="250" state="hidden" r:id="rId34"/>
    <sheet name="29.3.2 Gas extensions - demand" sheetId="251" state="hidden" r:id="rId35"/>
    <sheet name="29.2.3 Gas extenstions cust no" sheetId="252" state="hidden" r:id="rId36"/>
    <sheet name="29.3.3 Gas extensions - demand" sheetId="253" state="hidden" r:id="rId37"/>
    <sheet name="29.2.4 Gas extenstions cust no" sheetId="254" state="hidden" r:id="rId38"/>
    <sheet name="29.3.4 Gas extensions - demand" sheetId="255" state="hidden" r:id="rId39"/>
    <sheet name="29.4 Gas extensions - tariffs" sheetId="232" state="hidden" r:id="rId40"/>
    <sheet name="30. Network characteristics" sheetId="222" state="hidden" r:id="rId41"/>
    <sheet name="31 - Pass throughs" sheetId="224" state="hidden" r:id="rId42"/>
  </sheets>
  <externalReferences>
    <externalReference r:id="rId43"/>
    <externalReference r:id="rId44"/>
  </externalReferences>
  <definedNames>
    <definedName name="___INDEX_SHEET___ASAP_Utilities" localSheetId="23">#REF!</definedName>
    <definedName name="___INDEX_SHEET___ASAP_Utilities">#REF!</definedName>
    <definedName name="_xlnm._FilterDatabase" localSheetId="14" hidden="1">'14. Overheads'!$B$1:$B$86</definedName>
    <definedName name="_xlnm._FilterDatabase" localSheetId="5" hidden="1">'2. Escalators'!$C$1:$C$59</definedName>
    <definedName name="_xlnm._FilterDatabase" localSheetId="7" hidden="1">'4. Connections market expansn'!$B$1:$B$271</definedName>
    <definedName name="_xlnm._FilterDatabase" localSheetId="9" hidden="1">'6. Mains replacement'!$F$1:$F$158</definedName>
    <definedName name="_xlnm._FilterDatabase" localSheetId="10" hidden="1">'7. Telemetry'!$F$1:$F$152</definedName>
    <definedName name="_xlnm._FilterDatabase" localSheetId="11" hidden="1">'8. Meter replacement'!$C$1:$C$339</definedName>
    <definedName name="_xlnm._FilterDatabase" localSheetId="12" hidden="1">'9. Other capex'!$F$1:$F$101</definedName>
    <definedName name="_xlnm._FilterDatabase" localSheetId="0" hidden="1">'AER only'!$B$7:$AA$42</definedName>
    <definedName name="_xlnm._FilterDatabase" localSheetId="3" hidden="1">'[1]AER only'!$G$1:$G$71</definedName>
    <definedName name="anscount" hidden="1">1</definedName>
    <definedName name="CRCP">'Business &amp; other details'!$C$38:$G$38</definedName>
    <definedName name="CRCP_span" localSheetId="23">CONCATENATE('23.3 Opex base-step-trend'!CRCP_y1, " to ",'23.3 Opex base-step-trend'!CRCP_y5)</definedName>
    <definedName name="CRCP_span" localSheetId="24">CONCATENATE([0]!CRCP_y1, " to ",[0]!CRCP_y5)</definedName>
    <definedName name="CRCP_span" comment="Generic cover sheet" localSheetId="0">CONCATENATE(CRCP_y1, " to ",CRCP_y5)</definedName>
    <definedName name="CRCP_span" comment="Generic cover sheet" localSheetId="3">CONCATENATE(CRCP_y1, " to ",CRCP_y5)</definedName>
    <definedName name="CRCP_span">CONCATENATE([0]!CRCP_y1, " to ",[0]!CRCP_y5)</definedName>
    <definedName name="CRCP_y1" localSheetId="23">'[2]Business &amp; other details'!$C$38</definedName>
    <definedName name="CRCP_y1">'Business &amp; other details'!$C$38</definedName>
    <definedName name="CRCP_y10">'Business &amp; other details'!$L$38</definedName>
    <definedName name="CRCP_y2" localSheetId="23">'[2]Business &amp; other details'!$D$38</definedName>
    <definedName name="CRCP_y2">'Business &amp; other details'!$D$38</definedName>
    <definedName name="CRCP_y3" localSheetId="23">'[2]Business &amp; other details'!$E$38</definedName>
    <definedName name="CRCP_y3">'Business &amp; other details'!$E$38</definedName>
    <definedName name="CRCP_y4" localSheetId="23">'[2]Business &amp; other details'!$F$38</definedName>
    <definedName name="CRCP_y4">'Business &amp; other details'!$F$38</definedName>
    <definedName name="CRCP_y5" localSheetId="23">'[2]Business &amp; other details'!$G$38</definedName>
    <definedName name="CRCP_y5">'Business &amp; other details'!$G$38</definedName>
    <definedName name="CRCP_y6" localSheetId="23">'[2]Business &amp; other details'!$H$38</definedName>
    <definedName name="CRCP_y6">'Business &amp; other details'!$H$38</definedName>
    <definedName name="CRCP_y7" localSheetId="23">'[2]Business &amp; other details'!$I$38</definedName>
    <definedName name="CRCP_y7">'Business &amp; other details'!$I$38</definedName>
    <definedName name="CRCP_y8" localSheetId="23">'[2]Business &amp; other details'!$J$38</definedName>
    <definedName name="CRCP_y8">'Business &amp; other details'!$J$38</definedName>
    <definedName name="CRCP_y9" localSheetId="23">'[2]Business &amp; other details'!$K$38</definedName>
    <definedName name="CRCP_y9">'Business &amp; other details'!$K$38</definedName>
    <definedName name="dms_0203_ProjectType">'AER only'!$N$48:$N$55</definedName>
    <definedName name="dms_020303_01_UOM">'AER only'!$O$48:$O$54</definedName>
    <definedName name="dms_020501_01_UOM">'AER only'!$P$48:$P$60</definedName>
    <definedName name="dms_020501_02_UOM">'AER only'!$Q$48:$Q$56</definedName>
    <definedName name="dms_020501_03_UOM">'AER only'!$R$48:$R$57</definedName>
    <definedName name="dms_020501_04_UOM">'AER only'!$S$48:$S$56</definedName>
    <definedName name="dms_020603_01_UOM">'AER only'!$T$48:$T$52</definedName>
    <definedName name="dms_030601_01_UOM">'AER only'!$W$48:$W$51</definedName>
    <definedName name="dms_030601_02_UOM">'AER only'!$X$48:$X$51</definedName>
    <definedName name="dms_030701_01_UOM">'AER only'!$Y$48:$Y$50</definedName>
    <definedName name="dms_030702_01_UOM">'AER only'!$Z$48:$Z$61</definedName>
    <definedName name="dms_030703_01_UOM">'AER only'!$AA$48</definedName>
    <definedName name="dms_040102_01_UOM">'AER only'!$U$48:$U$51</definedName>
    <definedName name="dms_040102_04_UOM">'AER only'!$V$48:$V$51</definedName>
    <definedName name="dms_663">'Business &amp; other details'!$C$81</definedName>
    <definedName name="dms_663_List" localSheetId="3">'AER only'!$M$8:$M$42</definedName>
    <definedName name="dms_663_List">'AER only'!$M$8:$M$42</definedName>
    <definedName name="dms_ABN">'Business &amp; other details'!$C$15</definedName>
    <definedName name="dms_ABN_List" localSheetId="3">'AER only'!$D$8:$D$42</definedName>
    <definedName name="dms_ABN_List">'AER only'!$D$8:$D$42</definedName>
    <definedName name="dms_Addr1">'Business &amp; other details'!$E$18</definedName>
    <definedName name="dms_Addr1_List" localSheetId="3">'AER only'!$O$8:$O$42</definedName>
    <definedName name="dms_Addr1_List">'AER only'!$O$8:$O$42</definedName>
    <definedName name="dms_Addr2">'Business &amp; other details'!$E$19</definedName>
    <definedName name="dms_Addr2_List" localSheetId="3">'AER only'!$P$8:$P$42</definedName>
    <definedName name="dms_Addr2_List">'AER only'!$P$8:$P$42</definedName>
    <definedName name="dms_AGN_Assets">#REF!</definedName>
    <definedName name="dms_AmendmentReason">'Business &amp; other details'!$C$52</definedName>
    <definedName name="dms_ARR">'Business &amp; other details'!$C$71</definedName>
    <definedName name="dms_CA">'Business &amp; other details'!$C$70</definedName>
    <definedName name="dms_CBD_flag">'AER only'!$AC$8:$AC$42</definedName>
    <definedName name="dms_CFinalYear_List" localSheetId="3">'AER only'!$H$66:$H$80</definedName>
    <definedName name="dms_CFinalYear_List">'AER only'!$H$66:$H$80</definedName>
    <definedName name="dms_Classification">'Business &amp; other details'!$C$60</definedName>
    <definedName name="dms_ContactEmail">'Business &amp; other details'!$C$31</definedName>
    <definedName name="dms_ContactEmail_List" localSheetId="3">'AER only'!$AA$8:$AA$42</definedName>
    <definedName name="dms_ContactEmail_List">'AER only'!$AA$8:$AA$42</definedName>
    <definedName name="dms_ContactEmail2">'Business &amp; other details'!$F$31</definedName>
    <definedName name="dms_ContactName1">'Business &amp; other details'!$C$29</definedName>
    <definedName name="dms_ContactName1_List" localSheetId="3">'AER only'!$Y$8:$Y$42</definedName>
    <definedName name="dms_ContactName1_List">'AER only'!$Y$8:$Y$42</definedName>
    <definedName name="dms_ContactName2">'Business &amp; other details'!$F$29</definedName>
    <definedName name="dms_ContactPh1">'Business &amp; other details'!$C$30</definedName>
    <definedName name="dms_ContactPh1_List" localSheetId="3">'AER only'!$Z$8:$Z$42</definedName>
    <definedName name="dms_ContactPh1_List">'AER only'!$Z$8:$Z$42</definedName>
    <definedName name="dms_ContactPh2">'Business &amp; other details'!$F$30</definedName>
    <definedName name="dms_crcp_cy1">'AER only'!$K$84</definedName>
    <definedName name="dms_crcp_cy10">'AER only'!$K$93</definedName>
    <definedName name="dms_crcp_cy11">'AER only'!$K$94</definedName>
    <definedName name="dms_crcp_cy12">'AER only'!$K$95</definedName>
    <definedName name="dms_crcp_cy13">'AER only'!$K$96</definedName>
    <definedName name="dms_crcp_cy14">'AER only'!$K$97</definedName>
    <definedName name="dms_crcp_cy15">'AER only'!$K$98</definedName>
    <definedName name="dms_crcp_cy2">'AER only'!$K$85</definedName>
    <definedName name="dms_crcp_cy3">'AER only'!$K$86</definedName>
    <definedName name="dms_crcp_cy4">'AER only'!$K$87</definedName>
    <definedName name="dms_crcp_cy5">'AER only'!$K$88</definedName>
    <definedName name="dms_crcp_cy6">'AER only'!$K$89</definedName>
    <definedName name="dms_crcp_cy7">'AER only'!$K$90</definedName>
    <definedName name="dms_crcp_cy8">'AER only'!$K$91</definedName>
    <definedName name="dms_crcp_cy9">'AER only'!$K$92</definedName>
    <definedName name="dms_CRCP_FinalYear_Ref">'Business &amp; other details'!$C$78</definedName>
    <definedName name="dms_CRCP_FinalYear_Result" localSheetId="23">'[2]Business &amp; other details'!$C$80</definedName>
    <definedName name="dms_CRCP_FinalYear_Result">'Business &amp; other details'!$C$80</definedName>
    <definedName name="dms_CRCP_FirstYear_Result" localSheetId="23">'[2]Business &amp; other details'!$C$79</definedName>
    <definedName name="dms_CRCP_FirstYear_Result">'Business &amp; other details'!$C$79</definedName>
    <definedName name="dms_CRCP_index" localSheetId="3">'AER only'!$M$66:$M$80</definedName>
    <definedName name="dms_CRCP_index">'AER only'!$M$66:$M$80</definedName>
    <definedName name="dms_CRCP_years" localSheetId="3">'AER only'!$K$66:$K$80</definedName>
    <definedName name="dms_CRCP_years">'AER only'!$K$66:$K$80</definedName>
    <definedName name="dms_CRCP_yM" localSheetId="23">'[2]AER only'!$K$79</definedName>
    <definedName name="dms_CRCP_yM" localSheetId="3">'AER only'!$K$79</definedName>
    <definedName name="dms_CRCP_yM">'AER only'!$K$79</definedName>
    <definedName name="dms_CRCP_yN" localSheetId="23">'[2]AER only'!$K$78</definedName>
    <definedName name="dms_CRCP_yN" localSheetId="3">'AER only'!$K$78</definedName>
    <definedName name="dms_CRCP_yN">'AER only'!$K$78</definedName>
    <definedName name="dms_CRCP_yO" localSheetId="23">'[2]AER only'!$K$77</definedName>
    <definedName name="dms_CRCP_yO" localSheetId="3">'AER only'!$K$77</definedName>
    <definedName name="dms_CRCP_yO">'AER only'!$K$77</definedName>
    <definedName name="dms_CRCP_yP" localSheetId="23">'[2]AER only'!$K$76</definedName>
    <definedName name="dms_CRCP_yP" localSheetId="3">'AER only'!$K$76</definedName>
    <definedName name="dms_CRCP_yP">'AER only'!$K$76</definedName>
    <definedName name="dms_CRCP_yQ" localSheetId="23">'[2]AER only'!$K$75</definedName>
    <definedName name="dms_CRCP_yQ" localSheetId="3">'AER only'!$K$75</definedName>
    <definedName name="dms_CRCP_yQ">'AER only'!$K$75</definedName>
    <definedName name="dms_CRCP_yR" localSheetId="23">'[2]AER only'!$K$74</definedName>
    <definedName name="dms_CRCP_yR" localSheetId="3">'AER only'!$K$74</definedName>
    <definedName name="dms_CRCP_yR">'AER only'!$K$74</definedName>
    <definedName name="dms_CRCP_yS" localSheetId="23">'[2]AER only'!$K$73</definedName>
    <definedName name="dms_CRCP_yS" localSheetId="3">'AER only'!$K$73</definedName>
    <definedName name="dms_CRCP_yS">'AER only'!$K$73</definedName>
    <definedName name="dms_CRCP_yT" localSheetId="23">'[2]AER only'!$K$72</definedName>
    <definedName name="dms_CRCP_yT" localSheetId="3">'AER only'!$K$72</definedName>
    <definedName name="dms_CRCP_yT">'AER only'!$K$72</definedName>
    <definedName name="dms_CRCP_yU" localSheetId="23">'[2]AER only'!$K$71</definedName>
    <definedName name="dms_CRCP_yU" localSheetId="3">'AER only'!$K$71</definedName>
    <definedName name="dms_CRCP_yU">'AER only'!$K$71</definedName>
    <definedName name="dms_CRCP_yV" localSheetId="23">'[2]AER only'!$K$70</definedName>
    <definedName name="dms_CRCP_yV" localSheetId="3">'AER only'!$K$70</definedName>
    <definedName name="dms_CRCP_yV">'AER only'!$K$70</definedName>
    <definedName name="dms_CRCP_yW" localSheetId="23">'[2]AER only'!$K$69</definedName>
    <definedName name="dms_CRCP_yW" localSheetId="3">'AER only'!$K$69</definedName>
    <definedName name="dms_CRCP_yW">'AER only'!$K$69</definedName>
    <definedName name="dms_CRCP_yX" localSheetId="23">'[2]AER only'!$K$68</definedName>
    <definedName name="dms_CRCP_yX" localSheetId="3">'AER only'!$K$68</definedName>
    <definedName name="dms_CRCP_yX">'AER only'!$K$68</definedName>
    <definedName name="dms_CRCP_yY" localSheetId="23">'[2]AER only'!$K$67</definedName>
    <definedName name="dms_CRCP_yY" localSheetId="3">'AER only'!$K$67</definedName>
    <definedName name="dms_CRCP_yY">'AER only'!$K$67</definedName>
    <definedName name="dms_CRCP_yZ" localSheetId="23">'[2]AER only'!$K$66</definedName>
    <definedName name="dms_CRCP_yZ" localSheetId="3">'AER only'!$K$66</definedName>
    <definedName name="dms_CRCP_yZ">'AER only'!$K$66</definedName>
    <definedName name="dms_CRCPlength_List" localSheetId="3">'AER only'!$K$8:$K$42</definedName>
    <definedName name="dms_CRCPlength_List">'AER only'!$K$8:$K$42</definedName>
    <definedName name="dms_CRCPlength_Num" localSheetId="23">'[2]Business &amp; other details'!$C$77</definedName>
    <definedName name="dms_CRCPlength_Num">'Business &amp; other details'!$C$77</definedName>
    <definedName name="dms_CRCPlength_Num_List" localSheetId="3">'AER only'!$G$66:$G$80</definedName>
    <definedName name="dms_CRCPlength_Num_List">'AER only'!$G$66:$G$80</definedName>
    <definedName name="dms_CRY_ListC" localSheetId="3">'AER only'!$G$84:$G$98</definedName>
    <definedName name="dms_CRY_ListC">'AER only'!$G$84:$G$98</definedName>
    <definedName name="dms_CRY_ListF" localSheetId="3">'AER only'!$F$84:$F$98</definedName>
    <definedName name="dms_CRY_ListF">'AER only'!$F$84:$F$98</definedName>
    <definedName name="dms_cy1">'AER only'!$G$84</definedName>
    <definedName name="dms_cy10">'AER only'!$G$93</definedName>
    <definedName name="dms_cy11">'AER only'!$G$94</definedName>
    <definedName name="dms_cy12">'AER only'!$G$95</definedName>
    <definedName name="dms_cy13">'AER only'!$G$96</definedName>
    <definedName name="dms_cy14">'AER only'!$G$97</definedName>
    <definedName name="dms_cy15">'AER only'!$G$98</definedName>
    <definedName name="dms_cy2">'AER only'!$G$85</definedName>
    <definedName name="dms_cy3">'AER only'!$G$86</definedName>
    <definedName name="dms_cy4">'AER only'!$G$87</definedName>
    <definedName name="dms_cy5">'AER only'!$G$88</definedName>
    <definedName name="dms_cy6">'AER only'!$G$89</definedName>
    <definedName name="dms_cy7">'AER only'!$G$90</definedName>
    <definedName name="dms_cy8">'AER only'!$G$91</definedName>
    <definedName name="dms_cy9">'AER only'!$G$92</definedName>
    <definedName name="dms_DataQuality" localSheetId="23">'[2]Business &amp; other details'!$C$51</definedName>
    <definedName name="dms_DataQuality">'Business &amp; other details'!$C$51</definedName>
    <definedName name="dms_DataQuality_List" localSheetId="3">'AER only'!$B$84:$B$88</definedName>
    <definedName name="dms_DataQuality_List">'AER only'!$B$84:$B$88</definedName>
    <definedName name="dms_Defined_Names_Used">'Business &amp; other details'!$C$88</definedName>
    <definedName name="dms_DeterminationRef_List" localSheetId="3">'AER only'!$N$8:$N$42</definedName>
    <definedName name="dms_DeterminationRef_List">'AER only'!$N$8:$N$42</definedName>
    <definedName name="dms_DollarReal" localSheetId="23">'[2]Business &amp; other details'!$C$63</definedName>
    <definedName name="dms_DollarReal">'Business &amp; other details'!$C$63</definedName>
    <definedName name="dms_EB">'Business &amp; other details'!$C$69</definedName>
    <definedName name="dms_EBSS_status" localSheetId="24">#REF!</definedName>
    <definedName name="dms_EBSS_status" localSheetId="3">'Business &amp; other details'!$C$54</definedName>
    <definedName name="dms_EBSS_status">#REF!</definedName>
    <definedName name="dms_ESCALATOR_rows">'2. Escalators'!$B$33:$B$56</definedName>
    <definedName name="dms_FeederName_1">'AER only'!$AI$8:$AI$42</definedName>
    <definedName name="dms_FeederName_2">'AER only'!$AJ$8:$AJ$42</definedName>
    <definedName name="dms_FeederName_3">'AER only'!$AK$8:$AK$42</definedName>
    <definedName name="dms_FeederName_4">'AER only'!$AL$8:$AL$42</definedName>
    <definedName name="dms_FeederName_5">'AER only'!$AM$8:$AM$42</definedName>
    <definedName name="dms_FeederType_5_flag">'AER only'!$AG$8:$AG$42</definedName>
    <definedName name="dms_FinalYear_List" localSheetId="3">'AER only'!$F$66:$F$80</definedName>
    <definedName name="dms_FinalYear_List">'AER only'!$F$66:$F$80</definedName>
    <definedName name="dms_FormControl">'Business &amp; other details'!$C$64</definedName>
    <definedName name="dms_FormControl_Choices">'AER only'!$C$66:$C$68</definedName>
    <definedName name="dms_FormControl_List" localSheetId="3">'AER only'!$H$8:$H$42</definedName>
    <definedName name="dms_FormControl_List">'AER only'!$H$8:$H$42</definedName>
    <definedName name="dms_FRCP_cyear_list">'AER only'!$L$84:$L$98</definedName>
    <definedName name="dms_frcp_fy1">'AER only'!$J$84</definedName>
    <definedName name="dms_frcp_fy10">'AER only'!$J$93</definedName>
    <definedName name="dms_frcp_fy11">'AER only'!$J$94</definedName>
    <definedName name="dms_frcp_fy12">'AER only'!$J$95</definedName>
    <definedName name="dms_frcp_fy13">'AER only'!$J$96</definedName>
    <definedName name="dms_frcp_fy14">'AER only'!$J$97</definedName>
    <definedName name="dms_frcp_fy15">'AER only'!$J$98</definedName>
    <definedName name="dms_frcp_fy2">'AER only'!$J$85</definedName>
    <definedName name="dms_frcp_fy3">'AER only'!$J$86</definedName>
    <definedName name="dms_frcp_fy4">'AER only'!$J$87</definedName>
    <definedName name="dms_frcp_fy5">'AER only'!$J$88</definedName>
    <definedName name="dms_frcp_fy6">'AER only'!$J$89</definedName>
    <definedName name="dms_frcp_fy7">'AER only'!$J$90</definedName>
    <definedName name="dms_frcp_fy8">'AER only'!$J$91</definedName>
    <definedName name="dms_frcp_fy9">'AER only'!$J$92</definedName>
    <definedName name="dms_FRCP_fyear_list">'AER only'!$I$84:$I$98</definedName>
    <definedName name="dms_FRCP_ListC" localSheetId="3">'AER only'!$K$84:$K$98</definedName>
    <definedName name="dms_FRCP_ListC">'AER only'!$K$84:$K$98</definedName>
    <definedName name="dms_FRCP_ListF" localSheetId="3">'AER only'!$J$84:$J$98</definedName>
    <definedName name="dms_FRCP_ListF">'AER only'!$J$84:$J$98</definedName>
    <definedName name="dms_FRCP_y1" localSheetId="23">'[2]AER only'!$I$66</definedName>
    <definedName name="dms_FRCP_y1" localSheetId="3">'AER only'!$I$66</definedName>
    <definedName name="dms_FRCP_y1">'AER only'!$I$66</definedName>
    <definedName name="dms_FRCP_y10" localSheetId="23">'[2]AER only'!$I$75</definedName>
    <definedName name="dms_FRCP_y10" localSheetId="3">'AER only'!$I$75</definedName>
    <definedName name="dms_FRCP_y10">'AER only'!$I$75</definedName>
    <definedName name="dms_FRCP_y11" localSheetId="23">'[2]AER only'!$I$76</definedName>
    <definedName name="dms_FRCP_y11" localSheetId="3">'AER only'!$I$76</definedName>
    <definedName name="dms_FRCP_y11">'AER only'!$I$76</definedName>
    <definedName name="dms_FRCP_y12" localSheetId="23">'[2]AER only'!$I$77</definedName>
    <definedName name="dms_FRCP_y12" localSheetId="3">'AER only'!$I$77</definedName>
    <definedName name="dms_FRCP_y12">'AER only'!$I$77</definedName>
    <definedName name="dms_FRCP_y13" localSheetId="23">'[2]AER only'!$I$78</definedName>
    <definedName name="dms_FRCP_y13" localSheetId="3">'AER only'!$I$78</definedName>
    <definedName name="dms_FRCP_y13">'AER only'!$I$78</definedName>
    <definedName name="dms_FRCP_y14" localSheetId="23">'[2]AER only'!$I$79</definedName>
    <definedName name="dms_FRCP_y14" localSheetId="3">'AER only'!$I$79</definedName>
    <definedName name="dms_FRCP_y14">'AER only'!$I$79</definedName>
    <definedName name="dms_FRCP_y2" localSheetId="23">'[2]AER only'!$I$67</definedName>
    <definedName name="dms_FRCP_y2" localSheetId="3">'AER only'!$I$67</definedName>
    <definedName name="dms_FRCP_y2">'AER only'!$I$67</definedName>
    <definedName name="dms_FRCP_y3" localSheetId="23">'[2]AER only'!$I$68</definedName>
    <definedName name="dms_FRCP_y3" localSheetId="3">'AER only'!$I$68</definedName>
    <definedName name="dms_FRCP_y3">'AER only'!$I$68</definedName>
    <definedName name="dms_FRCP_y4" localSheetId="23">'[2]AER only'!$I$69</definedName>
    <definedName name="dms_FRCP_y4" localSheetId="3">'AER only'!$I$69</definedName>
    <definedName name="dms_FRCP_y4">'AER only'!$I$69</definedName>
    <definedName name="dms_FRCP_y5" localSheetId="23">'[2]AER only'!$I$70</definedName>
    <definedName name="dms_FRCP_y5" localSheetId="3">'AER only'!$I$70</definedName>
    <definedName name="dms_FRCP_y5">'AER only'!$I$70</definedName>
    <definedName name="dms_FRCP_y6" localSheetId="23">'[2]AER only'!$I$71</definedName>
    <definedName name="dms_FRCP_y6" localSheetId="3">'AER only'!$I$71</definedName>
    <definedName name="dms_FRCP_y6">'AER only'!$I$71</definedName>
    <definedName name="dms_FRCP_y7" localSheetId="23">'[2]AER only'!$I$72</definedName>
    <definedName name="dms_FRCP_y7" localSheetId="3">'AER only'!$I$72</definedName>
    <definedName name="dms_FRCP_y7">'AER only'!$I$72</definedName>
    <definedName name="dms_FRCP_y8" localSheetId="23">'[2]AER only'!$I$73</definedName>
    <definedName name="dms_FRCP_y8" localSheetId="3">'AER only'!$I$73</definedName>
    <definedName name="dms_FRCP_y8">'AER only'!$I$73</definedName>
    <definedName name="dms_FRCP_y9" localSheetId="23">'[2]AER only'!$I$74</definedName>
    <definedName name="dms_FRCP_y9" localSheetId="3">'AER only'!$I$74</definedName>
    <definedName name="dms_FRCP_y9">'AER only'!$I$74</definedName>
    <definedName name="dms_FRCP_years">'AER only'!$I$66:$I$80</definedName>
    <definedName name="dms_FRCPlength_List" localSheetId="3">'AER only'!$L$8:$L$42</definedName>
    <definedName name="dms_FRCPlength_List">'AER only'!$L$8:$L$42</definedName>
    <definedName name="dms_FRCPlength_Num" localSheetId="23">'[2]Business &amp; other details'!$C$74</definedName>
    <definedName name="dms_FRCPlength_Num">'Business &amp; other details'!$C$74</definedName>
    <definedName name="dms_FRCPlength_Num_List" localSheetId="3">'AER only'!$E$66:$E$80</definedName>
    <definedName name="dms_FRCPlength_Num_List">'AER only'!$E$66:$E$80</definedName>
    <definedName name="dms_fy1">'AER only'!$F$84</definedName>
    <definedName name="dms_fy10">'AER only'!$F$93</definedName>
    <definedName name="dms_fy11">'AER only'!$F$94</definedName>
    <definedName name="dms_fy12">'AER only'!$F$95</definedName>
    <definedName name="dms_fy13">'AER only'!$F$96</definedName>
    <definedName name="dms_fy14">'AER only'!$F$97</definedName>
    <definedName name="dms_fy15">'AER only'!$F$98</definedName>
    <definedName name="dms_fy2">'AER only'!$F$85</definedName>
    <definedName name="dms_fy3">'AER only'!$F$86</definedName>
    <definedName name="dms_fy4">'AER only'!$F$87</definedName>
    <definedName name="dms_fy5">'AER only'!$F$88</definedName>
    <definedName name="dms_fy6">'AER only'!$F$89</definedName>
    <definedName name="dms_fy7">'AER only'!$F$90</definedName>
    <definedName name="dms_fy8">'AER only'!$F$91</definedName>
    <definedName name="dms_fy9">'AER only'!$F$92</definedName>
    <definedName name="dms_Jurisdiction">'Business &amp; other details'!$C$66</definedName>
    <definedName name="dms_JurisdictionList" localSheetId="3">'AER only'!$E$8:$E$42</definedName>
    <definedName name="dms_JurisdictionList">'AER only'!$E$8:$E$42</definedName>
    <definedName name="dms_LongRural_flag">'AER only'!$AF$8:$AF$42</definedName>
    <definedName name="dms_MAIFI_flag_List">'AER only'!$AH$8:$AH$42</definedName>
    <definedName name="dms_Model" localSheetId="23">'[2]Business &amp; other details'!$C$59</definedName>
    <definedName name="dms_Model">'Business &amp; other details'!$C$59</definedName>
    <definedName name="dms_Model_List" localSheetId="23">'[2]AER only'!$B$48:$B$55</definedName>
    <definedName name="dms_Model_List" localSheetId="3">'AER only'!$B$48:$B$55</definedName>
    <definedName name="dms_Model_List">'AER only'!$B$48:$B$55</definedName>
    <definedName name="dms_MultiYear_FinalYear_Ref" localSheetId="23">'[2]Business &amp; other details'!$C$75</definedName>
    <definedName name="dms_MultiYear_FinalYear_Ref">'Business &amp; other details'!$C$75</definedName>
    <definedName name="dms_MultiYear_FinalYear_Result" localSheetId="23">'[2]Business &amp; other details'!$C$76</definedName>
    <definedName name="dms_MultiYear_FinalYear_Result">'Business &amp; other details'!$C$76</definedName>
    <definedName name="dms_MultiYear_Flag" localSheetId="23">'[2]Business &amp; other details'!$C$67</definedName>
    <definedName name="dms_MultiYear_Flag">'Business &amp; other details'!$C$67</definedName>
    <definedName name="dms_PAddr1">'Business &amp; other details'!$E$23</definedName>
    <definedName name="dms_PAddr1_List" localSheetId="3">'AER only'!$T$8:$T$42</definedName>
    <definedName name="dms_PAddr1_List">'AER only'!$T$8:$T$42</definedName>
    <definedName name="dms_PAddr2">'Business &amp; other details'!$E$24</definedName>
    <definedName name="dms_PAddr2_List" localSheetId="3">'AER only'!$U$8:$U$42</definedName>
    <definedName name="dms_PAddr2_List">'AER only'!$U$8:$U$42</definedName>
    <definedName name="dms_PostCode">'Business &amp; other details'!$G$21</definedName>
    <definedName name="dms_PostCode_List" localSheetId="3">'AER only'!$S$8:$S$42</definedName>
    <definedName name="dms_PostCode_List">'AER only'!$S$8:$S$42</definedName>
    <definedName name="dms_PPostCode">'Business &amp; other details'!$G$26</definedName>
    <definedName name="dms_PPostCode_List" localSheetId="3">'AER only'!$X$8:$X$42</definedName>
    <definedName name="dms_PPostCode_List">'AER only'!$X$8:$X$42</definedName>
    <definedName name="dms_PState">'Business &amp; other details'!$E$26</definedName>
    <definedName name="dms_PState_List" localSheetId="3">'AER only'!$W$8:$W$42</definedName>
    <definedName name="dms_PState_List">'AER only'!$W$8:$W$42</definedName>
    <definedName name="dms_PSuburb">'Business &amp; other details'!$E$25</definedName>
    <definedName name="dms_PSuburb_List" localSheetId="3">'AER only'!$V$8:$V$42</definedName>
    <definedName name="dms_PSuburb_List">'AER only'!$V$8:$V$42</definedName>
    <definedName name="dms_RCP_cyear_list">'AER only'!$H$84:$H$98</definedName>
    <definedName name="dms_RCP_fyear_list">'AER only'!$E$84:$E$98</definedName>
    <definedName name="dms_Reason_Interruption">'AER only'!$AK$47:$AK$62</definedName>
    <definedName name="dms_Reason_Interruption_Detailed">'AER only'!$AJ$47:$AJ$69</definedName>
    <definedName name="dms_Reg_Year_Span" localSheetId="23">'[2]Business &amp; other details'!$B$3</definedName>
    <definedName name="dms_Reg_Year_Span">'Business &amp; other details'!$B$3</definedName>
    <definedName name="dms_RINversion">'Business &amp; other details'!$C$65</definedName>
    <definedName name="dms_RPT" localSheetId="23">'[2]Business &amp; other details'!$C$58</definedName>
    <definedName name="dms_RPT">'Business &amp; other details'!$C$58</definedName>
    <definedName name="dms_RPT_List" localSheetId="3">'AER only'!$I$8:$I$42</definedName>
    <definedName name="dms_RPT_List">'AER only'!$I$8:$I$42</definedName>
    <definedName name="dms_RPTMonth" localSheetId="23">'[2]Business &amp; other details'!$C$62</definedName>
    <definedName name="dms_RPTMonth">'Business &amp; other details'!$C$62</definedName>
    <definedName name="dms_RPTMonth_List" localSheetId="3">'AER only'!$J$8:$J$42</definedName>
    <definedName name="dms_RPTMonth_List">'AER only'!$J$8:$J$42</definedName>
    <definedName name="dms_RYE">'Business &amp; other details'!$C$57</definedName>
    <definedName name="dms_RYE_Formula_Result" localSheetId="3">'AER only'!$E$48:$E$55</definedName>
    <definedName name="dms_RYE_Formula_Result">'AER only'!$E$48:$E$55</definedName>
    <definedName name="dms_Sector">'Business &amp; other details'!$C$55</definedName>
    <definedName name="dms_Sector_List" localSheetId="3">'AER only'!$F$8:$F$42</definedName>
    <definedName name="dms_Sector_List">'AER only'!$F$8:$F$42</definedName>
    <definedName name="dms_Segment">'Business &amp; other details'!$C$56</definedName>
    <definedName name="dms_Segment_List" localSheetId="3">'AER only'!$G$8:$G$42</definedName>
    <definedName name="dms_Segment_List">'AER only'!$G$8:$G$42</definedName>
    <definedName name="dms_ShortRural_flag">'AER only'!$AE$8:$AE$42</definedName>
    <definedName name="dms_SingleYear_FinalYear_Ref" localSheetId="23">'[2]Business &amp; other details'!$C$72</definedName>
    <definedName name="dms_SingleYear_FinalYear_Ref">'Business &amp; other details'!$C$72</definedName>
    <definedName name="dms_SingleYear_FinalYear_Result" localSheetId="23">'[2]Business &amp; other details'!$C$73</definedName>
    <definedName name="dms_SingleYear_FinalYear_Result">'Business &amp; other details'!$C$73</definedName>
    <definedName name="dms_SingleYear_Model" localSheetId="23">'[2]Business &amp; other details'!$C$69:$C$71</definedName>
    <definedName name="dms_SingleYear_Model">'Business &amp; other details'!$C$69:$C$71</definedName>
    <definedName name="dms_Source">'Business &amp; other details'!$C$50</definedName>
    <definedName name="dms_SourceList" localSheetId="3">'AER only'!$B$66:$B$78</definedName>
    <definedName name="dms_SourceList">'AER only'!$B$66:$B$78</definedName>
    <definedName name="dms_Specified_FinalYear" localSheetId="23">'[2]Business &amp; other details'!$C$68</definedName>
    <definedName name="dms_Specified_FinalYear">'Business &amp; other details'!$C$68</definedName>
    <definedName name="dms_State">'Business &amp; other details'!$E$21</definedName>
    <definedName name="dms_State_List" localSheetId="3">'AER only'!$R$8:$R$42</definedName>
    <definedName name="dms_State_List">'AER only'!$R$8:$R$42</definedName>
    <definedName name="dms_STPIS_exclusions">'AER only'!$AI$71:$AI$76</definedName>
    <definedName name="dms_SubmissionDate">'Business &amp; other details'!$C$53</definedName>
    <definedName name="dms_Suburb">'Business &amp; other details'!$E$20</definedName>
    <definedName name="dms_Suburb_List" localSheetId="3">'AER only'!$Q$8:$Q$42</definedName>
    <definedName name="dms_Suburb_List">'AER only'!$Q$8:$Q$42</definedName>
    <definedName name="dms_TemplateNumber">'Business &amp; other details'!$C$61</definedName>
    <definedName name="dms_TradingName" localSheetId="23">'[2]Business &amp; other details'!$C$14</definedName>
    <definedName name="dms_TradingName">'Business &amp; other details'!$C$14</definedName>
    <definedName name="dms_TradingName_List" localSheetId="23">'[2]AER only'!$B$8:$B$42</definedName>
    <definedName name="dms_TradingName_List" localSheetId="3">'AER only'!$B$8:$B$42</definedName>
    <definedName name="dms_TradingName_List">'AER only'!$B$8:$B$42</definedName>
    <definedName name="dms_TradingNameFull">'Business &amp; other details'!$B$2</definedName>
    <definedName name="dms_TradingNameFull_List" localSheetId="23">'[2]AER only'!$C$8:$C$42</definedName>
    <definedName name="dms_TradingNameFull_List" localSheetId="3">'AER only'!$C$8:$C$42</definedName>
    <definedName name="dms_TradingNameFull_List">'AER only'!$C$8:$C$42</definedName>
    <definedName name="dms_Urban_flag">'AER only'!$AD$8:$AD$42</definedName>
    <definedName name="dms_Worksheet_List" localSheetId="23">'[2]AER only'!$C$48:$C$55</definedName>
    <definedName name="dms_Worksheet_List" localSheetId="3">'AER only'!$C$48:$C$55</definedName>
    <definedName name="dms_Worksheet_List">'AER only'!$C$48:$C$55</definedName>
    <definedName name="EBSS" localSheetId="24">'23.4 Opex incentive mechanism'!$B$1</definedName>
    <definedName name="FRCP" localSheetId="23">'[2]Business &amp; other details'!$C$35:$G$35</definedName>
    <definedName name="FRCP">'Business &amp; other details'!$C$35:$G$35</definedName>
    <definedName name="FRCP_1to5">"2015-16 to 2019-20"</definedName>
    <definedName name="FRCP_span" localSheetId="23">CONCATENATE('23.3 Opex base-step-trend'!FRCP_y1, " to ", '23.3 Opex base-step-trend'!FRCP_y5)</definedName>
    <definedName name="FRCP_span" localSheetId="24">CONCATENATE([0]!FRCP_y1, " to ", [0]!FRCP_y5)</definedName>
    <definedName name="FRCP_span" comment="Generic cover sheet" localSheetId="0">CONCATENATE(FRCP_y1, " to ", FRCP_y5)</definedName>
    <definedName name="FRCP_span" comment="Generic cover sheet" localSheetId="3">CONCATENATE(FRCP_y1, " to ", FRCP_y5)</definedName>
    <definedName name="FRCP_span">CONCATENATE(FRCP_y1, " to ", FRCP_y5)</definedName>
    <definedName name="FRCP_y1" localSheetId="23">'[2]Business &amp; other details'!$C$35</definedName>
    <definedName name="FRCP_y1">'Business &amp; other details'!$C$35</definedName>
    <definedName name="FRCP_y10">'Business &amp; other details'!$L$35</definedName>
    <definedName name="FRCP_y2" localSheetId="23">'[2]Business &amp; other details'!$D$35</definedName>
    <definedName name="FRCP_y2">'Business &amp; other details'!$D$35</definedName>
    <definedName name="FRCP_y3" localSheetId="23">'[2]Business &amp; other details'!$E$35</definedName>
    <definedName name="FRCP_y3">'Business &amp; other details'!$E$35</definedName>
    <definedName name="FRCP_y4" localSheetId="23">'[2]Business &amp; other details'!$F$35</definedName>
    <definedName name="FRCP_y4">'Business &amp; other details'!$F$35</definedName>
    <definedName name="FRCP_y5" localSheetId="23">'[2]Business &amp; other details'!$G$35</definedName>
    <definedName name="FRCP_y5">'Business &amp; other details'!$G$35</definedName>
    <definedName name="FRCP_y6">'Business &amp; other details'!$H$35</definedName>
    <definedName name="FRCP_y7">'Business &amp; other details'!$I$35</definedName>
    <definedName name="FRCP_y8">'Business &amp; other details'!$J$35</definedName>
    <definedName name="FRCP_y9">'Business &amp; other details'!$K$35</definedName>
    <definedName name="MAIFI_flag">'AER only'!$AH$6</definedName>
    <definedName name="OLE_LINK1" localSheetId="21">'23.1 Opex incl. RPM'!$B$50</definedName>
    <definedName name="PRCP" localSheetId="23">'[2]Business &amp; other details'!$C$41:$G$41</definedName>
    <definedName name="PRCP">'Business &amp; other details'!$C$41:$G$41</definedName>
    <definedName name="PRCP_y1" localSheetId="23">'[2]Business &amp; other details'!$C$41</definedName>
    <definedName name="PRCP_y1">'Business &amp; other details'!$C$41</definedName>
    <definedName name="PRCP_y2" localSheetId="23">'[2]Business &amp; other details'!$D$41</definedName>
    <definedName name="PRCP_y2">'Business &amp; other details'!$D$41</definedName>
    <definedName name="PRCP_y3" localSheetId="23">'[2]Business &amp; other details'!$E$41</definedName>
    <definedName name="PRCP_y3">'Business &amp; other details'!$E$41</definedName>
    <definedName name="PRCP_y4" localSheetId="23">'[2]Business &amp; other details'!$F$41</definedName>
    <definedName name="PRCP_y4">'Business &amp; other details'!$F$41</definedName>
    <definedName name="PRCP_y5" localSheetId="23">'[2]Business &amp; other details'!$G$41</definedName>
    <definedName name="PRCP_y5">'Business &amp; other details'!$G$41</definedName>
    <definedName name="_xlnm.Print_Area" localSheetId="17">'17. Gross Capex '!$B$18:$Q$19</definedName>
    <definedName name="_xlnm.Print_Area" localSheetId="24">'23.4 Opex incentive mechanism'!$C$1:$AG$80</definedName>
    <definedName name="_xlnm.Print_Area" localSheetId="28">'27. Customer numbers'!$A$1:$R$90</definedName>
    <definedName name="_xlnm.Print_Area" localSheetId="1">Contents!$A$1:$O$40</definedName>
    <definedName name="_xlnm.Print_Titles" localSheetId="28">'27. Customer numbers'!$1:$18</definedName>
    <definedName name="RCP_1to5">"2015-16 to 2019-20"</definedName>
    <definedName name="SheetHeader" localSheetId="23">'[2]Business &amp; other details'!$B$1</definedName>
    <definedName name="SheetHeader">'Business &amp; other details'!$B$1</definedName>
    <definedName name="Years">'Business &amp; other details'!$C$38:$H$38</definedName>
    <definedName name="Z_70D595AD_AEC5_4236_BEEA_8B1F11A9C0EB_.wvu.PrintArea" localSheetId="17" hidden="1">'17. Gross Capex '!$B$18:$L$19</definedName>
    <definedName name="Z_9E68353C_A777_4F31_B10F_800632648195_.wvu.PrintArea" localSheetId="17" hidden="1">'17. Gross Capex '!$B$18:$L$19</definedName>
    <definedName name="Z_B71BDC4E_7246_482B_AFA3_F08BF8B63C7B_.wvu.PrintArea" localSheetId="17" hidden="1">'17. Gross Capex '!$B$18:$L$19</definedName>
  </definedNames>
  <calcPr calcId="145621"/>
</workbook>
</file>

<file path=xl/calcChain.xml><?xml version="1.0" encoding="utf-8"?>
<calcChain xmlns="http://schemas.openxmlformats.org/spreadsheetml/2006/main">
  <c r="AC35" i="255" l="1"/>
  <c r="AB35" i="255"/>
  <c r="AA35" i="255"/>
  <c r="Z35" i="255"/>
  <c r="Y35" i="255"/>
  <c r="X35" i="255"/>
  <c r="W35" i="255"/>
  <c r="V35" i="255"/>
  <c r="U35" i="255"/>
  <c r="T35" i="255"/>
  <c r="S35" i="255"/>
  <c r="R35" i="255"/>
  <c r="Q35" i="255"/>
  <c r="P35" i="255"/>
  <c r="O35" i="255"/>
  <c r="N35" i="255"/>
  <c r="M35" i="255"/>
  <c r="L35" i="255"/>
  <c r="K35" i="255"/>
  <c r="J35" i="255"/>
  <c r="I35" i="255"/>
  <c r="H35" i="255"/>
  <c r="G35" i="255"/>
  <c r="F35" i="255"/>
  <c r="E35" i="255"/>
  <c r="E102" i="190" l="1"/>
  <c r="H102" i="190"/>
  <c r="I102" i="190"/>
  <c r="K114" i="190"/>
  <c r="G114" i="190"/>
  <c r="L96" i="190"/>
  <c r="F114" i="190"/>
  <c r="F96" i="190"/>
  <c r="J96" i="190" l="1"/>
  <c r="L114" i="190"/>
  <c r="J102" i="190"/>
  <c r="F102" i="190"/>
  <c r="M96" i="190"/>
  <c r="J114" i="190"/>
  <c r="H114" i="190"/>
  <c r="H116" i="190" s="1"/>
  <c r="K96" i="190"/>
  <c r="H96" i="190"/>
  <c r="I114" i="190"/>
  <c r="K102" i="190"/>
  <c r="G102" i="190"/>
  <c r="D106" i="190"/>
  <c r="D104" i="190"/>
  <c r="E106" i="190"/>
  <c r="E104" i="190"/>
  <c r="E120" i="190"/>
  <c r="L120" i="190"/>
  <c r="G96" i="190"/>
  <c r="J98" i="190"/>
  <c r="J100" i="190"/>
  <c r="E114" i="190"/>
  <c r="L116" i="190"/>
  <c r="L118" i="190"/>
  <c r="F104" i="190"/>
  <c r="F106" i="190"/>
  <c r="F120" i="190"/>
  <c r="M102" i="190"/>
  <c r="J116" i="190"/>
  <c r="J118" i="190"/>
  <c r="H118" i="190"/>
  <c r="K100" i="190"/>
  <c r="K98" i="190"/>
  <c r="F118" i="190"/>
  <c r="F116" i="190"/>
  <c r="G118" i="190"/>
  <c r="I118" i="190"/>
  <c r="I116" i="190"/>
  <c r="M114" i="190"/>
  <c r="M115" i="190"/>
  <c r="I96" i="190"/>
  <c r="G104" i="190"/>
  <c r="G106" i="190"/>
  <c r="K120" i="190"/>
  <c r="G120" i="190"/>
  <c r="L102" i="190"/>
  <c r="F98" i="190"/>
  <c r="K116" i="190"/>
  <c r="K118" i="190"/>
  <c r="D118" i="190"/>
  <c r="E96" i="190"/>
  <c r="H106" i="190"/>
  <c r="H104" i="190"/>
  <c r="H120" i="190"/>
  <c r="H122" i="190" s="1"/>
  <c r="H100" i="190" l="1"/>
  <c r="J104" i="190"/>
  <c r="H98" i="190"/>
  <c r="F100" i="190"/>
  <c r="M116" i="190"/>
  <c r="G116" i="190"/>
  <c r="F122" i="190"/>
  <c r="J106" i="190"/>
  <c r="L122" i="190"/>
  <c r="I104" i="190"/>
  <c r="L104" i="190"/>
  <c r="I106" i="190"/>
  <c r="L98" i="190"/>
  <c r="M120" i="190"/>
  <c r="M121" i="190"/>
  <c r="E98" i="190"/>
  <c r="E100" i="190"/>
  <c r="K104" i="190"/>
  <c r="N114" i="190"/>
  <c r="N116" i="190" s="1"/>
  <c r="M117" i="190"/>
  <c r="N115" i="190"/>
  <c r="G100" i="190"/>
  <c r="G98" i="190"/>
  <c r="D122" i="190"/>
  <c r="E118" i="190"/>
  <c r="E116" i="190"/>
  <c r="D116" i="190"/>
  <c r="G122" i="190"/>
  <c r="I122" i="190"/>
  <c r="J120" i="190"/>
  <c r="J122" i="190" s="1"/>
  <c r="E122" i="190"/>
  <c r="D100" i="190"/>
  <c r="D98" i="190"/>
  <c r="K122" i="190"/>
  <c r="K106" i="190"/>
  <c r="M106" i="190" s="1"/>
  <c r="I98" i="190"/>
  <c r="I100" i="190"/>
  <c r="M122" i="190" l="1"/>
  <c r="O115" i="190"/>
  <c r="N117" i="190"/>
  <c r="O114" i="190"/>
  <c r="O116" i="190" s="1"/>
  <c r="N106" i="190"/>
  <c r="M100" i="190"/>
  <c r="N100" i="190" s="1"/>
  <c r="O100" i="190" s="1"/>
  <c r="P100" i="190" s="1"/>
  <c r="Q100" i="190" s="1"/>
  <c r="R100" i="190" s="1"/>
  <c r="M123" i="190"/>
  <c r="N121" i="190"/>
  <c r="O106" i="190"/>
  <c r="P106" i="190" l="1"/>
  <c r="O117" i="190"/>
  <c r="P115" i="190"/>
  <c r="P114" i="190"/>
  <c r="P116" i="190" s="1"/>
  <c r="N123" i="190"/>
  <c r="O121" i="190"/>
  <c r="N122" i="190"/>
  <c r="O120" i="190"/>
  <c r="O122" i="190" s="1"/>
  <c r="Q106" i="190"/>
  <c r="R106" i="190" s="1"/>
  <c r="P117" i="190" l="1"/>
  <c r="Q114" i="190"/>
  <c r="Q115" i="190"/>
  <c r="P121" i="190"/>
  <c r="P120" i="190"/>
  <c r="O123" i="190"/>
  <c r="P122" i="190" l="1"/>
  <c r="Q120" i="190"/>
  <c r="P123" i="190"/>
  <c r="Q121" i="190"/>
  <c r="R114" i="190"/>
  <c r="R115" i="190"/>
  <c r="Q117" i="190"/>
  <c r="Q116" i="190"/>
  <c r="R117" i="190" l="1"/>
  <c r="Q122" i="190"/>
  <c r="R120" i="190"/>
  <c r="Q123" i="190"/>
  <c r="R121" i="190"/>
  <c r="R116" i="190"/>
  <c r="R123" i="190" l="1"/>
  <c r="R122" i="190"/>
  <c r="F31" i="255" l="1"/>
  <c r="F32" i="255" s="1"/>
  <c r="E31" i="255"/>
  <c r="E32" i="255" s="1"/>
  <c r="G27" i="255"/>
  <c r="G31" i="255" s="1"/>
  <c r="G32" i="255" s="1"/>
  <c r="AB43" i="254"/>
  <c r="AA43" i="254"/>
  <c r="Z43" i="254"/>
  <c r="Y43" i="254"/>
  <c r="X43" i="254"/>
  <c r="W43" i="254"/>
  <c r="V43" i="254"/>
  <c r="U43" i="254"/>
  <c r="T43" i="254"/>
  <c r="S43" i="254"/>
  <c r="R43" i="254"/>
  <c r="Q43" i="254"/>
  <c r="P43" i="254"/>
  <c r="O43" i="254"/>
  <c r="N43" i="254"/>
  <c r="M43" i="254"/>
  <c r="L43" i="254"/>
  <c r="K43" i="254"/>
  <c r="J43" i="254"/>
  <c r="I43" i="254"/>
  <c r="H43" i="254"/>
  <c r="G43" i="254"/>
  <c r="F43" i="254"/>
  <c r="E43" i="254"/>
  <c r="D43" i="254"/>
  <c r="F40" i="254"/>
  <c r="E40" i="254"/>
  <c r="D40" i="254"/>
  <c r="D39" i="254"/>
  <c r="D37" i="254"/>
  <c r="D42" i="254" s="1"/>
  <c r="D36" i="254"/>
  <c r="D41" i="254" s="1"/>
  <c r="G35" i="254"/>
  <c r="G40" i="254" s="1"/>
  <c r="H34" i="254"/>
  <c r="H39" i="254" s="1"/>
  <c r="G34" i="254"/>
  <c r="G39" i="254" s="1"/>
  <c r="F34" i="254"/>
  <c r="F37" i="254" s="1"/>
  <c r="F42" i="254" s="1"/>
  <c r="E34" i="254"/>
  <c r="E37" i="254" s="1"/>
  <c r="E42" i="254" s="1"/>
  <c r="AB32" i="254"/>
  <c r="AA32" i="254"/>
  <c r="Z32" i="254"/>
  <c r="Y32" i="254"/>
  <c r="X32" i="254"/>
  <c r="W32" i="254"/>
  <c r="V32" i="254"/>
  <c r="U32" i="254"/>
  <c r="T32" i="254"/>
  <c r="S32" i="254"/>
  <c r="R32" i="254"/>
  <c r="Q32" i="254"/>
  <c r="P32" i="254"/>
  <c r="O32" i="254"/>
  <c r="N32" i="254"/>
  <c r="M32" i="254"/>
  <c r="L32" i="254"/>
  <c r="K32" i="254"/>
  <c r="J32" i="254"/>
  <c r="I32" i="254"/>
  <c r="H32" i="254"/>
  <c r="G32" i="254"/>
  <c r="F32" i="254"/>
  <c r="E32" i="254"/>
  <c r="D32" i="254"/>
  <c r="F29" i="254"/>
  <c r="E29" i="254"/>
  <c r="D29" i="254"/>
  <c r="D28" i="254"/>
  <c r="D26" i="254"/>
  <c r="D31" i="254" s="1"/>
  <c r="D25" i="254"/>
  <c r="D30" i="254" s="1"/>
  <c r="G23" i="254"/>
  <c r="F23" i="254"/>
  <c r="F28" i="254" s="1"/>
  <c r="E23" i="254"/>
  <c r="H35" i="254" l="1"/>
  <c r="H40" i="254" s="1"/>
  <c r="E39" i="254"/>
  <c r="G36" i="254"/>
  <c r="G41" i="254" s="1"/>
  <c r="G28" i="254"/>
  <c r="F36" i="254"/>
  <c r="F41" i="254" s="1"/>
  <c r="F39" i="254"/>
  <c r="F26" i="254"/>
  <c r="F31" i="254" s="1"/>
  <c r="F25" i="254"/>
  <c r="F30" i="254" s="1"/>
  <c r="E28" i="254"/>
  <c r="E26" i="254"/>
  <c r="E31" i="254" s="1"/>
  <c r="E25" i="254"/>
  <c r="E30" i="254" s="1"/>
  <c r="I34" i="254"/>
  <c r="H37" i="254"/>
  <c r="H42" i="254" s="1"/>
  <c r="I35" i="254"/>
  <c r="H36" i="254"/>
  <c r="H41" i="254" s="1"/>
  <c r="G37" i="254"/>
  <c r="G42" i="254" s="1"/>
  <c r="E36" i="254"/>
  <c r="E41" i="254" s="1"/>
  <c r="I36" i="254" l="1"/>
  <c r="I41" i="254" s="1"/>
  <c r="I39" i="254"/>
  <c r="I37" i="254"/>
  <c r="I42" i="254" s="1"/>
  <c r="J35" i="254"/>
  <c r="I40" i="254"/>
  <c r="J34" i="254"/>
  <c r="K35" i="254" l="1"/>
  <c r="J40" i="254"/>
  <c r="K34" i="254"/>
  <c r="J37" i="254"/>
  <c r="J42" i="254" s="1"/>
  <c r="J36" i="254"/>
  <c r="J41" i="254" s="1"/>
  <c r="J39" i="254"/>
  <c r="K39" i="254" l="1"/>
  <c r="K36" i="254"/>
  <c r="K41" i="254" s="1"/>
  <c r="K40" i="254"/>
  <c r="L34" i="254"/>
  <c r="K37" i="254"/>
  <c r="K42" i="254" s="1"/>
  <c r="L35" i="254"/>
  <c r="M34" i="254" l="1"/>
  <c r="L37" i="254"/>
  <c r="L42" i="254" s="1"/>
  <c r="M35" i="254"/>
  <c r="L40" i="254"/>
  <c r="L39" i="254"/>
  <c r="L36" i="254"/>
  <c r="L41" i="254" s="1"/>
  <c r="M37" i="254" l="1"/>
  <c r="M42" i="254" s="1"/>
  <c r="N35" i="254"/>
  <c r="M40" i="254"/>
  <c r="N34" i="254"/>
  <c r="M36" i="254"/>
  <c r="M41" i="254" s="1"/>
  <c r="M39" i="254"/>
  <c r="N36" i="254" l="1"/>
  <c r="N41" i="254" s="1"/>
  <c r="N39" i="254"/>
  <c r="O35" i="254"/>
  <c r="N40" i="254"/>
  <c r="O34" i="254"/>
  <c r="N37" i="254"/>
  <c r="N42" i="254" s="1"/>
  <c r="D27" i="190"/>
  <c r="O40" i="254" l="1"/>
  <c r="P34" i="254"/>
  <c r="O37" i="254"/>
  <c r="O42" i="254" s="1"/>
  <c r="P35" i="254"/>
  <c r="O39" i="254"/>
  <c r="O36" i="254"/>
  <c r="O41" i="254" s="1"/>
  <c r="P39" i="254" l="1"/>
  <c r="P36" i="254"/>
  <c r="P41" i="254" s="1"/>
  <c r="Q34" i="254"/>
  <c r="P37" i="254"/>
  <c r="P42" i="254" s="1"/>
  <c r="Q35" i="254"/>
  <c r="P40" i="254"/>
  <c r="O19" i="190"/>
  <c r="P19" i="190" s="1"/>
  <c r="Q19" i="190" s="1"/>
  <c r="R19" i="190" s="1"/>
  <c r="Q36" i="254" l="1"/>
  <c r="Q41" i="254" s="1"/>
  <c r="Q39" i="254"/>
  <c r="Q37" i="254"/>
  <c r="Q42" i="254" s="1"/>
  <c r="R35" i="254"/>
  <c r="Q40" i="254"/>
  <c r="R34" i="254"/>
  <c r="S35" i="254" l="1"/>
  <c r="R40" i="254"/>
  <c r="S34" i="254"/>
  <c r="R37" i="254"/>
  <c r="R42" i="254" s="1"/>
  <c r="R36" i="254"/>
  <c r="R41" i="254" s="1"/>
  <c r="R39" i="254"/>
  <c r="S39" i="254" l="1"/>
  <c r="S36" i="254"/>
  <c r="S41" i="254" s="1"/>
  <c r="S40" i="254"/>
  <c r="T34" i="254"/>
  <c r="S37" i="254"/>
  <c r="S42" i="254" s="1"/>
  <c r="T35" i="254"/>
  <c r="U34" i="254" l="1"/>
  <c r="T37" i="254"/>
  <c r="T42" i="254" s="1"/>
  <c r="U35" i="254"/>
  <c r="T40" i="254"/>
  <c r="T39" i="254"/>
  <c r="T36" i="254"/>
  <c r="T41" i="254" s="1"/>
  <c r="AC54" i="255"/>
  <c r="AB54" i="255"/>
  <c r="AA54" i="255"/>
  <c r="Z54" i="255"/>
  <c r="Y54" i="255"/>
  <c r="X54" i="255"/>
  <c r="W54" i="255"/>
  <c r="V54" i="255"/>
  <c r="U54" i="255"/>
  <c r="T54" i="255"/>
  <c r="S54" i="255"/>
  <c r="R54" i="255"/>
  <c r="Q54" i="255"/>
  <c r="P54" i="255"/>
  <c r="O54" i="255"/>
  <c r="N54" i="255"/>
  <c r="M54" i="255"/>
  <c r="L54" i="255"/>
  <c r="K54" i="255"/>
  <c r="J54" i="255"/>
  <c r="I54" i="255"/>
  <c r="H54" i="255"/>
  <c r="G54" i="255"/>
  <c r="F54" i="255"/>
  <c r="E54" i="255"/>
  <c r="AC49" i="255"/>
  <c r="AB49" i="255"/>
  <c r="AA49" i="255"/>
  <c r="Z49" i="255"/>
  <c r="Y49" i="255"/>
  <c r="X49" i="255"/>
  <c r="W49" i="255"/>
  <c r="V49" i="255"/>
  <c r="U49" i="255"/>
  <c r="T49" i="255"/>
  <c r="S49" i="255"/>
  <c r="R49" i="255"/>
  <c r="Q49" i="255"/>
  <c r="P49" i="255"/>
  <c r="O49" i="255"/>
  <c r="N49" i="255"/>
  <c r="M49" i="255"/>
  <c r="L49" i="255"/>
  <c r="K49" i="255"/>
  <c r="J49" i="255"/>
  <c r="I49" i="255"/>
  <c r="H49" i="255"/>
  <c r="G49" i="255"/>
  <c r="F49" i="255"/>
  <c r="E49" i="255"/>
  <c r="B35" i="255"/>
  <c r="B22" i="255"/>
  <c r="B2" i="255"/>
  <c r="B1" i="255"/>
  <c r="D48" i="254"/>
  <c r="AB46" i="254"/>
  <c r="AB48" i="254" s="1"/>
  <c r="AA46" i="254"/>
  <c r="AA48" i="254" s="1"/>
  <c r="Z46" i="254"/>
  <c r="Z48" i="254" s="1"/>
  <c r="Y46" i="254"/>
  <c r="Y48" i="254" s="1"/>
  <c r="X46" i="254"/>
  <c r="X48" i="254" s="1"/>
  <c r="W46" i="254"/>
  <c r="W48" i="254" s="1"/>
  <c r="V46" i="254"/>
  <c r="V48" i="254" s="1"/>
  <c r="U46" i="254"/>
  <c r="U48" i="254" s="1"/>
  <c r="T46" i="254"/>
  <c r="T48" i="254" s="1"/>
  <c r="S46" i="254"/>
  <c r="S48" i="254" s="1"/>
  <c r="R46" i="254"/>
  <c r="R48" i="254" s="1"/>
  <c r="Q46" i="254"/>
  <c r="Q48" i="254" s="1"/>
  <c r="P46" i="254"/>
  <c r="P48" i="254" s="1"/>
  <c r="O46" i="254"/>
  <c r="O48" i="254" s="1"/>
  <c r="N46" i="254"/>
  <c r="N48" i="254" s="1"/>
  <c r="M46" i="254"/>
  <c r="M48" i="254" s="1"/>
  <c r="L46" i="254"/>
  <c r="L48" i="254" s="1"/>
  <c r="K46" i="254"/>
  <c r="K48" i="254" s="1"/>
  <c r="J46" i="254"/>
  <c r="J48" i="254" s="1"/>
  <c r="I46" i="254"/>
  <c r="I48" i="254" s="1"/>
  <c r="H46" i="254"/>
  <c r="H48" i="254" s="1"/>
  <c r="G46" i="254"/>
  <c r="G48" i="254" s="1"/>
  <c r="F46" i="254"/>
  <c r="F48" i="254" s="1"/>
  <c r="E46" i="254"/>
  <c r="E48" i="254" s="1"/>
  <c r="E44" i="255"/>
  <c r="E45" i="255" s="1"/>
  <c r="E22" i="255"/>
  <c r="B2" i="254"/>
  <c r="B1" i="254"/>
  <c r="F55" i="255" l="1"/>
  <c r="J55" i="255"/>
  <c r="N55" i="255"/>
  <c r="R55" i="255"/>
  <c r="V55" i="255"/>
  <c r="Z55" i="255"/>
  <c r="G55" i="255"/>
  <c r="K55" i="255"/>
  <c r="O55" i="255"/>
  <c r="S55" i="255"/>
  <c r="W55" i="255"/>
  <c r="AA55" i="255"/>
  <c r="H55" i="255"/>
  <c r="L55" i="255"/>
  <c r="P55" i="255"/>
  <c r="T55" i="255"/>
  <c r="X55" i="255"/>
  <c r="AB55" i="255"/>
  <c r="E55" i="255"/>
  <c r="I55" i="255"/>
  <c r="M55" i="255"/>
  <c r="Q55" i="255"/>
  <c r="U55" i="255"/>
  <c r="Y55" i="255"/>
  <c r="AC55" i="255"/>
  <c r="U37" i="254"/>
  <c r="U42" i="254" s="1"/>
  <c r="V35" i="254"/>
  <c r="U40" i="254"/>
  <c r="V34" i="254"/>
  <c r="U36" i="254"/>
  <c r="U41" i="254" s="1"/>
  <c r="U39" i="254"/>
  <c r="F44" i="255"/>
  <c r="F45" i="255" s="1"/>
  <c r="AC54" i="253"/>
  <c r="AB54" i="253"/>
  <c r="AA54" i="253"/>
  <c r="Z54" i="253"/>
  <c r="Y54" i="253"/>
  <c r="X54" i="253"/>
  <c r="W54" i="253"/>
  <c r="V54" i="253"/>
  <c r="U54" i="253"/>
  <c r="T54" i="253"/>
  <c r="S54" i="253"/>
  <c r="R54" i="253"/>
  <c r="Q54" i="253"/>
  <c r="P54" i="253"/>
  <c r="O54" i="253"/>
  <c r="N54" i="253"/>
  <c r="M54" i="253"/>
  <c r="L54" i="253"/>
  <c r="K54" i="253"/>
  <c r="J54" i="253"/>
  <c r="I54" i="253"/>
  <c r="H54" i="253"/>
  <c r="G54" i="253"/>
  <c r="F54" i="253"/>
  <c r="E54" i="253"/>
  <c r="AC49" i="253"/>
  <c r="AC55" i="253" s="1"/>
  <c r="AB49" i="253"/>
  <c r="AA49" i="253"/>
  <c r="Z49" i="253"/>
  <c r="Y49" i="253"/>
  <c r="Y55" i="253" s="1"/>
  <c r="X49" i="253"/>
  <c r="W49" i="253"/>
  <c r="V49" i="253"/>
  <c r="U49" i="253"/>
  <c r="U55" i="253" s="1"/>
  <c r="T49" i="253"/>
  <c r="S49" i="253"/>
  <c r="R49" i="253"/>
  <c r="Q49" i="253"/>
  <c r="Q55" i="253" s="1"/>
  <c r="P49" i="253"/>
  <c r="O49" i="253"/>
  <c r="N49" i="253"/>
  <c r="M49" i="253"/>
  <c r="M55" i="253" s="1"/>
  <c r="L49" i="253"/>
  <c r="K49" i="253"/>
  <c r="J49" i="253"/>
  <c r="I49" i="253"/>
  <c r="I55" i="253" s="1"/>
  <c r="H49" i="253"/>
  <c r="G49" i="253"/>
  <c r="F49" i="253"/>
  <c r="E49" i="253"/>
  <c r="E55" i="253" s="1"/>
  <c r="B35" i="253"/>
  <c r="H31" i="253"/>
  <c r="H32" i="253" s="1"/>
  <c r="G31" i="253"/>
  <c r="G32" i="253" s="1"/>
  <c r="F31" i="253"/>
  <c r="F32" i="253" s="1"/>
  <c r="E31" i="253"/>
  <c r="E32" i="253" s="1"/>
  <c r="B22" i="253"/>
  <c r="B2" i="253"/>
  <c r="B1" i="253"/>
  <c r="D48" i="252"/>
  <c r="AB46" i="252"/>
  <c r="AB48" i="252" s="1"/>
  <c r="AA46" i="252"/>
  <c r="AA48" i="252" s="1"/>
  <c r="Z46" i="252"/>
  <c r="Z48" i="252" s="1"/>
  <c r="Y46" i="252"/>
  <c r="Y48" i="252" s="1"/>
  <c r="X46" i="252"/>
  <c r="X48" i="252" s="1"/>
  <c r="W46" i="252"/>
  <c r="W48" i="252" s="1"/>
  <c r="V46" i="252"/>
  <c r="V48" i="252" s="1"/>
  <c r="U46" i="252"/>
  <c r="U48" i="252" s="1"/>
  <c r="T46" i="252"/>
  <c r="T48" i="252" s="1"/>
  <c r="S46" i="252"/>
  <c r="S48" i="252" s="1"/>
  <c r="R46" i="252"/>
  <c r="R48" i="252" s="1"/>
  <c r="Q46" i="252"/>
  <c r="Q48" i="252" s="1"/>
  <c r="P46" i="252"/>
  <c r="P48" i="252" s="1"/>
  <c r="O46" i="252"/>
  <c r="O48" i="252" s="1"/>
  <c r="N46" i="252"/>
  <c r="N48" i="252" s="1"/>
  <c r="M46" i="252"/>
  <c r="M48" i="252" s="1"/>
  <c r="L46" i="252"/>
  <c r="L48" i="252" s="1"/>
  <c r="K46" i="252"/>
  <c r="K48" i="252" s="1"/>
  <c r="J46" i="252"/>
  <c r="J48" i="252" s="1"/>
  <c r="I46" i="252"/>
  <c r="I48" i="252" s="1"/>
  <c r="H46" i="252"/>
  <c r="H48" i="252" s="1"/>
  <c r="G46" i="252"/>
  <c r="G48" i="252" s="1"/>
  <c r="F46" i="252"/>
  <c r="F48" i="252" s="1"/>
  <c r="E46" i="252"/>
  <c r="E48" i="252" s="1"/>
  <c r="AB43" i="252"/>
  <c r="AA43" i="252"/>
  <c r="Z43" i="252"/>
  <c r="Y43" i="252"/>
  <c r="X43" i="252"/>
  <c r="W43" i="252"/>
  <c r="V43" i="252"/>
  <c r="U43" i="252"/>
  <c r="T43" i="252"/>
  <c r="S43" i="252"/>
  <c r="R43" i="252"/>
  <c r="Q43" i="252"/>
  <c r="P43" i="252"/>
  <c r="O43" i="252"/>
  <c r="N43" i="252"/>
  <c r="M43" i="252"/>
  <c r="L43" i="252"/>
  <c r="K43" i="252"/>
  <c r="J43" i="252"/>
  <c r="I43" i="252"/>
  <c r="H43" i="252"/>
  <c r="G43" i="252"/>
  <c r="F43" i="252"/>
  <c r="E43" i="252"/>
  <c r="D43" i="252"/>
  <c r="G42" i="252"/>
  <c r="F42" i="252"/>
  <c r="E42" i="252"/>
  <c r="D42" i="252"/>
  <c r="J40" i="252"/>
  <c r="G40" i="252"/>
  <c r="F40" i="252"/>
  <c r="E40" i="252"/>
  <c r="D40" i="252"/>
  <c r="D39" i="252"/>
  <c r="D36" i="252"/>
  <c r="E35" i="253" s="1"/>
  <c r="E44" i="253" s="1"/>
  <c r="E45" i="253" s="1"/>
  <c r="M34" i="252"/>
  <c r="K40" i="252"/>
  <c r="H40" i="252"/>
  <c r="N34" i="252"/>
  <c r="L34" i="252"/>
  <c r="L39" i="252" s="1"/>
  <c r="K34" i="252"/>
  <c r="K39" i="252" s="1"/>
  <c r="J34" i="252"/>
  <c r="J36" i="252" s="1"/>
  <c r="H34" i="252"/>
  <c r="H39" i="252" s="1"/>
  <c r="G34" i="252"/>
  <c r="G39" i="252" s="1"/>
  <c r="F34" i="252"/>
  <c r="F36" i="252" s="1"/>
  <c r="E34" i="252"/>
  <c r="E39" i="252" s="1"/>
  <c r="AB32" i="252"/>
  <c r="AA32" i="252"/>
  <c r="Z32" i="252"/>
  <c r="Y32" i="252"/>
  <c r="X32" i="252"/>
  <c r="W32" i="252"/>
  <c r="V32" i="252"/>
  <c r="U32" i="252"/>
  <c r="T32" i="252"/>
  <c r="S32" i="252"/>
  <c r="R32" i="252"/>
  <c r="Q32" i="252"/>
  <c r="P32" i="252"/>
  <c r="O32" i="252"/>
  <c r="N32" i="252"/>
  <c r="M32" i="252"/>
  <c r="L32" i="252"/>
  <c r="K32" i="252"/>
  <c r="J32" i="252"/>
  <c r="I32" i="252"/>
  <c r="H32" i="252"/>
  <c r="G32" i="252"/>
  <c r="F32" i="252"/>
  <c r="E32" i="252"/>
  <c r="D32" i="252"/>
  <c r="G31" i="252"/>
  <c r="F31" i="252"/>
  <c r="E31" i="252"/>
  <c r="D31" i="252"/>
  <c r="J29" i="252"/>
  <c r="H29" i="252"/>
  <c r="G29" i="252"/>
  <c r="F29" i="252"/>
  <c r="E29" i="252"/>
  <c r="D29" i="252"/>
  <c r="D28" i="252"/>
  <c r="D25" i="252"/>
  <c r="E22" i="253" s="1"/>
  <c r="L29" i="252"/>
  <c r="K29" i="252"/>
  <c r="N23" i="252"/>
  <c r="M23" i="252"/>
  <c r="M28" i="252" s="1"/>
  <c r="L23" i="252"/>
  <c r="L28" i="252" s="1"/>
  <c r="K23" i="252"/>
  <c r="K28" i="252" s="1"/>
  <c r="J23" i="252"/>
  <c r="I23" i="252"/>
  <c r="I28" i="252" s="1"/>
  <c r="H23" i="252"/>
  <c r="H28" i="252" s="1"/>
  <c r="G23" i="252"/>
  <c r="G25" i="252" s="1"/>
  <c r="F23" i="252"/>
  <c r="F25" i="252" s="1"/>
  <c r="E23" i="252"/>
  <c r="E28" i="252" s="1"/>
  <c r="B2" i="252"/>
  <c r="B1" i="252"/>
  <c r="AC54" i="251"/>
  <c r="AB54" i="251"/>
  <c r="AA54" i="251"/>
  <c r="Z54" i="251"/>
  <c r="Y54" i="251"/>
  <c r="X54" i="251"/>
  <c r="W54" i="251"/>
  <c r="V54" i="251"/>
  <c r="U54" i="251"/>
  <c r="T54" i="251"/>
  <c r="S54" i="251"/>
  <c r="R54" i="251"/>
  <c r="Q54" i="251"/>
  <c r="P54" i="251"/>
  <c r="O54" i="251"/>
  <c r="N54" i="251"/>
  <c r="M54" i="251"/>
  <c r="L54" i="251"/>
  <c r="K54" i="251"/>
  <c r="J54" i="251"/>
  <c r="I54" i="251"/>
  <c r="H54" i="251"/>
  <c r="G54" i="251"/>
  <c r="F54" i="251"/>
  <c r="E54" i="251"/>
  <c r="AC49" i="251"/>
  <c r="AB49" i="251"/>
  <c r="AA49" i="251"/>
  <c r="Z49" i="251"/>
  <c r="Y49" i="251"/>
  <c r="X49" i="251"/>
  <c r="W49" i="251"/>
  <c r="V49" i="251"/>
  <c r="U49" i="251"/>
  <c r="T49" i="251"/>
  <c r="S49" i="251"/>
  <c r="R49" i="251"/>
  <c r="Q49" i="251"/>
  <c r="P49" i="251"/>
  <c r="O49" i="251"/>
  <c r="N49" i="251"/>
  <c r="M49" i="251"/>
  <c r="L49" i="251"/>
  <c r="K49" i="251"/>
  <c r="J49" i="251"/>
  <c r="I49" i="251"/>
  <c r="H49" i="251"/>
  <c r="G49" i="251"/>
  <c r="F49" i="251"/>
  <c r="E49" i="251"/>
  <c r="B35" i="251"/>
  <c r="H31" i="251"/>
  <c r="H32" i="251" s="1"/>
  <c r="G31" i="251"/>
  <c r="G32" i="251" s="1"/>
  <c r="F31" i="251"/>
  <c r="F32" i="251" s="1"/>
  <c r="E31" i="251"/>
  <c r="E32" i="251" s="1"/>
  <c r="B22" i="251"/>
  <c r="B2" i="251"/>
  <c r="B1" i="251"/>
  <c r="D48" i="250"/>
  <c r="AB46" i="250"/>
  <c r="AB48" i="250" s="1"/>
  <c r="AA46" i="250"/>
  <c r="AA48" i="250" s="1"/>
  <c r="Z46" i="250"/>
  <c r="Z48" i="250" s="1"/>
  <c r="Y46" i="250"/>
  <c r="Y48" i="250" s="1"/>
  <c r="X46" i="250"/>
  <c r="X48" i="250" s="1"/>
  <c r="W46" i="250"/>
  <c r="W48" i="250" s="1"/>
  <c r="V46" i="250"/>
  <c r="V48" i="250" s="1"/>
  <c r="U46" i="250"/>
  <c r="U48" i="250" s="1"/>
  <c r="T46" i="250"/>
  <c r="T48" i="250" s="1"/>
  <c r="S46" i="250"/>
  <c r="S48" i="250" s="1"/>
  <c r="R46" i="250"/>
  <c r="R48" i="250" s="1"/>
  <c r="Q46" i="250"/>
  <c r="Q48" i="250" s="1"/>
  <c r="P46" i="250"/>
  <c r="P48" i="250" s="1"/>
  <c r="O46" i="250"/>
  <c r="O48" i="250" s="1"/>
  <c r="N46" i="250"/>
  <c r="N48" i="250" s="1"/>
  <c r="M46" i="250"/>
  <c r="M48" i="250" s="1"/>
  <c r="L46" i="250"/>
  <c r="L48" i="250" s="1"/>
  <c r="K46" i="250"/>
  <c r="K48" i="250" s="1"/>
  <c r="J46" i="250"/>
  <c r="J48" i="250" s="1"/>
  <c r="I46" i="250"/>
  <c r="I48" i="250" s="1"/>
  <c r="H46" i="250"/>
  <c r="H48" i="250" s="1"/>
  <c r="G46" i="250"/>
  <c r="G48" i="250" s="1"/>
  <c r="F46" i="250"/>
  <c r="F48" i="250" s="1"/>
  <c r="E46" i="250"/>
  <c r="E48" i="250" s="1"/>
  <c r="AB43" i="250"/>
  <c r="AA43" i="250"/>
  <c r="Z43" i="250"/>
  <c r="Y43" i="250"/>
  <c r="X43" i="250"/>
  <c r="W43" i="250"/>
  <c r="V43" i="250"/>
  <c r="U43" i="250"/>
  <c r="T43" i="250"/>
  <c r="S43" i="250"/>
  <c r="R43" i="250"/>
  <c r="Q43" i="250"/>
  <c r="P43" i="250"/>
  <c r="O43" i="250"/>
  <c r="N43" i="250"/>
  <c r="M43" i="250"/>
  <c r="L43" i="250"/>
  <c r="K43" i="250"/>
  <c r="J43" i="250"/>
  <c r="I43" i="250"/>
  <c r="H43" i="250"/>
  <c r="G43" i="250"/>
  <c r="F43" i="250"/>
  <c r="E43" i="250"/>
  <c r="D43" i="250"/>
  <c r="G42" i="250"/>
  <c r="F42" i="250"/>
  <c r="E42" i="250"/>
  <c r="D42" i="250"/>
  <c r="K40" i="250"/>
  <c r="G40" i="250"/>
  <c r="F40" i="250"/>
  <c r="E40" i="250"/>
  <c r="D40" i="250"/>
  <c r="D39" i="250"/>
  <c r="D36" i="250"/>
  <c r="E35" i="251" s="1"/>
  <c r="E44" i="251" s="1"/>
  <c r="E45" i="251" s="1"/>
  <c r="M40" i="250"/>
  <c r="J40" i="250"/>
  <c r="I40" i="250"/>
  <c r="N34" i="250"/>
  <c r="N35" i="250" s="1"/>
  <c r="M34" i="250"/>
  <c r="M36" i="250" s="1"/>
  <c r="L34" i="250"/>
  <c r="L36" i="250" s="1"/>
  <c r="K34" i="250"/>
  <c r="K39" i="250" s="1"/>
  <c r="J34" i="250"/>
  <c r="J39" i="250" s="1"/>
  <c r="I34" i="250"/>
  <c r="I36" i="250" s="1"/>
  <c r="H34" i="250"/>
  <c r="H36" i="250" s="1"/>
  <c r="G34" i="250"/>
  <c r="G39" i="250" s="1"/>
  <c r="F34" i="250"/>
  <c r="F36" i="250" s="1"/>
  <c r="E34" i="250"/>
  <c r="E36" i="250" s="1"/>
  <c r="AB32" i="250"/>
  <c r="AA32" i="250"/>
  <c r="Z32" i="250"/>
  <c r="Y32" i="250"/>
  <c r="X32" i="250"/>
  <c r="W32" i="250"/>
  <c r="V32" i="250"/>
  <c r="U32" i="250"/>
  <c r="T32" i="250"/>
  <c r="S32" i="250"/>
  <c r="R32" i="250"/>
  <c r="Q32" i="250"/>
  <c r="P32" i="250"/>
  <c r="O32" i="250"/>
  <c r="N32" i="250"/>
  <c r="M32" i="250"/>
  <c r="L32" i="250"/>
  <c r="K32" i="250"/>
  <c r="J32" i="250"/>
  <c r="I32" i="250"/>
  <c r="H32" i="250"/>
  <c r="G32" i="250"/>
  <c r="F32" i="250"/>
  <c r="E32" i="250"/>
  <c r="D32" i="250"/>
  <c r="G31" i="250"/>
  <c r="F31" i="250"/>
  <c r="E31" i="250"/>
  <c r="D31" i="250"/>
  <c r="K29" i="250"/>
  <c r="G29" i="250"/>
  <c r="F29" i="250"/>
  <c r="E29" i="250"/>
  <c r="D29" i="250"/>
  <c r="D28" i="250"/>
  <c r="D25" i="250"/>
  <c r="E22" i="251" s="1"/>
  <c r="M29" i="250"/>
  <c r="J29" i="250"/>
  <c r="I29" i="250"/>
  <c r="N23" i="250"/>
  <c r="M23" i="250"/>
  <c r="M25" i="250" s="1"/>
  <c r="L23" i="250"/>
  <c r="L25" i="250" s="1"/>
  <c r="K23" i="250"/>
  <c r="J23" i="250"/>
  <c r="J28" i="250" s="1"/>
  <c r="I23" i="250"/>
  <c r="I25" i="250" s="1"/>
  <c r="H23" i="250"/>
  <c r="H25" i="250" s="1"/>
  <c r="G23" i="250"/>
  <c r="G28" i="250" s="1"/>
  <c r="F23" i="250"/>
  <c r="F25" i="250" s="1"/>
  <c r="E23" i="250"/>
  <c r="E25" i="250" s="1"/>
  <c r="E30" i="250" s="1"/>
  <c r="B2" i="250"/>
  <c r="B1" i="250"/>
  <c r="B35" i="231"/>
  <c r="B22" i="231"/>
  <c r="AB43" i="230"/>
  <c r="AA43" i="230"/>
  <c r="Z43" i="230"/>
  <c r="Y43" i="230"/>
  <c r="X43" i="230"/>
  <c r="W43" i="230"/>
  <c r="V43" i="230"/>
  <c r="U43" i="230"/>
  <c r="T43" i="230"/>
  <c r="S43" i="230"/>
  <c r="R43" i="230"/>
  <c r="Q43" i="230"/>
  <c r="P43" i="230"/>
  <c r="O43" i="230"/>
  <c r="N43" i="230"/>
  <c r="M43" i="230"/>
  <c r="L43" i="230"/>
  <c r="K43" i="230"/>
  <c r="J43" i="230"/>
  <c r="I43" i="230"/>
  <c r="H43" i="230"/>
  <c r="G43" i="230"/>
  <c r="F43" i="230"/>
  <c r="E43" i="230"/>
  <c r="D43" i="230"/>
  <c r="G42" i="230"/>
  <c r="F42" i="230"/>
  <c r="E42" i="230"/>
  <c r="D42" i="230"/>
  <c r="G40" i="230"/>
  <c r="F40" i="230"/>
  <c r="E40" i="230"/>
  <c r="D40" i="230"/>
  <c r="D39" i="230"/>
  <c r="AB32" i="230"/>
  <c r="AA32" i="230"/>
  <c r="Z32" i="230"/>
  <c r="Y32" i="230"/>
  <c r="X32" i="230"/>
  <c r="W32" i="230"/>
  <c r="V32" i="230"/>
  <c r="U32" i="230"/>
  <c r="T32" i="230"/>
  <c r="S32" i="230"/>
  <c r="R32" i="230"/>
  <c r="Q32" i="230"/>
  <c r="P32" i="230"/>
  <c r="O32" i="230"/>
  <c r="N32" i="230"/>
  <c r="M32" i="230"/>
  <c r="L32" i="230"/>
  <c r="K32" i="230"/>
  <c r="J32" i="230"/>
  <c r="I32" i="230"/>
  <c r="H32" i="230"/>
  <c r="G32" i="230"/>
  <c r="F32" i="230"/>
  <c r="E32" i="230"/>
  <c r="D32" i="230"/>
  <c r="G31" i="230"/>
  <c r="F31" i="230"/>
  <c r="E31" i="230"/>
  <c r="D31" i="230"/>
  <c r="G29" i="230"/>
  <c r="F29" i="230"/>
  <c r="E29" i="230"/>
  <c r="D29" i="230"/>
  <c r="D28" i="230"/>
  <c r="M40" i="230"/>
  <c r="L40" i="230"/>
  <c r="K40" i="230"/>
  <c r="J40" i="230"/>
  <c r="I40" i="230"/>
  <c r="M29" i="230"/>
  <c r="L29" i="230"/>
  <c r="I29" i="230"/>
  <c r="J110" i="191"/>
  <c r="I110" i="191"/>
  <c r="F110" i="191"/>
  <c r="E110" i="191"/>
  <c r="L100" i="191"/>
  <c r="K100" i="191"/>
  <c r="J100" i="191"/>
  <c r="H100" i="191"/>
  <c r="G100" i="191"/>
  <c r="F100" i="191"/>
  <c r="J87" i="191"/>
  <c r="I87" i="191"/>
  <c r="F87" i="191"/>
  <c r="E87" i="191"/>
  <c r="I77" i="191"/>
  <c r="H77" i="191"/>
  <c r="H87" i="191"/>
  <c r="K64" i="191"/>
  <c r="I64" i="191"/>
  <c r="G64" i="191"/>
  <c r="E64" i="191"/>
  <c r="L54" i="191"/>
  <c r="K54" i="191"/>
  <c r="I54" i="191"/>
  <c r="H54" i="191"/>
  <c r="G54" i="191"/>
  <c r="L41" i="191"/>
  <c r="K41" i="191"/>
  <c r="I41" i="191"/>
  <c r="H41" i="191"/>
  <c r="G41" i="191"/>
  <c r="E41" i="191"/>
  <c r="L31" i="191"/>
  <c r="K31" i="191"/>
  <c r="J31" i="191"/>
  <c r="I31" i="191"/>
  <c r="H31" i="191"/>
  <c r="G31" i="191"/>
  <c r="F31" i="191"/>
  <c r="E31" i="191"/>
  <c r="E42" i="191" s="1"/>
  <c r="K110" i="191"/>
  <c r="G110" i="191"/>
  <c r="F41" i="191"/>
  <c r="B132" i="191"/>
  <c r="B127" i="191"/>
  <c r="B126" i="191"/>
  <c r="B125" i="191"/>
  <c r="B119" i="191"/>
  <c r="B114" i="191"/>
  <c r="B113" i="191"/>
  <c r="B112" i="191"/>
  <c r="B101" i="191"/>
  <c r="B91" i="191"/>
  <c r="B90" i="191"/>
  <c r="B89" i="191"/>
  <c r="B78" i="191"/>
  <c r="B68" i="191"/>
  <c r="B67" i="191"/>
  <c r="B66" i="191"/>
  <c r="B55" i="191"/>
  <c r="B45" i="191"/>
  <c r="B44" i="191"/>
  <c r="B43" i="191"/>
  <c r="H42" i="191" l="1"/>
  <c r="K65" i="191"/>
  <c r="I88" i="191"/>
  <c r="I42" i="191"/>
  <c r="I65" i="191"/>
  <c r="J111" i="191"/>
  <c r="G42" i="191"/>
  <c r="G65" i="191"/>
  <c r="F111" i="191"/>
  <c r="J41" i="191"/>
  <c r="J42" i="191" s="1"/>
  <c r="H88" i="191"/>
  <c r="H55" i="251"/>
  <c r="L55" i="251"/>
  <c r="X55" i="251"/>
  <c r="AB55" i="251"/>
  <c r="I55" i="251"/>
  <c r="Q55" i="251"/>
  <c r="U55" i="251"/>
  <c r="AC55" i="251"/>
  <c r="G36" i="252"/>
  <c r="G41" i="252" s="1"/>
  <c r="F55" i="251"/>
  <c r="J55" i="251"/>
  <c r="N55" i="251"/>
  <c r="R55" i="251"/>
  <c r="V55" i="251"/>
  <c r="Z55" i="251"/>
  <c r="G28" i="252"/>
  <c r="E55" i="251"/>
  <c r="M55" i="251"/>
  <c r="Y55" i="251"/>
  <c r="P55" i="251"/>
  <c r="T55" i="251"/>
  <c r="F55" i="253"/>
  <c r="J55" i="253"/>
  <c r="N55" i="253"/>
  <c r="R55" i="253"/>
  <c r="V55" i="253"/>
  <c r="Z55" i="253"/>
  <c r="G55" i="253"/>
  <c r="K55" i="253"/>
  <c r="O55" i="253"/>
  <c r="S55" i="253"/>
  <c r="W55" i="253"/>
  <c r="AA55" i="253"/>
  <c r="G55" i="251"/>
  <c r="K55" i="251"/>
  <c r="O55" i="251"/>
  <c r="S55" i="251"/>
  <c r="W55" i="251"/>
  <c r="AA55" i="251"/>
  <c r="H55" i="253"/>
  <c r="L55" i="253"/>
  <c r="P55" i="253"/>
  <c r="T55" i="253"/>
  <c r="X55" i="253"/>
  <c r="AB55" i="253"/>
  <c r="H26" i="252"/>
  <c r="H31" i="252" s="1"/>
  <c r="V36" i="254"/>
  <c r="V41" i="254" s="1"/>
  <c r="V39" i="254"/>
  <c r="W35" i="254"/>
  <c r="V40" i="254"/>
  <c r="W34" i="254"/>
  <c r="V37" i="254"/>
  <c r="V42" i="254" s="1"/>
  <c r="S118" i="191"/>
  <c r="H123" i="191"/>
  <c r="L123" i="191"/>
  <c r="P123" i="191"/>
  <c r="L136" i="191"/>
  <c r="F118" i="191"/>
  <c r="J118" i="191"/>
  <c r="N118" i="191"/>
  <c r="R118" i="191"/>
  <c r="G118" i="191"/>
  <c r="K118" i="191"/>
  <c r="O118" i="191"/>
  <c r="H118" i="191"/>
  <c r="L118" i="191"/>
  <c r="P118" i="191"/>
  <c r="G123" i="191"/>
  <c r="K123" i="191"/>
  <c r="O123" i="191"/>
  <c r="S123" i="191"/>
  <c r="H29" i="230"/>
  <c r="G131" i="191"/>
  <c r="K131" i="191"/>
  <c r="O131" i="191"/>
  <c r="S131" i="191"/>
  <c r="H136" i="191"/>
  <c r="P136" i="191"/>
  <c r="E136" i="191"/>
  <c r="I136" i="191"/>
  <c r="M136" i="191"/>
  <c r="Q136" i="191"/>
  <c r="F136" i="191"/>
  <c r="J136" i="191"/>
  <c r="N136" i="191"/>
  <c r="R136" i="191"/>
  <c r="H40" i="230"/>
  <c r="J77" i="191"/>
  <c r="J88" i="191" s="1"/>
  <c r="F54" i="191"/>
  <c r="F64" i="191"/>
  <c r="I100" i="191"/>
  <c r="I111" i="191" s="1"/>
  <c r="E100" i="191"/>
  <c r="E111" i="191" s="1"/>
  <c r="K42" i="191"/>
  <c r="F77" i="191"/>
  <c r="F88" i="191" s="1"/>
  <c r="J29" i="230"/>
  <c r="F42" i="191"/>
  <c r="J54" i="191"/>
  <c r="J64" i="191"/>
  <c r="E77" i="191"/>
  <c r="E88" i="191" s="1"/>
  <c r="E123" i="191"/>
  <c r="I123" i="191"/>
  <c r="M123" i="191"/>
  <c r="Q123" i="191"/>
  <c r="G77" i="191"/>
  <c r="K77" i="191"/>
  <c r="K87" i="191"/>
  <c r="G87" i="191"/>
  <c r="G111" i="191"/>
  <c r="K111" i="191"/>
  <c r="K29" i="230"/>
  <c r="K28" i="250"/>
  <c r="K26" i="250"/>
  <c r="K31" i="250" s="1"/>
  <c r="J25" i="252"/>
  <c r="K22" i="253" s="1"/>
  <c r="J26" i="252"/>
  <c r="J31" i="252" s="1"/>
  <c r="H22" i="253"/>
  <c r="G30" i="252"/>
  <c r="H64" i="191"/>
  <c r="H65" i="191" s="1"/>
  <c r="L64" i="191"/>
  <c r="L65" i="191" s="1"/>
  <c r="I118" i="191"/>
  <c r="M118" i="191"/>
  <c r="Q118" i="191"/>
  <c r="F123" i="191"/>
  <c r="F124" i="191" s="1"/>
  <c r="J123" i="191"/>
  <c r="J124" i="191" s="1"/>
  <c r="N123" i="191"/>
  <c r="R123" i="191"/>
  <c r="R124" i="191" s="1"/>
  <c r="F131" i="191"/>
  <c r="J131" i="191"/>
  <c r="N131" i="191"/>
  <c r="R131" i="191"/>
  <c r="M26" i="250"/>
  <c r="M31" i="250" s="1"/>
  <c r="H110" i="191"/>
  <c r="H111" i="191" s="1"/>
  <c r="L110" i="191"/>
  <c r="L111" i="191" s="1"/>
  <c r="H131" i="191"/>
  <c r="H137" i="191" s="1"/>
  <c r="L131" i="191"/>
  <c r="P131" i="191"/>
  <c r="E131" i="191"/>
  <c r="I131" i="191"/>
  <c r="M131" i="191"/>
  <c r="Q131" i="191"/>
  <c r="G136" i="191"/>
  <c r="K136" i="191"/>
  <c r="O136" i="191"/>
  <c r="S136" i="191"/>
  <c r="F22" i="251"/>
  <c r="F22" i="255"/>
  <c r="G44" i="255"/>
  <c r="G45" i="255" s="1"/>
  <c r="G22" i="255"/>
  <c r="N35" i="252"/>
  <c r="N37" i="252" s="1"/>
  <c r="N42" i="252" s="1"/>
  <c r="J37" i="252"/>
  <c r="J42" i="252" s="1"/>
  <c r="M37" i="250"/>
  <c r="M42" i="250" s="1"/>
  <c r="K37" i="250"/>
  <c r="K42" i="250" s="1"/>
  <c r="I37" i="250"/>
  <c r="I42" i="250" s="1"/>
  <c r="I26" i="250"/>
  <c r="I31" i="250" s="1"/>
  <c r="M39" i="252"/>
  <c r="M36" i="252"/>
  <c r="E25" i="252"/>
  <c r="M25" i="252"/>
  <c r="G35" i="253"/>
  <c r="G44" i="253" s="1"/>
  <c r="G45" i="253" s="1"/>
  <c r="F41" i="252"/>
  <c r="G22" i="253"/>
  <c r="F30" i="252"/>
  <c r="M37" i="252"/>
  <c r="M42" i="252" s="1"/>
  <c r="L37" i="252"/>
  <c r="L42" i="252" s="1"/>
  <c r="L40" i="252"/>
  <c r="H35" i="253"/>
  <c r="H44" i="253" s="1"/>
  <c r="H45" i="253" s="1"/>
  <c r="I26" i="252"/>
  <c r="I31" i="252" s="1"/>
  <c r="M26" i="252"/>
  <c r="M31" i="252" s="1"/>
  <c r="I25" i="252"/>
  <c r="L26" i="252"/>
  <c r="L31" i="252" s="1"/>
  <c r="K36" i="252"/>
  <c r="K35" i="253"/>
  <c r="J41" i="252"/>
  <c r="K25" i="252"/>
  <c r="I34" i="252"/>
  <c r="E36" i="252"/>
  <c r="H37" i="252"/>
  <c r="H42" i="252" s="1"/>
  <c r="H25" i="252"/>
  <c r="L25" i="252"/>
  <c r="K26" i="252"/>
  <c r="K31" i="252" s="1"/>
  <c r="F28" i="252"/>
  <c r="J28" i="252"/>
  <c r="N28" i="252"/>
  <c r="I29" i="252"/>
  <c r="M29" i="252"/>
  <c r="D30" i="252"/>
  <c r="H36" i="252"/>
  <c r="L36" i="252"/>
  <c r="K37" i="252"/>
  <c r="K42" i="252" s="1"/>
  <c r="F39" i="252"/>
  <c r="J39" i="252"/>
  <c r="N39" i="252"/>
  <c r="I40" i="252"/>
  <c r="M40" i="252"/>
  <c r="D41" i="252"/>
  <c r="I22" i="251"/>
  <c r="H30" i="250"/>
  <c r="L30" i="250"/>
  <c r="M22" i="251"/>
  <c r="G35" i="251"/>
  <c r="G44" i="251" s="1"/>
  <c r="G45" i="251" s="1"/>
  <c r="F41" i="250"/>
  <c r="G22" i="251"/>
  <c r="F30" i="250"/>
  <c r="I35" i="251"/>
  <c r="H41" i="250"/>
  <c r="M35" i="251"/>
  <c r="L41" i="250"/>
  <c r="H26" i="250"/>
  <c r="H31" i="250" s="1"/>
  <c r="L26" i="250"/>
  <c r="L31" i="250" s="1"/>
  <c r="J25" i="250"/>
  <c r="L28" i="250"/>
  <c r="N40" i="250"/>
  <c r="O34" i="250"/>
  <c r="N37" i="250"/>
  <c r="N42" i="250" s="1"/>
  <c r="H37" i="250"/>
  <c r="H42" i="250" s="1"/>
  <c r="L37" i="250"/>
  <c r="L42" i="250" s="1"/>
  <c r="J36" i="250"/>
  <c r="L39" i="250"/>
  <c r="F28" i="250"/>
  <c r="N28" i="250"/>
  <c r="F39" i="250"/>
  <c r="N39" i="250"/>
  <c r="H28" i="250"/>
  <c r="N36" i="250"/>
  <c r="H39" i="250"/>
  <c r="J22" i="251"/>
  <c r="I30" i="250"/>
  <c r="N22" i="251"/>
  <c r="M30" i="250"/>
  <c r="D30" i="250"/>
  <c r="F35" i="251"/>
  <c r="F44" i="251" s="1"/>
  <c r="F45" i="251" s="1"/>
  <c r="E41" i="250"/>
  <c r="J35" i="251"/>
  <c r="I41" i="250"/>
  <c r="N35" i="251"/>
  <c r="M41" i="250"/>
  <c r="D41" i="250"/>
  <c r="G25" i="250"/>
  <c r="K25" i="250"/>
  <c r="J26" i="250"/>
  <c r="J31" i="250" s="1"/>
  <c r="E28" i="250"/>
  <c r="I28" i="250"/>
  <c r="M28" i="250"/>
  <c r="H29" i="250"/>
  <c r="L29" i="250"/>
  <c r="G36" i="250"/>
  <c r="K36" i="250"/>
  <c r="J37" i="250"/>
  <c r="J42" i="250" s="1"/>
  <c r="E39" i="250"/>
  <c r="I39" i="250"/>
  <c r="M39" i="250"/>
  <c r="H40" i="250"/>
  <c r="L40" i="250"/>
  <c r="E118" i="191"/>
  <c r="E54" i="191"/>
  <c r="E65" i="191" s="1"/>
  <c r="L42" i="191"/>
  <c r="B95" i="190"/>
  <c r="B113" i="190"/>
  <c r="O132" i="191"/>
  <c r="J132" i="191"/>
  <c r="B119" i="190"/>
  <c r="B112" i="190"/>
  <c r="J119" i="191"/>
  <c r="B101" i="190"/>
  <c r="E114" i="191"/>
  <c r="B94" i="190"/>
  <c r="D87" i="190"/>
  <c r="D81" i="190"/>
  <c r="D69" i="190"/>
  <c r="D63" i="190"/>
  <c r="D51" i="190"/>
  <c r="D45" i="190"/>
  <c r="D33" i="190"/>
  <c r="S124" i="191" l="1"/>
  <c r="K137" i="191"/>
  <c r="R137" i="191"/>
  <c r="Q137" i="191"/>
  <c r="P137" i="191"/>
  <c r="H124" i="191"/>
  <c r="P124" i="191"/>
  <c r="E124" i="191"/>
  <c r="I137" i="191"/>
  <c r="Q124" i="191"/>
  <c r="W40" i="254"/>
  <c r="X34" i="254"/>
  <c r="W37" i="254"/>
  <c r="W42" i="254" s="1"/>
  <c r="X35" i="254"/>
  <c r="W39" i="254"/>
  <c r="W36" i="254"/>
  <c r="W41" i="254" s="1"/>
  <c r="O137" i="191"/>
  <c r="M137" i="191"/>
  <c r="L137" i="191"/>
  <c r="F137" i="191"/>
  <c r="L124" i="191"/>
  <c r="G137" i="191"/>
  <c r="E137" i="191"/>
  <c r="N137" i="191"/>
  <c r="S137" i="191"/>
  <c r="O124" i="191"/>
  <c r="N124" i="191"/>
  <c r="M124" i="191"/>
  <c r="F65" i="191"/>
  <c r="K124" i="191"/>
  <c r="J137" i="191"/>
  <c r="I124" i="191"/>
  <c r="G124" i="191"/>
  <c r="K88" i="191"/>
  <c r="J30" i="252"/>
  <c r="G88" i="191"/>
  <c r="J65" i="191"/>
  <c r="E127" i="191"/>
  <c r="N40" i="252"/>
  <c r="O34" i="252"/>
  <c r="N36" i="252"/>
  <c r="I22" i="253"/>
  <c r="H30" i="252"/>
  <c r="I39" i="252"/>
  <c r="I36" i="252"/>
  <c r="J22" i="253"/>
  <c r="I30" i="252"/>
  <c r="M35" i="253"/>
  <c r="L41" i="252"/>
  <c r="L35" i="253"/>
  <c r="K41" i="252"/>
  <c r="N22" i="253"/>
  <c r="M30" i="252"/>
  <c r="N35" i="253"/>
  <c r="M41" i="252"/>
  <c r="L22" i="253"/>
  <c r="K30" i="252"/>
  <c r="F22" i="253"/>
  <c r="E30" i="252"/>
  <c r="I35" i="253"/>
  <c r="H41" i="252"/>
  <c r="M22" i="253"/>
  <c r="L30" i="252"/>
  <c r="F35" i="253"/>
  <c r="F44" i="253" s="1"/>
  <c r="F45" i="253" s="1"/>
  <c r="E41" i="252"/>
  <c r="I37" i="252"/>
  <c r="I42" i="252" s="1"/>
  <c r="K22" i="251"/>
  <c r="J30" i="250"/>
  <c r="O35" i="251"/>
  <c r="N41" i="250"/>
  <c r="K35" i="251"/>
  <c r="J41" i="250"/>
  <c r="O39" i="250"/>
  <c r="O35" i="250"/>
  <c r="O36" i="250" s="1"/>
  <c r="L35" i="251"/>
  <c r="K41" i="250"/>
  <c r="L22" i="251"/>
  <c r="K30" i="250"/>
  <c r="H35" i="251"/>
  <c r="H44" i="251" s="1"/>
  <c r="H45" i="251" s="1"/>
  <c r="G41" i="250"/>
  <c r="H22" i="251"/>
  <c r="G30" i="250"/>
  <c r="E132" i="191"/>
  <c r="F114" i="191"/>
  <c r="E119" i="191"/>
  <c r="Y34" i="254" l="1"/>
  <c r="X37" i="254"/>
  <c r="X42" i="254" s="1"/>
  <c r="Y35" i="254"/>
  <c r="X40" i="254"/>
  <c r="X39" i="254"/>
  <c r="X36" i="254"/>
  <c r="X41" i="254" s="1"/>
  <c r="O35" i="253"/>
  <c r="N41" i="252"/>
  <c r="O35" i="252"/>
  <c r="O36" i="252" s="1"/>
  <c r="O39" i="252"/>
  <c r="J35" i="253"/>
  <c r="I41" i="252"/>
  <c r="O37" i="250"/>
  <c r="O42" i="250" s="1"/>
  <c r="P34" i="250"/>
  <c r="O40" i="250"/>
  <c r="P35" i="251"/>
  <c r="O41" i="250"/>
  <c r="P132" i="191"/>
  <c r="F127" i="191"/>
  <c r="K132" i="191"/>
  <c r="K119" i="191"/>
  <c r="G114" i="191"/>
  <c r="F119" i="191"/>
  <c r="Y36" i="254" l="1"/>
  <c r="Y41" i="254" s="1"/>
  <c r="Y39" i="254"/>
  <c r="Y37" i="254"/>
  <c r="Y42" i="254" s="1"/>
  <c r="Z35" i="254"/>
  <c r="Y40" i="254"/>
  <c r="Z34" i="254"/>
  <c r="P35" i="253"/>
  <c r="O41" i="252"/>
  <c r="P34" i="252"/>
  <c r="O37" i="252"/>
  <c r="O42" i="252" s="1"/>
  <c r="O40" i="252"/>
  <c r="P35" i="250"/>
  <c r="P36" i="250" s="1"/>
  <c r="P39" i="250"/>
  <c r="F132" i="191"/>
  <c r="AA35" i="254" l="1"/>
  <c r="Z40" i="254"/>
  <c r="AA34" i="254"/>
  <c r="Z37" i="254"/>
  <c r="Z42" i="254" s="1"/>
  <c r="Z36" i="254"/>
  <c r="Z41" i="254" s="1"/>
  <c r="Z39" i="254"/>
  <c r="P39" i="252"/>
  <c r="P35" i="252"/>
  <c r="P36" i="252" s="1"/>
  <c r="Q35" i="251"/>
  <c r="P41" i="250"/>
  <c r="P37" i="250"/>
  <c r="P42" i="250" s="1"/>
  <c r="P40" i="250"/>
  <c r="Q34" i="250"/>
  <c r="Q132" i="191"/>
  <c r="L132" i="191"/>
  <c r="G119" i="191"/>
  <c r="H114" i="191"/>
  <c r="L119" i="191"/>
  <c r="AA39" i="254" l="1"/>
  <c r="AA36" i="254"/>
  <c r="AA41" i="254" s="1"/>
  <c r="AA40" i="254"/>
  <c r="AB34" i="254"/>
  <c r="AA37" i="254"/>
  <c r="AA42" i="254" s="1"/>
  <c r="AB35" i="254"/>
  <c r="Q34" i="252"/>
  <c r="P40" i="252"/>
  <c r="P37" i="252"/>
  <c r="P42" i="252" s="1"/>
  <c r="Q35" i="253"/>
  <c r="P41" i="252"/>
  <c r="Q39" i="250"/>
  <c r="Q35" i="250"/>
  <c r="G132" i="191"/>
  <c r="G127" i="191"/>
  <c r="AB37" i="254" l="1"/>
  <c r="AB42" i="254" s="1"/>
  <c r="AB40" i="254"/>
  <c r="AB39" i="254"/>
  <c r="AB36" i="254"/>
  <c r="Q35" i="252"/>
  <c r="Q36" i="252" s="1"/>
  <c r="Q39" i="252"/>
  <c r="Q37" i="250"/>
  <c r="Q42" i="250" s="1"/>
  <c r="R34" i="250"/>
  <c r="Q40" i="250"/>
  <c r="Q36" i="250"/>
  <c r="H127" i="191"/>
  <c r="M132" i="191"/>
  <c r="M119" i="191"/>
  <c r="H119" i="191"/>
  <c r="AB41" i="254" l="1"/>
  <c r="G24" i="254"/>
  <c r="R35" i="253"/>
  <c r="Q41" i="252"/>
  <c r="R34" i="252"/>
  <c r="Q37" i="252"/>
  <c r="Q42" i="252" s="1"/>
  <c r="Q40" i="252"/>
  <c r="R35" i="251"/>
  <c r="Q41" i="250"/>
  <c r="R35" i="250"/>
  <c r="R36" i="250" s="1"/>
  <c r="R39" i="250"/>
  <c r="H132" i="191"/>
  <c r="R132" i="191"/>
  <c r="I114" i="191"/>
  <c r="G29" i="254" l="1"/>
  <c r="G26" i="254"/>
  <c r="G31" i="254" s="1"/>
  <c r="H23" i="254"/>
  <c r="G25" i="254"/>
  <c r="R39" i="252"/>
  <c r="R35" i="252"/>
  <c r="R40" i="250"/>
  <c r="S34" i="250"/>
  <c r="R37" i="250"/>
  <c r="R42" i="250" s="1"/>
  <c r="S35" i="251"/>
  <c r="R41" i="250"/>
  <c r="S132" i="191"/>
  <c r="I127" i="191"/>
  <c r="J114" i="191"/>
  <c r="I119" i="191"/>
  <c r="H28" i="254" l="1"/>
  <c r="H24" i="254"/>
  <c r="G30" i="254"/>
  <c r="H22" i="255"/>
  <c r="I132" i="191"/>
  <c r="R40" i="252"/>
  <c r="R37" i="252"/>
  <c r="R42" i="252" s="1"/>
  <c r="S34" i="252"/>
  <c r="R36" i="252"/>
  <c r="S39" i="250"/>
  <c r="S35" i="250"/>
  <c r="S36" i="250" s="1"/>
  <c r="N132" i="191"/>
  <c r="H29" i="254" l="1"/>
  <c r="H26" i="254"/>
  <c r="H31" i="254" s="1"/>
  <c r="I23" i="254"/>
  <c r="H25" i="254"/>
  <c r="S35" i="253"/>
  <c r="R41" i="252"/>
  <c r="S39" i="252"/>
  <c r="S35" i="252"/>
  <c r="S37" i="250"/>
  <c r="S42" i="250" s="1"/>
  <c r="T34" i="250"/>
  <c r="S40" i="250"/>
  <c r="T35" i="251"/>
  <c r="S41" i="250"/>
  <c r="J127" i="191"/>
  <c r="K114" i="191"/>
  <c r="H30" i="254" l="1"/>
  <c r="I22" i="255"/>
  <c r="I28" i="254"/>
  <c r="I24" i="254"/>
  <c r="I25" i="254" s="1"/>
  <c r="S36" i="252"/>
  <c r="T34" i="252"/>
  <c r="S37" i="252"/>
  <c r="S42" i="252" s="1"/>
  <c r="S40" i="252"/>
  <c r="T35" i="250"/>
  <c r="T36" i="250" s="1"/>
  <c r="T39" i="250"/>
  <c r="I30" i="254" l="1"/>
  <c r="J22" i="255"/>
  <c r="I26" i="254"/>
  <c r="I31" i="254" s="1"/>
  <c r="I29" i="254"/>
  <c r="J23" i="254"/>
  <c r="T35" i="252"/>
  <c r="T39" i="252"/>
  <c r="S41" i="252"/>
  <c r="T35" i="253"/>
  <c r="U35" i="251"/>
  <c r="T41" i="250"/>
  <c r="T37" i="250"/>
  <c r="T42" i="250" s="1"/>
  <c r="T40" i="250"/>
  <c r="U34" i="250"/>
  <c r="K127" i="191"/>
  <c r="L114" i="191"/>
  <c r="J28" i="254" l="1"/>
  <c r="J24" i="254"/>
  <c r="T36" i="252"/>
  <c r="U34" i="252"/>
  <c r="T40" i="252"/>
  <c r="T37" i="252"/>
  <c r="T42" i="252" s="1"/>
  <c r="U39" i="250"/>
  <c r="U35" i="250"/>
  <c r="J26" i="254" l="1"/>
  <c r="J31" i="254" s="1"/>
  <c r="J29" i="254"/>
  <c r="K23" i="254"/>
  <c r="J25" i="254"/>
  <c r="U35" i="252"/>
  <c r="U36" i="252" s="1"/>
  <c r="U39" i="252"/>
  <c r="U35" i="253"/>
  <c r="T41" i="252"/>
  <c r="U40" i="250"/>
  <c r="U37" i="250"/>
  <c r="U42" i="250" s="1"/>
  <c r="V34" i="250"/>
  <c r="U36" i="250"/>
  <c r="L127" i="191"/>
  <c r="J30" i="254" l="1"/>
  <c r="K22" i="255"/>
  <c r="K28" i="254"/>
  <c r="K24" i="254"/>
  <c r="K25" i="254" s="1"/>
  <c r="V35" i="253"/>
  <c r="U41" i="252"/>
  <c r="U37" i="252"/>
  <c r="U42" i="252" s="1"/>
  <c r="U40" i="252"/>
  <c r="V34" i="252"/>
  <c r="V35" i="251"/>
  <c r="U41" i="250"/>
  <c r="V35" i="250"/>
  <c r="V36" i="250" s="1"/>
  <c r="V39" i="250"/>
  <c r="M114" i="191"/>
  <c r="K30" i="254" l="1"/>
  <c r="L22" i="255"/>
  <c r="K29" i="254"/>
  <c r="K26" i="254"/>
  <c r="K31" i="254" s="1"/>
  <c r="L23" i="254"/>
  <c r="V39" i="252"/>
  <c r="V35" i="252"/>
  <c r="V36" i="252" s="1"/>
  <c r="W35" i="251"/>
  <c r="V41" i="250"/>
  <c r="V40" i="250"/>
  <c r="W34" i="250"/>
  <c r="V37" i="250"/>
  <c r="V42" i="250" s="1"/>
  <c r="L28" i="254" l="1"/>
  <c r="L24" i="254"/>
  <c r="W35" i="253"/>
  <c r="V41" i="252"/>
  <c r="V40" i="252"/>
  <c r="V37" i="252"/>
  <c r="V42" i="252" s="1"/>
  <c r="W34" i="252"/>
  <c r="W39" i="250"/>
  <c r="W35" i="250"/>
  <c r="W36" i="250" s="1"/>
  <c r="M127" i="191"/>
  <c r="L29" i="254" l="1"/>
  <c r="L26" i="254"/>
  <c r="L31" i="254" s="1"/>
  <c r="M23" i="254"/>
  <c r="L25" i="254"/>
  <c r="W39" i="252"/>
  <c r="W35" i="252"/>
  <c r="W36" i="252" s="1"/>
  <c r="W37" i="250"/>
  <c r="W42" i="250" s="1"/>
  <c r="X34" i="250"/>
  <c r="W40" i="250"/>
  <c r="X35" i="251"/>
  <c r="W41" i="250"/>
  <c r="N127" i="191"/>
  <c r="L30" i="254" l="1"/>
  <c r="M22" i="255"/>
  <c r="M28" i="254"/>
  <c r="M25" i="254"/>
  <c r="M24" i="254"/>
  <c r="X34" i="252"/>
  <c r="W37" i="252"/>
  <c r="W42" i="252" s="1"/>
  <c r="W40" i="252"/>
  <c r="W41" i="252"/>
  <c r="X35" i="253"/>
  <c r="X35" i="250"/>
  <c r="X36" i="250"/>
  <c r="X39" i="250"/>
  <c r="M30" i="254" l="1"/>
  <c r="N22" i="255"/>
  <c r="M26" i="254"/>
  <c r="M31" i="254" s="1"/>
  <c r="M29" i="254"/>
  <c r="N23" i="254"/>
  <c r="X39" i="252"/>
  <c r="X35" i="252"/>
  <c r="X36" i="252" s="1"/>
  <c r="Y35" i="251"/>
  <c r="X41" i="250"/>
  <c r="X37" i="250"/>
  <c r="X42" i="250" s="1"/>
  <c r="X40" i="250"/>
  <c r="Y34" i="250"/>
  <c r="N28" i="254" l="1"/>
  <c r="N24" i="254"/>
  <c r="X37" i="252"/>
  <c r="X42" i="252" s="1"/>
  <c r="Y34" i="252"/>
  <c r="X40" i="252"/>
  <c r="Y35" i="253"/>
  <c r="X41" i="252"/>
  <c r="Y39" i="250"/>
  <c r="Y35" i="250"/>
  <c r="Y36" i="250" s="1"/>
  <c r="O127" i="191"/>
  <c r="N26" i="254" l="1"/>
  <c r="N31" i="254" s="1"/>
  <c r="N29" i="254"/>
  <c r="O23" i="254"/>
  <c r="N25" i="254"/>
  <c r="N30" i="254" s="1"/>
  <c r="Y39" i="252"/>
  <c r="Y35" i="252"/>
  <c r="Y37" i="250"/>
  <c r="Y42" i="250" s="1"/>
  <c r="Z34" i="250"/>
  <c r="Y40" i="250"/>
  <c r="Z35" i="251"/>
  <c r="Y41" i="250"/>
  <c r="P127" i="191"/>
  <c r="O28" i="254" l="1"/>
  <c r="O24" i="254"/>
  <c r="Y40" i="252"/>
  <c r="Z34" i="252"/>
  <c r="Y37" i="252"/>
  <c r="Y42" i="252" s="1"/>
  <c r="Y36" i="252"/>
  <c r="Z35" i="250"/>
  <c r="Z36" i="250" s="1"/>
  <c r="Z39" i="250"/>
  <c r="O29" i="254" l="1"/>
  <c r="O26" i="254"/>
  <c r="O31" i="254" s="1"/>
  <c r="P23" i="254"/>
  <c r="O25" i="254"/>
  <c r="O30" i="254" s="1"/>
  <c r="Z35" i="253"/>
  <c r="Y41" i="252"/>
  <c r="Z35" i="252"/>
  <c r="Z39" i="252"/>
  <c r="Z40" i="250"/>
  <c r="AA34" i="250"/>
  <c r="Z37" i="250"/>
  <c r="Z42" i="250" s="1"/>
  <c r="AA35" i="251"/>
  <c r="Z41" i="250"/>
  <c r="P28" i="254" l="1"/>
  <c r="P24" i="254"/>
  <c r="P25" i="254" s="1"/>
  <c r="P30" i="254" s="1"/>
  <c r="Z37" i="252"/>
  <c r="Z42" i="252" s="1"/>
  <c r="AA34" i="252"/>
  <c r="Z40" i="252"/>
  <c r="Z36" i="252"/>
  <c r="AA39" i="250"/>
  <c r="AA35" i="250"/>
  <c r="AA36" i="250" s="1"/>
  <c r="Q127" i="191"/>
  <c r="P29" i="254" l="1"/>
  <c r="P26" i="254"/>
  <c r="P31" i="254" s="1"/>
  <c r="Q23" i="254"/>
  <c r="AA35" i="253"/>
  <c r="Z41" i="252"/>
  <c r="AA35" i="252"/>
  <c r="AA36" i="252" s="1"/>
  <c r="AA39" i="252"/>
  <c r="AA37" i="250"/>
  <c r="AA42" i="250" s="1"/>
  <c r="AB34" i="250"/>
  <c r="AA40" i="250"/>
  <c r="AB35" i="251"/>
  <c r="AA41" i="250"/>
  <c r="R127" i="191"/>
  <c r="Q28" i="254" l="1"/>
  <c r="Q24" i="254"/>
  <c r="Q25" i="254" s="1"/>
  <c r="Q30" i="254" s="1"/>
  <c r="AA40" i="252"/>
  <c r="AB34" i="252"/>
  <c r="AA37" i="252"/>
  <c r="AA42" i="252" s="1"/>
  <c r="AB35" i="253"/>
  <c r="AA41" i="252"/>
  <c r="AB35" i="250"/>
  <c r="AB36" i="250" s="1"/>
  <c r="AB39" i="250"/>
  <c r="Q26" i="254" l="1"/>
  <c r="Q31" i="254" s="1"/>
  <c r="Q29" i="254"/>
  <c r="R23" i="254"/>
  <c r="AB39" i="252"/>
  <c r="AB35" i="252"/>
  <c r="AC35" i="251"/>
  <c r="AB41" i="250"/>
  <c r="AB37" i="250"/>
  <c r="AB42" i="250" s="1"/>
  <c r="AB40" i="250"/>
  <c r="R24" i="254" l="1"/>
  <c r="R25" i="254" s="1"/>
  <c r="R30" i="254" s="1"/>
  <c r="R28" i="254"/>
  <c r="O22" i="255"/>
  <c r="AB36" i="252"/>
  <c r="AB37" i="252"/>
  <c r="AB42" i="252" s="1"/>
  <c r="AB40" i="252"/>
  <c r="N29" i="250"/>
  <c r="O23" i="250"/>
  <c r="N26" i="250"/>
  <c r="N31" i="250" s="1"/>
  <c r="N25" i="250"/>
  <c r="S127" i="191"/>
  <c r="R26" i="254" l="1"/>
  <c r="R31" i="254" s="1"/>
  <c r="R29" i="254"/>
  <c r="S23" i="254"/>
  <c r="P22" i="255"/>
  <c r="AC35" i="253"/>
  <c r="AB41" i="252"/>
  <c r="O22" i="251"/>
  <c r="N30" i="250"/>
  <c r="O28" i="250"/>
  <c r="O25" i="250"/>
  <c r="S28" i="254" l="1"/>
  <c r="S24" i="254"/>
  <c r="S25" i="254" s="1"/>
  <c r="S30" i="254" s="1"/>
  <c r="N25" i="252"/>
  <c r="N29" i="252"/>
  <c r="N26" i="252"/>
  <c r="N31" i="252" s="1"/>
  <c r="O23" i="252"/>
  <c r="P22" i="251"/>
  <c r="O30" i="250"/>
  <c r="O26" i="250"/>
  <c r="O31" i="250" s="1"/>
  <c r="P23" i="250"/>
  <c r="O29" i="250"/>
  <c r="S29" i="254" l="1"/>
  <c r="T23" i="254"/>
  <c r="S26" i="254"/>
  <c r="S31" i="254" s="1"/>
  <c r="O25" i="252"/>
  <c r="O28" i="252"/>
  <c r="O22" i="253"/>
  <c r="N30" i="252"/>
  <c r="P25" i="250"/>
  <c r="P28" i="250"/>
  <c r="T28" i="254" l="1"/>
  <c r="T24" i="254"/>
  <c r="T25" i="254" s="1"/>
  <c r="T30" i="254" s="1"/>
  <c r="Q22" i="255"/>
  <c r="O30" i="252"/>
  <c r="P22" i="253"/>
  <c r="O29" i="252"/>
  <c r="P23" i="252"/>
  <c r="O26" i="252"/>
  <c r="O31" i="252" s="1"/>
  <c r="Q22" i="251"/>
  <c r="P30" i="250"/>
  <c r="P26" i="250"/>
  <c r="P31" i="250" s="1"/>
  <c r="P29" i="250"/>
  <c r="Q23" i="250"/>
  <c r="T29" i="254" l="1"/>
  <c r="T26" i="254"/>
  <c r="T31" i="254" s="1"/>
  <c r="U23" i="254"/>
  <c r="R22" i="255"/>
  <c r="P25" i="252"/>
  <c r="P28" i="252"/>
  <c r="Q28" i="250"/>
  <c r="U28" i="254" l="1"/>
  <c r="U24" i="254"/>
  <c r="Q22" i="253"/>
  <c r="P30" i="252"/>
  <c r="Q23" i="252"/>
  <c r="P29" i="252"/>
  <c r="P26" i="252"/>
  <c r="P31" i="252" s="1"/>
  <c r="Q26" i="250"/>
  <c r="Q31" i="250" s="1"/>
  <c r="R23" i="250"/>
  <c r="Q29" i="250"/>
  <c r="Q25" i="250"/>
  <c r="U26" i="254" l="1"/>
  <c r="U31" i="254" s="1"/>
  <c r="U29" i="254"/>
  <c r="V23" i="254"/>
  <c r="U25" i="254"/>
  <c r="U30" i="254" s="1"/>
  <c r="Q25" i="252"/>
  <c r="Q28" i="252"/>
  <c r="R22" i="251"/>
  <c r="Q30" i="250"/>
  <c r="R28" i="250"/>
  <c r="R25" i="250"/>
  <c r="V24" i="254" l="1"/>
  <c r="V28" i="254"/>
  <c r="S22" i="255"/>
  <c r="R22" i="253"/>
  <c r="Q30" i="252"/>
  <c r="Q26" i="252"/>
  <c r="Q31" i="252" s="1"/>
  <c r="Q29" i="252"/>
  <c r="R23" i="252"/>
  <c r="R29" i="250"/>
  <c r="S23" i="250"/>
  <c r="R26" i="250"/>
  <c r="R31" i="250" s="1"/>
  <c r="S22" i="251"/>
  <c r="R30" i="250"/>
  <c r="V26" i="254" l="1"/>
  <c r="V31" i="254" s="1"/>
  <c r="V29" i="254"/>
  <c r="W23" i="254"/>
  <c r="V25" i="254"/>
  <c r="V30" i="254" s="1"/>
  <c r="R25" i="252"/>
  <c r="R28" i="252"/>
  <c r="S28" i="250"/>
  <c r="W28" i="254" l="1"/>
  <c r="W24" i="254"/>
  <c r="T22" i="255"/>
  <c r="R30" i="252"/>
  <c r="S22" i="253"/>
  <c r="R29" i="252"/>
  <c r="R26" i="252"/>
  <c r="R31" i="252" s="1"/>
  <c r="S23" i="252"/>
  <c r="S26" i="250"/>
  <c r="S31" i="250" s="1"/>
  <c r="T23" i="250"/>
  <c r="S29" i="250"/>
  <c r="S25" i="250"/>
  <c r="W29" i="254" l="1"/>
  <c r="X23" i="254"/>
  <c r="W26" i="254"/>
  <c r="W31" i="254" s="1"/>
  <c r="W25" i="254"/>
  <c r="W30" i="254" s="1"/>
  <c r="U22" i="255"/>
  <c r="S25" i="252"/>
  <c r="S28" i="252"/>
  <c r="T22" i="251"/>
  <c r="S30" i="250"/>
  <c r="T28" i="250"/>
  <c r="X28" i="254" l="1"/>
  <c r="X24" i="254"/>
  <c r="X25" i="254" s="1"/>
  <c r="X30" i="254" s="1"/>
  <c r="S30" i="252"/>
  <c r="T22" i="253"/>
  <c r="S29" i="252"/>
  <c r="T23" i="252"/>
  <c r="S26" i="252"/>
  <c r="S31" i="252" s="1"/>
  <c r="T26" i="250"/>
  <c r="T31" i="250" s="1"/>
  <c r="T29" i="250"/>
  <c r="U23" i="250"/>
  <c r="T25" i="250"/>
  <c r="X29" i="254" l="1"/>
  <c r="X26" i="254"/>
  <c r="X31" i="254" s="1"/>
  <c r="Y23" i="254"/>
  <c r="V22" i="255"/>
  <c r="T28" i="252"/>
  <c r="U28" i="250"/>
  <c r="T30" i="250"/>
  <c r="U22" i="251"/>
  <c r="Y28" i="254" l="1"/>
  <c r="Y24" i="254"/>
  <c r="Y25" i="254" s="1"/>
  <c r="Y30" i="254" s="1"/>
  <c r="T29" i="252"/>
  <c r="T26" i="252"/>
  <c r="T31" i="252" s="1"/>
  <c r="U23" i="252"/>
  <c r="T25" i="252"/>
  <c r="U29" i="250"/>
  <c r="U26" i="250"/>
  <c r="U31" i="250" s="1"/>
  <c r="V23" i="250"/>
  <c r="U25" i="250"/>
  <c r="Y26" i="254" l="1"/>
  <c r="Y31" i="254" s="1"/>
  <c r="Z23" i="254"/>
  <c r="Y29" i="254"/>
  <c r="U22" i="253"/>
  <c r="T30" i="252"/>
  <c r="U25" i="252"/>
  <c r="U28" i="252"/>
  <c r="V28" i="250"/>
  <c r="V22" i="251"/>
  <c r="U30" i="250"/>
  <c r="Z24" i="254" l="1"/>
  <c r="Z28" i="254"/>
  <c r="W22" i="255"/>
  <c r="V22" i="253"/>
  <c r="U30" i="252"/>
  <c r="U29" i="252"/>
  <c r="V23" i="252"/>
  <c r="U26" i="252"/>
  <c r="U31" i="252" s="1"/>
  <c r="V29" i="250"/>
  <c r="W23" i="250"/>
  <c r="V26" i="250"/>
  <c r="V31" i="250" s="1"/>
  <c r="V25" i="250"/>
  <c r="Z26" i="254" l="1"/>
  <c r="Z31" i="254" s="1"/>
  <c r="Z29" i="254"/>
  <c r="AA23" i="254"/>
  <c r="Z25" i="254"/>
  <c r="Z30" i="254" s="1"/>
  <c r="V25" i="252"/>
  <c r="V28" i="252"/>
  <c r="W22" i="251"/>
  <c r="V30" i="250"/>
  <c r="W28" i="250"/>
  <c r="W25" i="250"/>
  <c r="AA28" i="254" l="1"/>
  <c r="AA24" i="254"/>
  <c r="X22" i="255"/>
  <c r="V30" i="252"/>
  <c r="W22" i="253"/>
  <c r="V29" i="252"/>
  <c r="V26" i="252"/>
  <c r="V31" i="252" s="1"/>
  <c r="W23" i="252"/>
  <c r="X22" i="251"/>
  <c r="W30" i="250"/>
  <c r="W26" i="250"/>
  <c r="W31" i="250" s="1"/>
  <c r="X23" i="250"/>
  <c r="W29" i="250"/>
  <c r="AA29" i="254" l="1"/>
  <c r="AA26" i="254"/>
  <c r="AA31" i="254" s="1"/>
  <c r="AB23" i="254"/>
  <c r="AA25" i="254"/>
  <c r="AA30" i="254" s="1"/>
  <c r="Y22" i="255"/>
  <c r="W25" i="252"/>
  <c r="W28" i="252"/>
  <c r="X25" i="250"/>
  <c r="X28" i="250"/>
  <c r="AB28" i="254" l="1"/>
  <c r="AB24" i="254"/>
  <c r="AB25" i="254" s="1"/>
  <c r="AB30" i="254" s="1"/>
  <c r="X22" i="253"/>
  <c r="W30" i="252"/>
  <c r="X23" i="252"/>
  <c r="W26" i="252"/>
  <c r="W31" i="252" s="1"/>
  <c r="W29" i="252"/>
  <c r="Y22" i="251"/>
  <c r="X30" i="250"/>
  <c r="X26" i="250"/>
  <c r="X31" i="250" s="1"/>
  <c r="X29" i="250"/>
  <c r="Y23" i="250"/>
  <c r="AB29" i="254" l="1"/>
  <c r="AB26" i="254"/>
  <c r="AB31" i="254" s="1"/>
  <c r="Z22" i="255"/>
  <c r="X28" i="252"/>
  <c r="Y28" i="250"/>
  <c r="Y23" i="252" l="1"/>
  <c r="X26" i="252"/>
  <c r="X31" i="252" s="1"/>
  <c r="X29" i="252"/>
  <c r="X25" i="252"/>
  <c r="Y26" i="250"/>
  <c r="Y31" i="250" s="1"/>
  <c r="Z23" i="250"/>
  <c r="Y29" i="250"/>
  <c r="Y25" i="250"/>
  <c r="AA22" i="255" l="1"/>
  <c r="Y22" i="253"/>
  <c r="X30" i="252"/>
  <c r="Y25" i="252"/>
  <c r="Y28" i="252"/>
  <c r="Z22" i="251"/>
  <c r="Y30" i="250"/>
  <c r="Z25" i="250"/>
  <c r="Z28" i="250"/>
  <c r="Z22" i="253" l="1"/>
  <c r="Y30" i="252"/>
  <c r="Y29" i="252"/>
  <c r="Z23" i="252"/>
  <c r="Y26" i="252"/>
  <c r="Y31" i="252" s="1"/>
  <c r="Z29" i="250"/>
  <c r="AA23" i="250"/>
  <c r="Z26" i="250"/>
  <c r="Z31" i="250" s="1"/>
  <c r="AA22" i="251"/>
  <c r="Z30" i="250"/>
  <c r="Z28" i="252" l="1"/>
  <c r="AA28" i="250"/>
  <c r="AB22" i="255" l="1"/>
  <c r="Z29" i="252"/>
  <c r="Z26" i="252"/>
  <c r="Z31" i="252" s="1"/>
  <c r="AA23" i="252"/>
  <c r="Z25" i="252"/>
  <c r="AA26" i="250"/>
  <c r="AA31" i="250" s="1"/>
  <c r="AB23" i="250"/>
  <c r="AA29" i="250"/>
  <c r="AA25" i="250"/>
  <c r="Z30" i="252" l="1"/>
  <c r="AA22" i="253"/>
  <c r="AA25" i="252"/>
  <c r="AA28" i="252"/>
  <c r="AB22" i="251"/>
  <c r="AA30" i="250"/>
  <c r="AB25" i="250"/>
  <c r="AB28" i="250"/>
  <c r="AC22" i="255" l="1"/>
  <c r="AB22" i="253"/>
  <c r="AA30" i="252"/>
  <c r="AA29" i="252"/>
  <c r="AB23" i="252"/>
  <c r="AA26" i="252"/>
  <c r="AA31" i="252" s="1"/>
  <c r="AB26" i="250"/>
  <c r="AB31" i="250" s="1"/>
  <c r="AB29" i="250"/>
  <c r="AB30" i="250"/>
  <c r="AC22" i="251"/>
  <c r="AB25" i="252" l="1"/>
  <c r="AB28" i="252"/>
  <c r="AB29" i="252" l="1"/>
  <c r="AB26" i="252"/>
  <c r="AB31" i="252" s="1"/>
  <c r="AB30" i="252"/>
  <c r="AC22" i="253"/>
  <c r="L87" i="191" l="1"/>
  <c r="L77" i="191"/>
  <c r="L88" i="191" l="1"/>
  <c r="B76" i="190"/>
  <c r="B58" i="190"/>
  <c r="B40" i="190"/>
  <c r="D86" i="190"/>
  <c r="E101" i="191" s="1"/>
  <c r="E84" i="190"/>
  <c r="B83" i="190"/>
  <c r="D80" i="190"/>
  <c r="E91" i="191" s="1"/>
  <c r="E78" i="190"/>
  <c r="B77" i="190"/>
  <c r="D68" i="190"/>
  <c r="E78" i="191" s="1"/>
  <c r="E66" i="190"/>
  <c r="B65" i="190"/>
  <c r="D62" i="190"/>
  <c r="E68" i="191" s="1"/>
  <c r="E60" i="190"/>
  <c r="B59" i="190"/>
  <c r="D50" i="190"/>
  <c r="E55" i="191" s="1"/>
  <c r="E48" i="190"/>
  <c r="B47" i="190"/>
  <c r="D44" i="190"/>
  <c r="E45" i="191" s="1"/>
  <c r="E42" i="190"/>
  <c r="B41" i="190"/>
  <c r="E9" i="235" l="1"/>
  <c r="E8" i="187"/>
  <c r="B9" i="242"/>
  <c r="F78" i="190" l="1"/>
  <c r="E81" i="190"/>
  <c r="F84" i="190"/>
  <c r="F86" i="190" s="1"/>
  <c r="G101" i="191" s="1"/>
  <c r="E87" i="190"/>
  <c r="F42" i="190"/>
  <c r="E45" i="190"/>
  <c r="F48" i="190"/>
  <c r="E51" i="190"/>
  <c r="F60" i="190"/>
  <c r="E63" i="190"/>
  <c r="F66" i="190"/>
  <c r="E69" i="190"/>
  <c r="E86" i="190"/>
  <c r="F101" i="191" s="1"/>
  <c r="E80" i="190"/>
  <c r="F91" i="191" s="1"/>
  <c r="E68" i="190"/>
  <c r="F78" i="191" s="1"/>
  <c r="E62" i="190"/>
  <c r="F68" i="191" s="1"/>
  <c r="E50" i="190"/>
  <c r="F55" i="191" s="1"/>
  <c r="E44" i="190"/>
  <c r="F45" i="191" s="1"/>
  <c r="F50" i="190" l="1"/>
  <c r="G55" i="191" s="1"/>
  <c r="G78" i="190"/>
  <c r="F81" i="190"/>
  <c r="G84" i="190"/>
  <c r="F87" i="190"/>
  <c r="G60" i="190"/>
  <c r="F63" i="190"/>
  <c r="G42" i="190"/>
  <c r="F45" i="190"/>
  <c r="G66" i="190"/>
  <c r="F69" i="190"/>
  <c r="G48" i="190"/>
  <c r="F51" i="190"/>
  <c r="F68" i="190"/>
  <c r="G78" i="191" s="1"/>
  <c r="F80" i="190"/>
  <c r="G91" i="191" s="1"/>
  <c r="F62" i="190"/>
  <c r="G68" i="191" s="1"/>
  <c r="F44" i="190"/>
  <c r="G45" i="191" s="1"/>
  <c r="C26" i="249"/>
  <c r="G44" i="190" l="1"/>
  <c r="H45" i="191" s="1"/>
  <c r="H84" i="190"/>
  <c r="G87" i="190"/>
  <c r="H78" i="190"/>
  <c r="G81" i="190"/>
  <c r="G62" i="190"/>
  <c r="H68" i="191" s="1"/>
  <c r="H60" i="190"/>
  <c r="G63" i="190"/>
  <c r="G80" i="190"/>
  <c r="H91" i="191" s="1"/>
  <c r="H66" i="190"/>
  <c r="G69" i="190"/>
  <c r="H48" i="190"/>
  <c r="G51" i="190"/>
  <c r="G86" i="190"/>
  <c r="H101" i="191" s="1"/>
  <c r="G68" i="190"/>
  <c r="H78" i="191" s="1"/>
  <c r="G50" i="190"/>
  <c r="H55" i="191" s="1"/>
  <c r="I62" i="249"/>
  <c r="H62" i="249"/>
  <c r="G62" i="249"/>
  <c r="F62" i="249"/>
  <c r="E62" i="249"/>
  <c r="H41" i="255" l="1"/>
  <c r="H37" i="255"/>
  <c r="H40" i="255"/>
  <c r="H43" i="255"/>
  <c r="H42" i="255"/>
  <c r="H39" i="255"/>
  <c r="H38" i="255"/>
  <c r="H36" i="255"/>
  <c r="H44" i="255" s="1"/>
  <c r="H45" i="255" s="1"/>
  <c r="H42" i="190"/>
  <c r="I42" i="190" s="1"/>
  <c r="G45" i="190"/>
  <c r="I78" i="190"/>
  <c r="H81" i="190"/>
  <c r="H50" i="190"/>
  <c r="I55" i="191" s="1"/>
  <c r="H51" i="190"/>
  <c r="I48" i="190"/>
  <c r="I66" i="190"/>
  <c r="H69" i="190"/>
  <c r="I60" i="190"/>
  <c r="H63" i="190"/>
  <c r="H80" i="190"/>
  <c r="I91" i="191" s="1"/>
  <c r="H68" i="190"/>
  <c r="I78" i="191" s="1"/>
  <c r="H62" i="190"/>
  <c r="I68" i="191" s="1"/>
  <c r="I46" i="249"/>
  <c r="H46" i="249"/>
  <c r="G46" i="249"/>
  <c r="F46" i="249"/>
  <c r="E46" i="249"/>
  <c r="I26" i="249"/>
  <c r="H26" i="249"/>
  <c r="G26" i="249"/>
  <c r="F26" i="249"/>
  <c r="E26" i="249"/>
  <c r="D26" i="249"/>
  <c r="H44" i="190" l="1"/>
  <c r="I45" i="191" s="1"/>
  <c r="H45" i="190"/>
  <c r="H87" i="190"/>
  <c r="I84" i="190"/>
  <c r="J78" i="190"/>
  <c r="I81" i="190"/>
  <c r="H86" i="190"/>
  <c r="I101" i="191" s="1"/>
  <c r="J60" i="190"/>
  <c r="I63" i="190"/>
  <c r="I50" i="190"/>
  <c r="J55" i="191" s="1"/>
  <c r="J66" i="190"/>
  <c r="I69" i="190"/>
  <c r="I44" i="190"/>
  <c r="J45" i="191" s="1"/>
  <c r="I80" i="190"/>
  <c r="J91" i="191" s="1"/>
  <c r="I68" i="190"/>
  <c r="J78" i="191" s="1"/>
  <c r="I62" i="190"/>
  <c r="J68" i="191" s="1"/>
  <c r="C43" i="221"/>
  <c r="Q45" i="221"/>
  <c r="P45" i="221"/>
  <c r="O45" i="221"/>
  <c r="N45" i="221"/>
  <c r="M45" i="221"/>
  <c r="L45" i="221"/>
  <c r="K45" i="221"/>
  <c r="J45" i="221"/>
  <c r="I45" i="221"/>
  <c r="H45" i="221"/>
  <c r="G45" i="221"/>
  <c r="F45" i="221"/>
  <c r="E45" i="221"/>
  <c r="D45" i="221"/>
  <c r="C45" i="221"/>
  <c r="Q44" i="221"/>
  <c r="P44" i="221"/>
  <c r="O44" i="221"/>
  <c r="N44" i="221"/>
  <c r="M44" i="221"/>
  <c r="L44" i="221"/>
  <c r="K44" i="221"/>
  <c r="J44" i="221"/>
  <c r="I44" i="221"/>
  <c r="H44" i="221"/>
  <c r="G44" i="221"/>
  <c r="F44" i="221"/>
  <c r="E44" i="221"/>
  <c r="D44" i="221"/>
  <c r="C44" i="221"/>
  <c r="Q43" i="221"/>
  <c r="P43" i="221"/>
  <c r="O43" i="221"/>
  <c r="N43" i="221"/>
  <c r="M43" i="221"/>
  <c r="L43" i="221"/>
  <c r="K43" i="221"/>
  <c r="J43" i="221"/>
  <c r="I43" i="221"/>
  <c r="H43" i="221"/>
  <c r="G43" i="221"/>
  <c r="F43" i="221"/>
  <c r="E43" i="221"/>
  <c r="D43" i="221"/>
  <c r="Q42" i="221"/>
  <c r="P42" i="221"/>
  <c r="O42" i="221"/>
  <c r="N42" i="221"/>
  <c r="M42" i="221"/>
  <c r="L42" i="221"/>
  <c r="K42" i="221"/>
  <c r="J42" i="221"/>
  <c r="I42" i="221"/>
  <c r="H42" i="221"/>
  <c r="G42" i="221"/>
  <c r="F42" i="221"/>
  <c r="E42" i="221"/>
  <c r="D42" i="221"/>
  <c r="C42" i="221"/>
  <c r="I40" i="255" l="1"/>
  <c r="I39" i="255"/>
  <c r="I37" i="255"/>
  <c r="I41" i="255"/>
  <c r="I36" i="255"/>
  <c r="I43" i="255"/>
  <c r="I42" i="255"/>
  <c r="I38" i="255"/>
  <c r="J40" i="251"/>
  <c r="J39" i="251"/>
  <c r="J36" i="251"/>
  <c r="J41" i="251"/>
  <c r="J42" i="251"/>
  <c r="J37" i="251"/>
  <c r="J38" i="251"/>
  <c r="J43" i="251"/>
  <c r="I36" i="251"/>
  <c r="I41" i="251"/>
  <c r="I42" i="251"/>
  <c r="I37" i="251"/>
  <c r="I38" i="251"/>
  <c r="I39" i="251"/>
  <c r="I40" i="251"/>
  <c r="I43" i="251"/>
  <c r="I43" i="253"/>
  <c r="I42" i="253"/>
  <c r="I39" i="253"/>
  <c r="I38" i="253"/>
  <c r="I40" i="253"/>
  <c r="I37" i="253"/>
  <c r="I36" i="253"/>
  <c r="I41" i="253"/>
  <c r="K78" i="190"/>
  <c r="J81" i="190"/>
  <c r="I45" i="190"/>
  <c r="J42" i="190"/>
  <c r="I51" i="190"/>
  <c r="J48" i="190"/>
  <c r="K60" i="190"/>
  <c r="J63" i="190"/>
  <c r="K66" i="190"/>
  <c r="K68" i="190" s="1"/>
  <c r="L78" i="191" s="1"/>
  <c r="J69" i="190"/>
  <c r="J80" i="190"/>
  <c r="K91" i="191" s="1"/>
  <c r="J68" i="190"/>
  <c r="K78" i="191" s="1"/>
  <c r="J62" i="190"/>
  <c r="K68" i="191" s="1"/>
  <c r="J95" i="243"/>
  <c r="F95" i="243"/>
  <c r="C95" i="243"/>
  <c r="D88" i="243"/>
  <c r="C88" i="243"/>
  <c r="D78" i="243"/>
  <c r="C78" i="243"/>
  <c r="C54" i="243"/>
  <c r="D37" i="243"/>
  <c r="C37" i="243"/>
  <c r="L95" i="243"/>
  <c r="K95" i="243"/>
  <c r="I95" i="243"/>
  <c r="H95" i="243"/>
  <c r="G95" i="243"/>
  <c r="E95" i="243"/>
  <c r="D95" i="243"/>
  <c r="L88" i="243"/>
  <c r="K88" i="243"/>
  <c r="J88" i="243"/>
  <c r="I88" i="243"/>
  <c r="H88" i="243"/>
  <c r="G88" i="243"/>
  <c r="F88" i="243"/>
  <c r="E88" i="243"/>
  <c r="L78" i="243"/>
  <c r="L89" i="243" s="1"/>
  <c r="K78" i="243"/>
  <c r="K89" i="243" s="1"/>
  <c r="J78" i="243"/>
  <c r="I78" i="243"/>
  <c r="I89" i="243" s="1"/>
  <c r="H78" i="243"/>
  <c r="H89" i="243" s="1"/>
  <c r="G78" i="243"/>
  <c r="G89" i="243" s="1"/>
  <c r="F78" i="243"/>
  <c r="F89" i="243" s="1"/>
  <c r="E78" i="243"/>
  <c r="E89" i="243" s="1"/>
  <c r="D89" i="243"/>
  <c r="AB55" i="243"/>
  <c r="AA55" i="243"/>
  <c r="Z55" i="243"/>
  <c r="Y55" i="243"/>
  <c r="X55" i="243"/>
  <c r="W55" i="243"/>
  <c r="V55" i="243"/>
  <c r="U55" i="243"/>
  <c r="Q54" i="243"/>
  <c r="P54" i="243"/>
  <c r="O54" i="243"/>
  <c r="N54" i="243"/>
  <c r="M54" i="243"/>
  <c r="L54" i="243"/>
  <c r="K54" i="243"/>
  <c r="J54" i="243"/>
  <c r="I54" i="243"/>
  <c r="H54" i="243"/>
  <c r="G54" i="243"/>
  <c r="F54" i="243"/>
  <c r="E54" i="243"/>
  <c r="D54" i="243"/>
  <c r="AB48" i="243"/>
  <c r="AB49" i="243" s="1"/>
  <c r="AA48" i="243"/>
  <c r="AA49" i="243" s="1"/>
  <c r="Z48" i="243"/>
  <c r="Z49" i="243" s="1"/>
  <c r="Y48" i="243"/>
  <c r="Y49" i="243" s="1"/>
  <c r="X48" i="243"/>
  <c r="X49" i="243" s="1"/>
  <c r="W48" i="243"/>
  <c r="W49" i="243" s="1"/>
  <c r="V48" i="243"/>
  <c r="V49" i="243" s="1"/>
  <c r="U48" i="243"/>
  <c r="U49" i="243" s="1"/>
  <c r="Q47" i="243"/>
  <c r="P47" i="243"/>
  <c r="O47" i="243"/>
  <c r="N47" i="243"/>
  <c r="M47" i="243"/>
  <c r="L47" i="243"/>
  <c r="K47" i="243"/>
  <c r="J47" i="243"/>
  <c r="I47" i="243"/>
  <c r="H47" i="243"/>
  <c r="G47" i="243"/>
  <c r="F47" i="243"/>
  <c r="E47" i="243"/>
  <c r="D47" i="243"/>
  <c r="C47" i="243"/>
  <c r="Q37" i="243"/>
  <c r="P37" i="243"/>
  <c r="O37" i="243"/>
  <c r="N37" i="243"/>
  <c r="M37" i="243"/>
  <c r="L37" i="243"/>
  <c r="K37" i="243"/>
  <c r="J37" i="243"/>
  <c r="I37" i="243"/>
  <c r="H37" i="243"/>
  <c r="G37" i="243"/>
  <c r="F37" i="243"/>
  <c r="E37" i="243"/>
  <c r="L95" i="218"/>
  <c r="K95" i="218"/>
  <c r="J95" i="218"/>
  <c r="I95" i="218"/>
  <c r="H95" i="218"/>
  <c r="G95" i="218"/>
  <c r="F95" i="218"/>
  <c r="E95" i="218"/>
  <c r="D95" i="218"/>
  <c r="C95" i="218"/>
  <c r="L88" i="218"/>
  <c r="K88" i="218"/>
  <c r="J88" i="218"/>
  <c r="I88" i="218"/>
  <c r="H88" i="218"/>
  <c r="G88" i="218"/>
  <c r="F88" i="218"/>
  <c r="E88" i="218"/>
  <c r="D88" i="218"/>
  <c r="C88" i="218"/>
  <c r="L78" i="218"/>
  <c r="K78" i="218"/>
  <c r="K89" i="218" s="1"/>
  <c r="J78" i="218"/>
  <c r="J89" i="218" s="1"/>
  <c r="I78" i="218"/>
  <c r="H78" i="218"/>
  <c r="G78" i="218"/>
  <c r="G89" i="218" s="1"/>
  <c r="F78" i="218"/>
  <c r="F89" i="218" s="1"/>
  <c r="E78" i="218"/>
  <c r="D78" i="218"/>
  <c r="C78" i="218"/>
  <c r="C89" i="218" s="1"/>
  <c r="F37" i="218"/>
  <c r="E47" i="218"/>
  <c r="F47" i="218"/>
  <c r="G47" i="218"/>
  <c r="H47" i="218"/>
  <c r="M47" i="218"/>
  <c r="Q47" i="218"/>
  <c r="L47" i="218"/>
  <c r="P47" i="218"/>
  <c r="O47" i="218"/>
  <c r="N47" i="218"/>
  <c r="K47" i="218"/>
  <c r="J47" i="218"/>
  <c r="I47" i="218"/>
  <c r="D47" i="218"/>
  <c r="C47" i="218"/>
  <c r="E37" i="218"/>
  <c r="G37" i="218"/>
  <c r="H37" i="218"/>
  <c r="I37" i="218"/>
  <c r="I48" i="218" s="1"/>
  <c r="J37" i="218"/>
  <c r="J48" i="218" s="1"/>
  <c r="K37" i="218"/>
  <c r="L37" i="218"/>
  <c r="M37" i="218"/>
  <c r="M48" i="218" s="1"/>
  <c r="N37" i="218"/>
  <c r="N48" i="218" s="1"/>
  <c r="O37" i="218"/>
  <c r="O48" i="218" s="1"/>
  <c r="P37" i="218"/>
  <c r="Q37" i="218"/>
  <c r="D37" i="218"/>
  <c r="C37" i="218"/>
  <c r="P48" i="218" l="1"/>
  <c r="H48" i="218"/>
  <c r="D89" i="218"/>
  <c r="H89" i="218"/>
  <c r="H96" i="218" s="1"/>
  <c r="L89" i="218"/>
  <c r="L48" i="218"/>
  <c r="C48" i="218"/>
  <c r="K48" i="218"/>
  <c r="G48" i="218"/>
  <c r="E89" i="218"/>
  <c r="I89" i="218"/>
  <c r="I44" i="255"/>
  <c r="I45" i="255" s="1"/>
  <c r="L38" i="251"/>
  <c r="L40" i="251"/>
  <c r="L41" i="251"/>
  <c r="L36" i="251"/>
  <c r="L43" i="251"/>
  <c r="L37" i="251"/>
  <c r="L42" i="251"/>
  <c r="L39" i="251"/>
  <c r="I87" i="190"/>
  <c r="J84" i="190"/>
  <c r="I44" i="253"/>
  <c r="I45" i="253" s="1"/>
  <c r="I44" i="251"/>
  <c r="I45" i="251" s="1"/>
  <c r="J44" i="251"/>
  <c r="J45" i="251" s="1"/>
  <c r="K37" i="251"/>
  <c r="K43" i="251"/>
  <c r="K36" i="251"/>
  <c r="K39" i="251"/>
  <c r="K42" i="251"/>
  <c r="K40" i="251"/>
  <c r="K41" i="251"/>
  <c r="K38" i="251"/>
  <c r="I86" i="190"/>
  <c r="J101" i="191" s="1"/>
  <c r="L78" i="190"/>
  <c r="L79" i="190" s="1"/>
  <c r="K81" i="190"/>
  <c r="L66" i="190"/>
  <c r="L67" i="190" s="1"/>
  <c r="K69" i="190"/>
  <c r="L60" i="190"/>
  <c r="L61" i="190" s="1"/>
  <c r="K63" i="190"/>
  <c r="J44" i="190"/>
  <c r="K45" i="191" s="1"/>
  <c r="J50" i="190"/>
  <c r="K55" i="191" s="1"/>
  <c r="K80" i="190"/>
  <c r="L91" i="191" s="1"/>
  <c r="K62" i="190"/>
  <c r="L68" i="191" s="1"/>
  <c r="C89" i="243"/>
  <c r="C96" i="243" s="1"/>
  <c r="F96" i="243"/>
  <c r="E48" i="243"/>
  <c r="E55" i="243" s="1"/>
  <c r="G48" i="243"/>
  <c r="G55" i="243" s="1"/>
  <c r="I48" i="243"/>
  <c r="K48" i="243"/>
  <c r="K55" i="243" s="1"/>
  <c r="M48" i="243"/>
  <c r="O48" i="243"/>
  <c r="O55" i="243" s="1"/>
  <c r="Q48" i="243"/>
  <c r="C48" i="243"/>
  <c r="C55" i="243" s="1"/>
  <c r="E48" i="218"/>
  <c r="F48" i="218"/>
  <c r="Q48" i="218"/>
  <c r="D48" i="218"/>
  <c r="E96" i="243"/>
  <c r="G96" i="243"/>
  <c r="I96" i="243"/>
  <c r="K96" i="243"/>
  <c r="D96" i="243"/>
  <c r="H96" i="243"/>
  <c r="L96" i="243"/>
  <c r="J89" i="243"/>
  <c r="D48" i="243"/>
  <c r="D55" i="243" s="1"/>
  <c r="F48" i="243"/>
  <c r="F55" i="243" s="1"/>
  <c r="H48" i="243"/>
  <c r="H55" i="243" s="1"/>
  <c r="J48" i="243"/>
  <c r="J55" i="243" s="1"/>
  <c r="L48" i="243"/>
  <c r="L55" i="243" s="1"/>
  <c r="N48" i="243"/>
  <c r="N55" i="243" s="1"/>
  <c r="P48" i="243"/>
  <c r="P55" i="243" s="1"/>
  <c r="V56" i="243"/>
  <c r="X56" i="243"/>
  <c r="Z56" i="243"/>
  <c r="AB56" i="243"/>
  <c r="U56" i="243"/>
  <c r="W56" i="243"/>
  <c r="Y56" i="243"/>
  <c r="AA56" i="243"/>
  <c r="I55" i="243"/>
  <c r="M55" i="243"/>
  <c r="Q55" i="243"/>
  <c r="D96" i="218"/>
  <c r="F96" i="218"/>
  <c r="J96" i="218"/>
  <c r="L96" i="218"/>
  <c r="C96" i="218"/>
  <c r="E96" i="218"/>
  <c r="G96" i="218"/>
  <c r="I96" i="218"/>
  <c r="K96" i="218"/>
  <c r="J43" i="255" l="1"/>
  <c r="J41" i="255"/>
  <c r="J40" i="255"/>
  <c r="J39" i="255"/>
  <c r="J37" i="255"/>
  <c r="J42" i="255"/>
  <c r="J38" i="255"/>
  <c r="J36" i="255"/>
  <c r="K44" i="251"/>
  <c r="K45" i="251" s="1"/>
  <c r="L44" i="251"/>
  <c r="L45" i="251" s="1"/>
  <c r="J37" i="253"/>
  <c r="J41" i="253"/>
  <c r="J39" i="253"/>
  <c r="J43" i="253"/>
  <c r="J36" i="253"/>
  <c r="J40" i="253"/>
  <c r="J42" i="253"/>
  <c r="J38" i="253"/>
  <c r="J86" i="190"/>
  <c r="K101" i="191" s="1"/>
  <c r="K48" i="190"/>
  <c r="J51" i="190"/>
  <c r="K42" i="190"/>
  <c r="J45" i="190"/>
  <c r="J96" i="243"/>
  <c r="K37" i="255" l="1"/>
  <c r="K41" i="255"/>
  <c r="K36" i="255"/>
  <c r="K43" i="255"/>
  <c r="K38" i="255"/>
  <c r="K39" i="255"/>
  <c r="K40" i="255"/>
  <c r="K42" i="255"/>
  <c r="J44" i="253"/>
  <c r="J45" i="253" s="1"/>
  <c r="K40" i="253"/>
  <c r="K39" i="253"/>
  <c r="K42" i="253"/>
  <c r="K37" i="253"/>
  <c r="K43" i="253"/>
  <c r="K41" i="253"/>
  <c r="K38" i="253"/>
  <c r="K36" i="253"/>
  <c r="J44" i="255"/>
  <c r="J45" i="255" s="1"/>
  <c r="J87" i="190"/>
  <c r="K84" i="190"/>
  <c r="K44" i="190"/>
  <c r="L45" i="191" s="1"/>
  <c r="K50" i="190"/>
  <c r="L55" i="191" s="1"/>
  <c r="M25" i="217"/>
  <c r="L25" i="217"/>
  <c r="K25" i="217"/>
  <c r="M24" i="217"/>
  <c r="L24" i="217"/>
  <c r="K24" i="217"/>
  <c r="M23" i="217"/>
  <c r="L23" i="217"/>
  <c r="K23" i="217"/>
  <c r="M22" i="217"/>
  <c r="L22" i="217"/>
  <c r="K22" i="217"/>
  <c r="K30" i="217" s="1"/>
  <c r="M21" i="217"/>
  <c r="L21" i="217"/>
  <c r="K21" i="217"/>
  <c r="K20" i="217"/>
  <c r="G25" i="217"/>
  <c r="F25" i="217"/>
  <c r="E25" i="217"/>
  <c r="D25" i="217"/>
  <c r="G24" i="217"/>
  <c r="F24" i="217"/>
  <c r="E24" i="217"/>
  <c r="D24" i="217"/>
  <c r="G23" i="217"/>
  <c r="F23" i="217"/>
  <c r="E23" i="217"/>
  <c r="D23" i="217"/>
  <c r="G22" i="217"/>
  <c r="G30" i="217" s="1"/>
  <c r="F22" i="217"/>
  <c r="F30" i="217" s="1"/>
  <c r="E22" i="217"/>
  <c r="E30" i="217" s="1"/>
  <c r="D22" i="217"/>
  <c r="D30" i="217" s="1"/>
  <c r="G21" i="217"/>
  <c r="G27" i="217" s="1"/>
  <c r="F21" i="217"/>
  <c r="F27" i="217" s="1"/>
  <c r="E21" i="217"/>
  <c r="E27" i="217" s="1"/>
  <c r="D21" i="217"/>
  <c r="D27" i="217" s="1"/>
  <c r="C25" i="217"/>
  <c r="C24" i="217"/>
  <c r="C23" i="217"/>
  <c r="C22" i="217"/>
  <c r="C21" i="217"/>
  <c r="C20" i="217"/>
  <c r="B42" i="217"/>
  <c r="B41" i="217"/>
  <c r="B40" i="217"/>
  <c r="B39" i="217"/>
  <c r="B38" i="217"/>
  <c r="B37" i="217"/>
  <c r="B36" i="217"/>
  <c r="B35" i="217"/>
  <c r="B34" i="217"/>
  <c r="B33" i="217"/>
  <c r="B32" i="217"/>
  <c r="Q150" i="211"/>
  <c r="P150" i="211"/>
  <c r="O150" i="211"/>
  <c r="N150" i="211"/>
  <c r="M150" i="211"/>
  <c r="L150" i="211"/>
  <c r="K150" i="211"/>
  <c r="J150" i="211"/>
  <c r="I150" i="211"/>
  <c r="H150" i="211"/>
  <c r="G150" i="211"/>
  <c r="F150" i="211"/>
  <c r="E150" i="211"/>
  <c r="D150" i="211"/>
  <c r="C150" i="211"/>
  <c r="Q138" i="211"/>
  <c r="P138" i="211"/>
  <c r="O138" i="211"/>
  <c r="N138" i="211"/>
  <c r="M138" i="211"/>
  <c r="L138" i="211"/>
  <c r="K138" i="211"/>
  <c r="J138" i="211"/>
  <c r="I138" i="211"/>
  <c r="H138" i="211"/>
  <c r="G138" i="211"/>
  <c r="F138" i="211"/>
  <c r="E138" i="211"/>
  <c r="D138" i="211"/>
  <c r="C138" i="211"/>
  <c r="Q126" i="211"/>
  <c r="P126" i="211"/>
  <c r="O126" i="211"/>
  <c r="N126" i="211"/>
  <c r="M126" i="211"/>
  <c r="L126" i="211"/>
  <c r="K126" i="211"/>
  <c r="J126" i="211"/>
  <c r="I126" i="211"/>
  <c r="H126" i="211"/>
  <c r="G126" i="211"/>
  <c r="F126" i="211"/>
  <c r="E126" i="211"/>
  <c r="D126" i="211"/>
  <c r="C126" i="211"/>
  <c r="Q114" i="211"/>
  <c r="P114" i="211"/>
  <c r="O114" i="211"/>
  <c r="N114" i="211"/>
  <c r="M114" i="211"/>
  <c r="L114" i="211"/>
  <c r="K114" i="211"/>
  <c r="J114" i="211"/>
  <c r="I114" i="211"/>
  <c r="H114" i="211"/>
  <c r="G114" i="211"/>
  <c r="F114" i="211"/>
  <c r="E114" i="211"/>
  <c r="D114" i="211"/>
  <c r="C114" i="211"/>
  <c r="Q102" i="211"/>
  <c r="P102" i="211"/>
  <c r="O102" i="211"/>
  <c r="N102" i="211"/>
  <c r="M102" i="211"/>
  <c r="L102" i="211"/>
  <c r="K102" i="211"/>
  <c r="J102" i="211"/>
  <c r="I102" i="211"/>
  <c r="H102" i="211"/>
  <c r="G102" i="211"/>
  <c r="F102" i="211"/>
  <c r="E102" i="211"/>
  <c r="D102" i="211"/>
  <c r="C102" i="211"/>
  <c r="Q90" i="211"/>
  <c r="P90" i="211"/>
  <c r="O90" i="211"/>
  <c r="N90" i="211"/>
  <c r="M90" i="211"/>
  <c r="L90" i="211"/>
  <c r="K90" i="211"/>
  <c r="J90" i="211"/>
  <c r="I90" i="211"/>
  <c r="H90" i="211"/>
  <c r="G90" i="211"/>
  <c r="F90" i="211"/>
  <c r="E90" i="211"/>
  <c r="D90" i="211"/>
  <c r="C90" i="211"/>
  <c r="Q78" i="211"/>
  <c r="P78" i="211"/>
  <c r="O78" i="211"/>
  <c r="N78" i="211"/>
  <c r="M78" i="211"/>
  <c r="L78" i="211"/>
  <c r="K78" i="211"/>
  <c r="J78" i="211"/>
  <c r="I78" i="211"/>
  <c r="H78" i="211"/>
  <c r="G78" i="211"/>
  <c r="F78" i="211"/>
  <c r="E78" i="211"/>
  <c r="D78" i="211"/>
  <c r="C78" i="211"/>
  <c r="Q66" i="211"/>
  <c r="P66" i="211"/>
  <c r="O66" i="211"/>
  <c r="N66" i="211"/>
  <c r="M66" i="211"/>
  <c r="L66" i="211"/>
  <c r="K66" i="211"/>
  <c r="J66" i="211"/>
  <c r="I66" i="211"/>
  <c r="H66" i="211"/>
  <c r="G66" i="211"/>
  <c r="F66" i="211"/>
  <c r="E66" i="211"/>
  <c r="D66" i="211"/>
  <c r="C66" i="211"/>
  <c r="Q54" i="211"/>
  <c r="P54" i="211"/>
  <c r="O54" i="211"/>
  <c r="N54" i="211"/>
  <c r="M54" i="211"/>
  <c r="L54" i="211"/>
  <c r="K54" i="211"/>
  <c r="J54" i="211"/>
  <c r="I54" i="211"/>
  <c r="H54" i="211"/>
  <c r="G54" i="211"/>
  <c r="F54" i="211"/>
  <c r="E54" i="211"/>
  <c r="D54" i="211"/>
  <c r="C54" i="211"/>
  <c r="Q42" i="211"/>
  <c r="P42" i="211"/>
  <c r="O42" i="211"/>
  <c r="N42" i="211"/>
  <c r="M42" i="211"/>
  <c r="L42" i="211"/>
  <c r="K42" i="211"/>
  <c r="J42" i="211"/>
  <c r="I42" i="211"/>
  <c r="H42" i="211"/>
  <c r="G42" i="211"/>
  <c r="F42" i="211"/>
  <c r="E42" i="211"/>
  <c r="D42" i="211"/>
  <c r="C42" i="211"/>
  <c r="Q30" i="211"/>
  <c r="P30" i="211"/>
  <c r="O30" i="211"/>
  <c r="N30" i="211"/>
  <c r="M30" i="211"/>
  <c r="L30" i="211"/>
  <c r="K30" i="211"/>
  <c r="J30" i="211"/>
  <c r="I30" i="211"/>
  <c r="H30" i="211"/>
  <c r="G30" i="211"/>
  <c r="F30" i="211"/>
  <c r="E30" i="211"/>
  <c r="D30" i="211"/>
  <c r="B140" i="211"/>
  <c r="B128" i="211"/>
  <c r="B116" i="211"/>
  <c r="B104" i="211"/>
  <c r="B92" i="211"/>
  <c r="AB138" i="211"/>
  <c r="AA138" i="211"/>
  <c r="Z138" i="211"/>
  <c r="Y138" i="211"/>
  <c r="X138" i="211"/>
  <c r="W138" i="211"/>
  <c r="V138" i="211"/>
  <c r="U138" i="211"/>
  <c r="AB126" i="211"/>
  <c r="AA126" i="211"/>
  <c r="Z126" i="211"/>
  <c r="Y126" i="211"/>
  <c r="X126" i="211"/>
  <c r="W126" i="211"/>
  <c r="V126" i="211"/>
  <c r="U126" i="211"/>
  <c r="AB114" i="211"/>
  <c r="AA114" i="211"/>
  <c r="Z114" i="211"/>
  <c r="Y114" i="211"/>
  <c r="X114" i="211"/>
  <c r="W114" i="211"/>
  <c r="V114" i="211"/>
  <c r="U114" i="211"/>
  <c r="AB102" i="211"/>
  <c r="AA102" i="211"/>
  <c r="Z102" i="211"/>
  <c r="Y102" i="211"/>
  <c r="X102" i="211"/>
  <c r="W102" i="211"/>
  <c r="V102" i="211"/>
  <c r="U102" i="211"/>
  <c r="B83" i="201"/>
  <c r="B82" i="201"/>
  <c r="B81" i="201"/>
  <c r="B80" i="201"/>
  <c r="B79" i="201"/>
  <c r="B78" i="201"/>
  <c r="B77" i="201"/>
  <c r="B76" i="201"/>
  <c r="B75" i="201"/>
  <c r="B74" i="201"/>
  <c r="B73" i="201"/>
  <c r="B66" i="201"/>
  <c r="B65" i="201"/>
  <c r="B64" i="201"/>
  <c r="B63" i="201"/>
  <c r="B62" i="201"/>
  <c r="B61" i="201"/>
  <c r="B60" i="201"/>
  <c r="B59" i="201"/>
  <c r="B58" i="201"/>
  <c r="B57" i="201"/>
  <c r="B56" i="201"/>
  <c r="B48" i="201"/>
  <c r="B47" i="201"/>
  <c r="B46" i="201"/>
  <c r="B45" i="201"/>
  <c r="B44" i="201"/>
  <c r="B43" i="201"/>
  <c r="B42" i="201"/>
  <c r="B41" i="201"/>
  <c r="B40" i="201"/>
  <c r="B39" i="201"/>
  <c r="B38" i="201"/>
  <c r="C30" i="217" l="1"/>
  <c r="E29" i="217"/>
  <c r="L30" i="217"/>
  <c r="C27" i="217"/>
  <c r="K27" i="217"/>
  <c r="M30" i="217"/>
  <c r="C29" i="217"/>
  <c r="L27" i="217"/>
  <c r="F29" i="217"/>
  <c r="L29" i="217"/>
  <c r="M27" i="217"/>
  <c r="G29" i="217"/>
  <c r="M29" i="217"/>
  <c r="K29" i="217"/>
  <c r="D29" i="217"/>
  <c r="K44" i="253"/>
  <c r="K45" i="253" s="1"/>
  <c r="K44" i="255"/>
  <c r="K45" i="255" s="1"/>
  <c r="L42" i="190"/>
  <c r="L43" i="190" s="1"/>
  <c r="K45" i="190"/>
  <c r="L48" i="190"/>
  <c r="L49" i="190" s="1"/>
  <c r="K51" i="190"/>
  <c r="C2" i="246"/>
  <c r="C1" i="246"/>
  <c r="B2" i="224"/>
  <c r="B1" i="224"/>
  <c r="B2" i="222"/>
  <c r="B1" i="222"/>
  <c r="B2" i="232"/>
  <c r="B1" i="232"/>
  <c r="B2" i="231"/>
  <c r="B1" i="231"/>
  <c r="B2" i="230"/>
  <c r="B1" i="230"/>
  <c r="B2" i="234"/>
  <c r="B1" i="234"/>
  <c r="B2" i="191"/>
  <c r="B1" i="191"/>
  <c r="B2" i="190"/>
  <c r="B1" i="190"/>
  <c r="B2" i="245"/>
  <c r="B1" i="245"/>
  <c r="B2" i="221"/>
  <c r="B1" i="221"/>
  <c r="B2" i="220"/>
  <c r="B1" i="220"/>
  <c r="B2" i="243"/>
  <c r="B1" i="243"/>
  <c r="B2" i="218"/>
  <c r="B1" i="218"/>
  <c r="B2" i="94"/>
  <c r="B1" i="94"/>
  <c r="C2" i="233"/>
  <c r="C1" i="233"/>
  <c r="B2" i="217"/>
  <c r="B1" i="217"/>
  <c r="B2" i="201"/>
  <c r="B1" i="201"/>
  <c r="B2" i="211"/>
  <c r="B1" i="211"/>
  <c r="B2" i="223"/>
  <c r="B1" i="223"/>
  <c r="B2" i="210"/>
  <c r="B1" i="210"/>
  <c r="E2" i="239"/>
  <c r="E1" i="239"/>
  <c r="E2" i="235"/>
  <c r="E1" i="235"/>
  <c r="B2" i="206"/>
  <c r="B1" i="206"/>
  <c r="E2" i="238"/>
  <c r="E1" i="238"/>
  <c r="E2" i="187"/>
  <c r="E1" i="187"/>
  <c r="E2" i="205"/>
  <c r="E1" i="205"/>
  <c r="B2" i="242"/>
  <c r="B1" i="242"/>
  <c r="B2" i="237"/>
  <c r="B1" i="237"/>
  <c r="C2" i="216"/>
  <c r="C1" i="216"/>
  <c r="C82" i="248"/>
  <c r="C81" i="248"/>
  <c r="C77" i="248"/>
  <c r="C78" i="248" s="1"/>
  <c r="C74" i="248"/>
  <c r="C75" i="248" s="1"/>
  <c r="C71" i="248"/>
  <c r="C70" i="248"/>
  <c r="C69" i="248"/>
  <c r="C66" i="248"/>
  <c r="C64" i="248"/>
  <c r="C62" i="248"/>
  <c r="C58" i="248"/>
  <c r="C56" i="248"/>
  <c r="C55" i="248"/>
  <c r="C15" i="248"/>
  <c r="B2" i="248"/>
  <c r="B1" i="248"/>
  <c r="I66" i="247"/>
  <c r="C73" i="248"/>
  <c r="L84" i="190" l="1"/>
  <c r="L85" i="190" s="1"/>
  <c r="K87" i="190"/>
  <c r="K86" i="190"/>
  <c r="L101" i="191" s="1"/>
  <c r="I67" i="247"/>
  <c r="I68" i="247" s="1"/>
  <c r="I69" i="247" s="1"/>
  <c r="I70" i="247" s="1"/>
  <c r="K66" i="247"/>
  <c r="K67" i="247" s="1"/>
  <c r="K68" i="247" s="1"/>
  <c r="K69" i="247" s="1"/>
  <c r="K70" i="247" s="1"/>
  <c r="K71" i="247" s="1"/>
  <c r="K72" i="247" s="1"/>
  <c r="K73" i="247" s="1"/>
  <c r="K74" i="247" s="1"/>
  <c r="K75" i="247" s="1"/>
  <c r="K76" i="247" s="1"/>
  <c r="K77" i="247" s="1"/>
  <c r="K78" i="247" s="1"/>
  <c r="K79" i="247" s="1"/>
  <c r="K80" i="247" s="1"/>
  <c r="C76" i="248"/>
  <c r="L41" i="255" l="1"/>
  <c r="L37" i="255"/>
  <c r="L39" i="255"/>
  <c r="L38" i="255"/>
  <c r="L36" i="255"/>
  <c r="L42" i="255"/>
  <c r="L40" i="255"/>
  <c r="L43" i="255"/>
  <c r="L40" i="253"/>
  <c r="L36" i="253"/>
  <c r="L43" i="253"/>
  <c r="L42" i="253"/>
  <c r="L39" i="253"/>
  <c r="L37" i="253"/>
  <c r="L38" i="253"/>
  <c r="L41" i="253"/>
  <c r="B3" i="254"/>
  <c r="B3" i="255"/>
  <c r="B3" i="253"/>
  <c r="B3" i="252"/>
  <c r="E35" i="248"/>
  <c r="F35" i="248"/>
  <c r="D35" i="248"/>
  <c r="B3" i="251"/>
  <c r="C3" i="246"/>
  <c r="B3" i="231"/>
  <c r="B3" i="190"/>
  <c r="B3" i="243"/>
  <c r="B3" i="217"/>
  <c r="B3" i="210"/>
  <c r="E3" i="238"/>
  <c r="B3" i="237"/>
  <c r="B3" i="250"/>
  <c r="B3" i="224"/>
  <c r="B3" i="230"/>
  <c r="B3" i="245"/>
  <c r="B3" i="218"/>
  <c r="B3" i="201"/>
  <c r="E3" i="239"/>
  <c r="E3" i="187"/>
  <c r="C3" i="216"/>
  <c r="B3" i="94"/>
  <c r="E3" i="235"/>
  <c r="E3" i="205"/>
  <c r="B3" i="232"/>
  <c r="B3" i="220"/>
  <c r="B3" i="223"/>
  <c r="B3" i="242"/>
  <c r="B3" i="222"/>
  <c r="B3" i="234"/>
  <c r="B3" i="221"/>
  <c r="B3" i="211"/>
  <c r="B3" i="191"/>
  <c r="C3" i="233"/>
  <c r="B3" i="206"/>
  <c r="I71" i="247"/>
  <c r="G35" i="248"/>
  <c r="C79" i="248"/>
  <c r="C38" i="248" s="1"/>
  <c r="C80" i="248"/>
  <c r="B27" i="223"/>
  <c r="B12" i="223"/>
  <c r="L44" i="253" l="1"/>
  <c r="L45" i="253" s="1"/>
  <c r="L44" i="255"/>
  <c r="L45" i="255" s="1"/>
  <c r="E20" i="255"/>
  <c r="D20" i="254"/>
  <c r="D20" i="252"/>
  <c r="E20" i="253"/>
  <c r="H61" i="243"/>
  <c r="E20" i="251"/>
  <c r="D20" i="250"/>
  <c r="I72" i="247"/>
  <c r="H35" i="248"/>
  <c r="E54" i="247"/>
  <c r="C63" i="248"/>
  <c r="G41" i="248"/>
  <c r="G46" i="247"/>
  <c r="D38" i="248"/>
  <c r="B32" i="191"/>
  <c r="B22" i="191"/>
  <c r="B20" i="191"/>
  <c r="B19" i="191"/>
  <c r="B22" i="190"/>
  <c r="D32" i="190"/>
  <c r="E32" i="191" s="1"/>
  <c r="E30" i="190"/>
  <c r="B29" i="190"/>
  <c r="B23" i="190"/>
  <c r="E24" i="190"/>
  <c r="E27" i="190" s="1"/>
  <c r="D26" i="190"/>
  <c r="E22" i="191" s="1"/>
  <c r="F20" i="255" l="1"/>
  <c r="E20" i="254"/>
  <c r="F20" i="253"/>
  <c r="E20" i="252"/>
  <c r="I73" i="247"/>
  <c r="I35" i="248"/>
  <c r="E20" i="250"/>
  <c r="F20" i="251"/>
  <c r="E26" i="190"/>
  <c r="F22" i="191" s="1"/>
  <c r="F24" i="190"/>
  <c r="F27" i="190" s="1"/>
  <c r="C59" i="243"/>
  <c r="J15" i="245"/>
  <c r="L27" i="221"/>
  <c r="L39" i="221"/>
  <c r="E38" i="248"/>
  <c r="I61" i="243"/>
  <c r="F41" i="248"/>
  <c r="F24" i="246"/>
  <c r="M25" i="246"/>
  <c r="G20" i="255" l="1"/>
  <c r="F20" i="254"/>
  <c r="F20" i="252"/>
  <c r="G20" i="253"/>
  <c r="G20" i="251"/>
  <c r="F20" i="250"/>
  <c r="I74" i="247"/>
  <c r="J35" i="248"/>
  <c r="F30" i="190"/>
  <c r="E33" i="190"/>
  <c r="E32" i="190"/>
  <c r="F32" i="191" s="1"/>
  <c r="G24" i="190"/>
  <c r="G27" i="190" s="1"/>
  <c r="E41" i="248"/>
  <c r="D41" i="248" s="1"/>
  <c r="C41" i="248" s="1"/>
  <c r="C61" i="243" s="1" a="1"/>
  <c r="L25" i="246"/>
  <c r="F38" i="248"/>
  <c r="J61" i="243"/>
  <c r="I18" i="190"/>
  <c r="H20" i="255" l="1"/>
  <c r="G20" i="254"/>
  <c r="H20" i="253"/>
  <c r="G20" i="252"/>
  <c r="I75" i="247"/>
  <c r="K35" i="248"/>
  <c r="G20" i="250"/>
  <c r="H20" i="251"/>
  <c r="G30" i="190"/>
  <c r="F33" i="190"/>
  <c r="F32" i="190"/>
  <c r="G32" i="191" s="1"/>
  <c r="F26" i="190"/>
  <c r="G22" i="191" s="1"/>
  <c r="H24" i="190"/>
  <c r="G38" i="248"/>
  <c r="L51" i="246" s="1"/>
  <c r="K61" i="243"/>
  <c r="C61" i="243"/>
  <c r="G61" i="243"/>
  <c r="D61" i="243"/>
  <c r="F61" i="243"/>
  <c r="E61" i="243"/>
  <c r="H80" i="246"/>
  <c r="G80" i="246"/>
  <c r="F80" i="246"/>
  <c r="E80" i="246"/>
  <c r="D80" i="246"/>
  <c r="I79" i="246"/>
  <c r="I78" i="246"/>
  <c r="I77" i="246"/>
  <c r="I76" i="246"/>
  <c r="I75" i="246"/>
  <c r="I74" i="246"/>
  <c r="I73" i="246"/>
  <c r="I72" i="246"/>
  <c r="I71" i="246"/>
  <c r="I70" i="246"/>
  <c r="I68" i="246"/>
  <c r="D67" i="246" a="1"/>
  <c r="G67" i="246" s="1"/>
  <c r="D66" i="246"/>
  <c r="L58" i="246"/>
  <c r="L57" i="246"/>
  <c r="L56" i="246"/>
  <c r="L55" i="246"/>
  <c r="I49" i="246"/>
  <c r="H49" i="246"/>
  <c r="G49" i="246"/>
  <c r="F49" i="246"/>
  <c r="E49" i="246"/>
  <c r="D49" i="246"/>
  <c r="C48" i="246"/>
  <c r="C46" i="246"/>
  <c r="C45" i="246"/>
  <c r="C44" i="246"/>
  <c r="Q39" i="246"/>
  <c r="P39" i="246"/>
  <c r="O39" i="246"/>
  <c r="N39" i="246"/>
  <c r="M39" i="246"/>
  <c r="L39" i="246"/>
  <c r="I39" i="246"/>
  <c r="H39" i="246"/>
  <c r="G39" i="246"/>
  <c r="F39" i="246"/>
  <c r="E39" i="246"/>
  <c r="D39" i="246"/>
  <c r="N38" i="246"/>
  <c r="J34" i="246"/>
  <c r="I34" i="246"/>
  <c r="H34" i="246"/>
  <c r="G34" i="246"/>
  <c r="F34" i="246"/>
  <c r="E34" i="246"/>
  <c r="D34" i="246"/>
  <c r="S25" i="246" a="1"/>
  <c r="W25" i="246" s="1"/>
  <c r="Q25" i="246"/>
  <c r="P25" i="246"/>
  <c r="O25" i="246"/>
  <c r="N25" i="246"/>
  <c r="J25" i="246"/>
  <c r="I25" i="246"/>
  <c r="H25" i="246"/>
  <c r="G25" i="246"/>
  <c r="F25" i="246"/>
  <c r="E25" i="246"/>
  <c r="D25" i="246"/>
  <c r="N24" i="246"/>
  <c r="L24" i="246"/>
  <c r="D24" i="246"/>
  <c r="K15" i="246"/>
  <c r="I15" i="246"/>
  <c r="J15" i="246" s="1"/>
  <c r="R14" i="246" s="1"/>
  <c r="Q15" i="246" s="1"/>
  <c r="P14" i="246"/>
  <c r="O14" i="246"/>
  <c r="N14" i="246"/>
  <c r="M14" i="246"/>
  <c r="R13" i="246"/>
  <c r="Q13" i="246"/>
  <c r="P13" i="246"/>
  <c r="O13" i="246"/>
  <c r="N13" i="246"/>
  <c r="M13" i="246"/>
  <c r="L13" i="246"/>
  <c r="J13" i="246"/>
  <c r="I13" i="246"/>
  <c r="H13" i="246"/>
  <c r="G13" i="246"/>
  <c r="F13" i="246"/>
  <c r="E13" i="246"/>
  <c r="D13" i="246"/>
  <c r="H27" i="190" l="1"/>
  <c r="I24" i="190"/>
  <c r="I20" i="255"/>
  <c r="J20" i="255" s="1"/>
  <c r="K20" i="255" s="1"/>
  <c r="L20" i="255" s="1"/>
  <c r="M20" i="255" s="1"/>
  <c r="N20" i="255" s="1"/>
  <c r="O20" i="255" s="1"/>
  <c r="P20" i="255" s="1"/>
  <c r="Q20" i="255" s="1"/>
  <c r="R20" i="255" s="1"/>
  <c r="S20" i="255" s="1"/>
  <c r="T20" i="255" s="1"/>
  <c r="U20" i="255" s="1"/>
  <c r="V20" i="255" s="1"/>
  <c r="W20" i="255" s="1"/>
  <c r="X20" i="255" s="1"/>
  <c r="Y20" i="255" s="1"/>
  <c r="Z20" i="255" s="1"/>
  <c r="AA20" i="255" s="1"/>
  <c r="AB20" i="255" s="1"/>
  <c r="AC20" i="255" s="1"/>
  <c r="H20" i="254"/>
  <c r="I20" i="254" s="1"/>
  <c r="J20" i="254" s="1"/>
  <c r="K20" i="254" s="1"/>
  <c r="L20" i="254" s="1"/>
  <c r="M20" i="254" s="1"/>
  <c r="N20" i="254" s="1"/>
  <c r="O20" i="254" s="1"/>
  <c r="P20" i="254" s="1"/>
  <c r="Q20" i="254" s="1"/>
  <c r="R20" i="254" s="1"/>
  <c r="S20" i="254" s="1"/>
  <c r="T20" i="254" s="1"/>
  <c r="U20" i="254" s="1"/>
  <c r="V20" i="254" s="1"/>
  <c r="W20" i="254" s="1"/>
  <c r="X20" i="254" s="1"/>
  <c r="Y20" i="254" s="1"/>
  <c r="Z20" i="254" s="1"/>
  <c r="AA20" i="254" s="1"/>
  <c r="AB20" i="254" s="1"/>
  <c r="L59" i="246"/>
  <c r="H20" i="252"/>
  <c r="I20" i="252" s="1"/>
  <c r="J20" i="252" s="1"/>
  <c r="K20" i="252" s="1"/>
  <c r="L20" i="252" s="1"/>
  <c r="M20" i="252" s="1"/>
  <c r="N20" i="252" s="1"/>
  <c r="O20" i="252" s="1"/>
  <c r="P20" i="252" s="1"/>
  <c r="Q20" i="252" s="1"/>
  <c r="R20" i="252" s="1"/>
  <c r="S20" i="252" s="1"/>
  <c r="T20" i="252" s="1"/>
  <c r="U20" i="252" s="1"/>
  <c r="V20" i="252" s="1"/>
  <c r="W20" i="252" s="1"/>
  <c r="X20" i="252" s="1"/>
  <c r="Y20" i="252" s="1"/>
  <c r="Z20" i="252" s="1"/>
  <c r="AA20" i="252" s="1"/>
  <c r="AB20" i="252" s="1"/>
  <c r="I20" i="253"/>
  <c r="J20" i="253" s="1"/>
  <c r="K20" i="253" s="1"/>
  <c r="L20" i="253" s="1"/>
  <c r="M20" i="253" s="1"/>
  <c r="N20" i="253" s="1"/>
  <c r="O20" i="253" s="1"/>
  <c r="P20" i="253" s="1"/>
  <c r="Q20" i="253" s="1"/>
  <c r="R20" i="253" s="1"/>
  <c r="S20" i="253" s="1"/>
  <c r="T20" i="253" s="1"/>
  <c r="U20" i="253" s="1"/>
  <c r="V20" i="253" s="1"/>
  <c r="W20" i="253" s="1"/>
  <c r="X20" i="253" s="1"/>
  <c r="Y20" i="253" s="1"/>
  <c r="Z20" i="253" s="1"/>
  <c r="AA20" i="253" s="1"/>
  <c r="AB20" i="253" s="1"/>
  <c r="AC20" i="253" s="1"/>
  <c r="R25" i="246"/>
  <c r="R39" i="246"/>
  <c r="N54" i="246"/>
  <c r="L38" i="246"/>
  <c r="J39" i="246"/>
  <c r="I20" i="251"/>
  <c r="J20" i="251" s="1"/>
  <c r="K20" i="251" s="1"/>
  <c r="L20" i="251" s="1"/>
  <c r="M20" i="251" s="1"/>
  <c r="N20" i="251" s="1"/>
  <c r="O20" i="251" s="1"/>
  <c r="P20" i="251" s="1"/>
  <c r="Q20" i="251" s="1"/>
  <c r="R20" i="251" s="1"/>
  <c r="S20" i="251" s="1"/>
  <c r="T20" i="251" s="1"/>
  <c r="U20" i="251" s="1"/>
  <c r="V20" i="251" s="1"/>
  <c r="W20" i="251" s="1"/>
  <c r="X20" i="251" s="1"/>
  <c r="Y20" i="251" s="1"/>
  <c r="Z20" i="251" s="1"/>
  <c r="AA20" i="251" s="1"/>
  <c r="AB20" i="251" s="1"/>
  <c r="AC20" i="251" s="1"/>
  <c r="H20" i="250"/>
  <c r="I20" i="250" s="1"/>
  <c r="J20" i="250" s="1"/>
  <c r="K20" i="250" s="1"/>
  <c r="L20" i="250" s="1"/>
  <c r="M20" i="250" s="1"/>
  <c r="N20" i="250" s="1"/>
  <c r="O20" i="250" s="1"/>
  <c r="P20" i="250" s="1"/>
  <c r="Q20" i="250" s="1"/>
  <c r="R20" i="250" s="1"/>
  <c r="S20" i="250" s="1"/>
  <c r="T20" i="250" s="1"/>
  <c r="U20" i="250" s="1"/>
  <c r="V20" i="250" s="1"/>
  <c r="W20" i="250" s="1"/>
  <c r="X20" i="250" s="1"/>
  <c r="Y20" i="250" s="1"/>
  <c r="Z20" i="250" s="1"/>
  <c r="AA20" i="250" s="1"/>
  <c r="AB20" i="250" s="1"/>
  <c r="I76" i="247"/>
  <c r="I77" i="247" s="1"/>
  <c r="I78" i="247" s="1"/>
  <c r="I79" i="247" s="1"/>
  <c r="I80" i="247" s="1"/>
  <c r="L35" i="248"/>
  <c r="H30" i="190"/>
  <c r="I30" i="190" s="1"/>
  <c r="G33" i="190"/>
  <c r="G32" i="190"/>
  <c r="H32" i="191" s="1"/>
  <c r="G26" i="190"/>
  <c r="H22" i="191" s="1"/>
  <c r="H26" i="190"/>
  <c r="H38" i="248"/>
  <c r="I38" i="248" s="1"/>
  <c r="J38" i="248" s="1"/>
  <c r="K38" i="248" s="1"/>
  <c r="L38" i="248" s="1"/>
  <c r="C52" i="233"/>
  <c r="E25" i="233"/>
  <c r="C49" i="233"/>
  <c r="E34" i="233"/>
  <c r="C44" i="233"/>
  <c r="L61" i="243"/>
  <c r="I80" i="246"/>
  <c r="Q14" i="246"/>
  <c r="Q46" i="246" s="1"/>
  <c r="D67" i="246"/>
  <c r="H67" i="246"/>
  <c r="F67" i="246"/>
  <c r="Q48" i="246"/>
  <c r="T25" i="246"/>
  <c r="V25" i="246"/>
  <c r="S25" i="246"/>
  <c r="U25" i="246"/>
  <c r="E67" i="246"/>
  <c r="H32" i="190" l="1"/>
  <c r="I32" i="191" s="1"/>
  <c r="H33" i="190"/>
  <c r="I22" i="191"/>
  <c r="I27" i="190"/>
  <c r="Q40" i="246"/>
  <c r="Q47" i="246"/>
  <c r="Q43" i="246"/>
  <c r="Q44" i="246"/>
  <c r="P15" i="246"/>
  <c r="P47" i="246" s="1"/>
  <c r="Q45" i="246"/>
  <c r="Q42" i="246"/>
  <c r="P48" i="246" l="1"/>
  <c r="J24" i="190"/>
  <c r="J27" i="190" s="1"/>
  <c r="P40" i="246"/>
  <c r="P44" i="246"/>
  <c r="P45" i="246"/>
  <c r="O15" i="246"/>
  <c r="O48" i="246" s="1"/>
  <c r="P42" i="246"/>
  <c r="P46" i="246"/>
  <c r="P43" i="246"/>
  <c r="Q49" i="246"/>
  <c r="O42" i="246"/>
  <c r="O43" i="246"/>
  <c r="P49" i="246" l="1"/>
  <c r="O47" i="246"/>
  <c r="J30" i="190"/>
  <c r="I33" i="190"/>
  <c r="I32" i="190"/>
  <c r="J32" i="191" s="1"/>
  <c r="I26" i="190"/>
  <c r="J22" i="191" s="1"/>
  <c r="K24" i="190"/>
  <c r="K27" i="190" s="1"/>
  <c r="O40" i="246"/>
  <c r="O45" i="246"/>
  <c r="N15" i="246"/>
  <c r="N47" i="246" s="1"/>
  <c r="O46" i="246"/>
  <c r="O44" i="246"/>
  <c r="N40" i="246" l="1"/>
  <c r="N45" i="246"/>
  <c r="N42" i="246"/>
  <c r="N46" i="246"/>
  <c r="O49" i="246"/>
  <c r="K30" i="190"/>
  <c r="J33" i="190"/>
  <c r="J32" i="190"/>
  <c r="K32" i="191" s="1"/>
  <c r="J26" i="190"/>
  <c r="K22" i="191" s="1"/>
  <c r="L24" i="190"/>
  <c r="L25" i="190" s="1"/>
  <c r="M15" i="246"/>
  <c r="M46" i="246" s="1"/>
  <c r="N44" i="246"/>
  <c r="N48" i="246"/>
  <c r="N43" i="246"/>
  <c r="M48" i="246"/>
  <c r="R26" i="246"/>
  <c r="N49" i="246" l="1"/>
  <c r="N31" i="246"/>
  <c r="Q29" i="246"/>
  <c r="M30" i="246"/>
  <c r="O28" i="246"/>
  <c r="O32" i="246"/>
  <c r="P31" i="246"/>
  <c r="O31" i="246"/>
  <c r="L29" i="246"/>
  <c r="M26" i="246"/>
  <c r="R33" i="246"/>
  <c r="P32" i="246"/>
  <c r="N26" i="246"/>
  <c r="L30" i="246"/>
  <c r="N28" i="246"/>
  <c r="M47" i="246"/>
  <c r="Q33" i="246"/>
  <c r="L30" i="190"/>
  <c r="L31" i="190" s="1"/>
  <c r="K33" i="190"/>
  <c r="K32" i="190"/>
  <c r="L32" i="191" s="1"/>
  <c r="K26" i="190"/>
  <c r="L22" i="191" s="1"/>
  <c r="L26" i="246"/>
  <c r="P26" i="246"/>
  <c r="M28" i="246"/>
  <c r="Q28" i="246"/>
  <c r="O29" i="246"/>
  <c r="P30" i="246"/>
  <c r="R31" i="246"/>
  <c r="P33" i="246"/>
  <c r="Q26" i="246"/>
  <c r="R28" i="246"/>
  <c r="R30" i="246"/>
  <c r="Q32" i="246"/>
  <c r="M43" i="246"/>
  <c r="P29" i="246"/>
  <c r="Q30" i="246"/>
  <c r="L32" i="246"/>
  <c r="M33" i="246"/>
  <c r="M44" i="246"/>
  <c r="L33" i="246"/>
  <c r="L15" i="246"/>
  <c r="L45" i="246" s="1"/>
  <c r="O26" i="246"/>
  <c r="L28" i="246"/>
  <c r="P28" i="246"/>
  <c r="M29" i="246"/>
  <c r="N30" i="246"/>
  <c r="L31" i="246"/>
  <c r="M32" i="246"/>
  <c r="N33" i="246"/>
  <c r="M40" i="246"/>
  <c r="M45" i="246"/>
  <c r="N29" i="246"/>
  <c r="R29" i="246"/>
  <c r="O30" i="246"/>
  <c r="M31" i="246"/>
  <c r="Q31" i="246"/>
  <c r="N32" i="246"/>
  <c r="R32" i="246"/>
  <c r="O33" i="246"/>
  <c r="M42" i="246"/>
  <c r="L47" i="246"/>
  <c r="L40" i="246"/>
  <c r="L48" i="246"/>
  <c r="L46" i="246" l="1"/>
  <c r="Q34" i="246"/>
  <c r="L42" i="246"/>
  <c r="L43" i="246"/>
  <c r="L44" i="246"/>
  <c r="M49" i="246"/>
  <c r="N34" i="246"/>
  <c r="O34" i="246"/>
  <c r="O52" i="246" s="1"/>
  <c r="T56" i="246" s="1"/>
  <c r="M34" i="246"/>
  <c r="P34" i="246"/>
  <c r="L34" i="246"/>
  <c r="R34" i="246"/>
  <c r="R49" i="246" s="1"/>
  <c r="R52" i="246" s="1"/>
  <c r="L49" i="246" l="1"/>
  <c r="P52" i="246"/>
  <c r="Q52" i="246"/>
  <c r="R58" i="246" s="1"/>
  <c r="N52" i="246"/>
  <c r="S55" i="246" s="1"/>
  <c r="R56" i="246"/>
  <c r="S56" i="246"/>
  <c r="Q56" i="246"/>
  <c r="P56" i="246"/>
  <c r="W59" i="246"/>
  <c r="W60" i="246" s="1"/>
  <c r="W62" i="246" s="1"/>
  <c r="U59" i="246"/>
  <c r="S59" i="246"/>
  <c r="T59" i="246"/>
  <c r="V59" i="246"/>
  <c r="U57" i="246"/>
  <c r="S57" i="246"/>
  <c r="Q57" i="246"/>
  <c r="R57" i="246"/>
  <c r="T57" i="246"/>
  <c r="S58" i="246" l="1"/>
  <c r="T58" i="246"/>
  <c r="U58" i="246"/>
  <c r="P55" i="246"/>
  <c r="O55" i="246"/>
  <c r="V58" i="246"/>
  <c r="V60" i="246" s="1"/>
  <c r="V62" i="246" s="1"/>
  <c r="Q55" i="246"/>
  <c r="U60" i="246"/>
  <c r="U62" i="246" s="1"/>
  <c r="R55" i="246"/>
  <c r="T60" i="246"/>
  <c r="T62" i="246" s="1"/>
  <c r="S60" i="246"/>
  <c r="X60" i="246" l="1"/>
  <c r="S62" i="246"/>
  <c r="X62" i="246" s="1"/>
  <c r="J55" i="245" l="1"/>
  <c r="I55" i="245"/>
  <c r="H55" i="245"/>
  <c r="G55" i="245"/>
  <c r="F55" i="245"/>
  <c r="J48" i="245"/>
  <c r="I48" i="245"/>
  <c r="H48" i="245"/>
  <c r="G48" i="245"/>
  <c r="F48" i="245"/>
  <c r="J41" i="245"/>
  <c r="I41" i="245"/>
  <c r="H41" i="245"/>
  <c r="G41" i="245"/>
  <c r="F41" i="245"/>
  <c r="J29" i="245"/>
  <c r="I29" i="245"/>
  <c r="H29" i="245"/>
  <c r="G29" i="245"/>
  <c r="F29" i="245"/>
  <c r="H94" i="222" l="1"/>
  <c r="J58" i="245" l="1"/>
  <c r="I58" i="245"/>
  <c r="H58" i="245"/>
  <c r="G58" i="245"/>
  <c r="F58" i="245"/>
  <c r="O29" i="245"/>
  <c r="N29" i="245"/>
  <c r="M29" i="245"/>
  <c r="L29" i="245"/>
  <c r="K29" i="245"/>
  <c r="O41" i="245"/>
  <c r="N41" i="245"/>
  <c r="M41" i="245"/>
  <c r="L41" i="245"/>
  <c r="K41" i="245"/>
  <c r="O48" i="245"/>
  <c r="N48" i="245"/>
  <c r="M48" i="245"/>
  <c r="L48" i="245"/>
  <c r="K48" i="245"/>
  <c r="O55" i="245"/>
  <c r="N55" i="245"/>
  <c r="M55" i="245"/>
  <c r="L55" i="245"/>
  <c r="K55" i="245"/>
  <c r="F17" i="245"/>
  <c r="P54" i="245"/>
  <c r="P53" i="245"/>
  <c r="P52" i="245"/>
  <c r="P51" i="245"/>
  <c r="P47" i="245"/>
  <c r="P46" i="245"/>
  <c r="P45" i="245"/>
  <c r="P44" i="245"/>
  <c r="P40" i="245"/>
  <c r="P39" i="245"/>
  <c r="P38" i="245"/>
  <c r="P37" i="245"/>
  <c r="P36" i="245"/>
  <c r="P35" i="245"/>
  <c r="P34" i="245"/>
  <c r="P33" i="245"/>
  <c r="P32" i="245"/>
  <c r="P28" i="245"/>
  <c r="P27" i="245"/>
  <c r="P26" i="245"/>
  <c r="P25" i="245"/>
  <c r="P24" i="245"/>
  <c r="P23" i="245"/>
  <c r="P22" i="245"/>
  <c r="P21" i="245"/>
  <c r="P20" i="245"/>
  <c r="B11" i="245"/>
  <c r="M58" i="245" l="1"/>
  <c r="L58" i="245"/>
  <c r="N58" i="245"/>
  <c r="K58" i="245"/>
  <c r="O58" i="245"/>
  <c r="P55" i="245"/>
  <c r="J18" i="190" l="1"/>
  <c r="W29" i="224"/>
  <c r="V29" i="224"/>
  <c r="U29" i="224"/>
  <c r="T29" i="224"/>
  <c r="S29" i="224"/>
  <c r="R29" i="224"/>
  <c r="Q29" i="224"/>
  <c r="P29" i="224"/>
  <c r="U20" i="224"/>
  <c r="AG65" i="234"/>
  <c r="AF65" i="234"/>
  <c r="AE65" i="234"/>
  <c r="AG62" i="234"/>
  <c r="AG66" i="234" s="1"/>
  <c r="AF62" i="234"/>
  <c r="AF66" i="234" s="1"/>
  <c r="AE62" i="234"/>
  <c r="AE66" i="234" s="1"/>
  <c r="AE51" i="234"/>
  <c r="AE42" i="234"/>
  <c r="AG34" i="234"/>
  <c r="AF34" i="234"/>
  <c r="AE34" i="234"/>
  <c r="AE24" i="234"/>
  <c r="AB24" i="220"/>
  <c r="AA24" i="220"/>
  <c r="Z24" i="220"/>
  <c r="Y24" i="220"/>
  <c r="X24" i="220"/>
  <c r="W24" i="220"/>
  <c r="V24" i="220"/>
  <c r="U24" i="220"/>
  <c r="Z15" i="220"/>
  <c r="Z20" i="243"/>
  <c r="AB55" i="218"/>
  <c r="AA55" i="218"/>
  <c r="Z55" i="218"/>
  <c r="Y55" i="218"/>
  <c r="X55" i="218"/>
  <c r="W55" i="218"/>
  <c r="V55" i="218"/>
  <c r="U55" i="218"/>
  <c r="AB48" i="218"/>
  <c r="AB49" i="218" s="1"/>
  <c r="AA48" i="218"/>
  <c r="AA49" i="218" s="1"/>
  <c r="AA56" i="218" s="1"/>
  <c r="Z48" i="218"/>
  <c r="Z49" i="218" s="1"/>
  <c r="Y48" i="218"/>
  <c r="Y49" i="218" s="1"/>
  <c r="Y56" i="218" s="1"/>
  <c r="X48" i="218"/>
  <c r="X49" i="218" s="1"/>
  <c r="W48" i="218"/>
  <c r="W49" i="218" s="1"/>
  <c r="W56" i="218" s="1"/>
  <c r="V48" i="218"/>
  <c r="U48" i="218"/>
  <c r="U49" i="218" s="1"/>
  <c r="Z20" i="218"/>
  <c r="K97" i="217"/>
  <c r="K89" i="217"/>
  <c r="M83" i="217" s="1"/>
  <c r="M89" i="217" s="1"/>
  <c r="K81" i="217"/>
  <c r="K73" i="217"/>
  <c r="M67" i="217" s="1"/>
  <c r="K65" i="217"/>
  <c r="K57" i="217"/>
  <c r="L51" i="217" s="1"/>
  <c r="K49" i="217"/>
  <c r="K18" i="217"/>
  <c r="Z55" i="201"/>
  <c r="Z20" i="201"/>
  <c r="AB150" i="211"/>
  <c r="AA150" i="211"/>
  <c r="Z150" i="211"/>
  <c r="Y150" i="211"/>
  <c r="X150" i="211"/>
  <c r="W150" i="211"/>
  <c r="V150" i="211"/>
  <c r="U150" i="211"/>
  <c r="AB90" i="211"/>
  <c r="AA90" i="211"/>
  <c r="Z90" i="211"/>
  <c r="Y90" i="211"/>
  <c r="X90" i="211"/>
  <c r="W90" i="211"/>
  <c r="V90" i="211"/>
  <c r="U90" i="211"/>
  <c r="AB78" i="211"/>
  <c r="AA78" i="211"/>
  <c r="Z78" i="211"/>
  <c r="Y78" i="211"/>
  <c r="X78" i="211"/>
  <c r="W78" i="211"/>
  <c r="V78" i="211"/>
  <c r="U78" i="211"/>
  <c r="AB66" i="211"/>
  <c r="AA66" i="211"/>
  <c r="Z66" i="211"/>
  <c r="Y66" i="211"/>
  <c r="X66" i="211"/>
  <c r="W66" i="211"/>
  <c r="V66" i="211"/>
  <c r="U66" i="211"/>
  <c r="AB54" i="211"/>
  <c r="AA54" i="211"/>
  <c r="Z54" i="211"/>
  <c r="Y54" i="211"/>
  <c r="X54" i="211"/>
  <c r="W54" i="211"/>
  <c r="V54" i="211"/>
  <c r="U54" i="211"/>
  <c r="AB42" i="211"/>
  <c r="AA42" i="211"/>
  <c r="Z42" i="211"/>
  <c r="Y42" i="211"/>
  <c r="X42" i="211"/>
  <c r="W42" i="211"/>
  <c r="V42" i="211"/>
  <c r="U42" i="211"/>
  <c r="AB30" i="211"/>
  <c r="AA30" i="211"/>
  <c r="Z30" i="211"/>
  <c r="Y30" i="211"/>
  <c r="X30" i="211"/>
  <c r="W30" i="211"/>
  <c r="V30" i="211"/>
  <c r="U30" i="211"/>
  <c r="Z19" i="211"/>
  <c r="V49" i="218"/>
  <c r="V56" i="218" s="1"/>
  <c r="L83" i="217"/>
  <c r="L89" i="217" s="1"/>
  <c r="L67" i="217"/>
  <c r="L73" i="217" s="1"/>
  <c r="AF31" i="223"/>
  <c r="AF16" i="223"/>
  <c r="AF110" i="223"/>
  <c r="AF60" i="223"/>
  <c r="AF46" i="223"/>
  <c r="Z52" i="210"/>
  <c r="Z42" i="210"/>
  <c r="AB34" i="210"/>
  <c r="AA34" i="210"/>
  <c r="AB45" i="210" s="1"/>
  <c r="AB44" i="210" s="1"/>
  <c r="Z34" i="210"/>
  <c r="Z45" i="210" s="1"/>
  <c r="Z44" i="210" s="1"/>
  <c r="Y34" i="210"/>
  <c r="Y45" i="210" s="1"/>
  <c r="Y44" i="210" s="1"/>
  <c r="X34" i="210"/>
  <c r="X45" i="210" s="1"/>
  <c r="X44" i="210" s="1"/>
  <c r="W34" i="210"/>
  <c r="W45" i="210" s="1"/>
  <c r="W44" i="210" s="1"/>
  <c r="V34" i="210"/>
  <c r="V45" i="210" s="1"/>
  <c r="V44" i="210" s="1"/>
  <c r="U34" i="210"/>
  <c r="U45" i="210" s="1"/>
  <c r="U44" i="210" s="1"/>
  <c r="Z18" i="210"/>
  <c r="AG86" i="239"/>
  <c r="AF86" i="239"/>
  <c r="AE86" i="239"/>
  <c r="AD86" i="239"/>
  <c r="AC86" i="239"/>
  <c r="AB86" i="239"/>
  <c r="AA86" i="239"/>
  <c r="Z86" i="239"/>
  <c r="AG84" i="239"/>
  <c r="AF84" i="239"/>
  <c r="AE84" i="239"/>
  <c r="AD84" i="239"/>
  <c r="AC84" i="239"/>
  <c r="AB84" i="239"/>
  <c r="AA84" i="239"/>
  <c r="Z84" i="239"/>
  <c r="AG83" i="239"/>
  <c r="AF83" i="239"/>
  <c r="AE83" i="239"/>
  <c r="AD83" i="239"/>
  <c r="AC83" i="239"/>
  <c r="AB83" i="239"/>
  <c r="AA83" i="239"/>
  <c r="Z83" i="239"/>
  <c r="AE82" i="239"/>
  <c r="AD82" i="239"/>
  <c r="AC82" i="239"/>
  <c r="AB82" i="239"/>
  <c r="AA82" i="239"/>
  <c r="Z82" i="239"/>
  <c r="AG79" i="239"/>
  <c r="AG81" i="239" s="1"/>
  <c r="AF79" i="239"/>
  <c r="AF81" i="239" s="1"/>
  <c r="AE79" i="239"/>
  <c r="AE81" i="239" s="1"/>
  <c r="AD79" i="239"/>
  <c r="AD81" i="239" s="1"/>
  <c r="AC79" i="239"/>
  <c r="AC81" i="239" s="1"/>
  <c r="AB79" i="239"/>
  <c r="AB81" i="239" s="1"/>
  <c r="AA79" i="239"/>
  <c r="AA81" i="239" s="1"/>
  <c r="Z79" i="239"/>
  <c r="Z81" i="239" s="1"/>
  <c r="AG76" i="239"/>
  <c r="AF76" i="239"/>
  <c r="AG69" i="239"/>
  <c r="AG71" i="239" s="1"/>
  <c r="AF69" i="239"/>
  <c r="AF71" i="239" s="1"/>
  <c r="AE69" i="239"/>
  <c r="AE71" i="239" s="1"/>
  <c r="AD69" i="239"/>
  <c r="AD71" i="239" s="1"/>
  <c r="AC69" i="239"/>
  <c r="AC71" i="239" s="1"/>
  <c r="AB69" i="239"/>
  <c r="AB71" i="239" s="1"/>
  <c r="AA69" i="239"/>
  <c r="AA71" i="239" s="1"/>
  <c r="Z69" i="239"/>
  <c r="Z71" i="239" s="1"/>
  <c r="AG66" i="239"/>
  <c r="AF66" i="239"/>
  <c r="AG59" i="239"/>
  <c r="AG61" i="239" s="1"/>
  <c r="AF59" i="239"/>
  <c r="AF61" i="239" s="1"/>
  <c r="AE59" i="239"/>
  <c r="AE61" i="239" s="1"/>
  <c r="AD59" i="239"/>
  <c r="AD61" i="239" s="1"/>
  <c r="AC59" i="239"/>
  <c r="AC61" i="239" s="1"/>
  <c r="AB59" i="239"/>
  <c r="AB61" i="239" s="1"/>
  <c r="AA59" i="239"/>
  <c r="AA61" i="239" s="1"/>
  <c r="Z59" i="239"/>
  <c r="Z61" i="239" s="1"/>
  <c r="AG56" i="239"/>
  <c r="AF56" i="239"/>
  <c r="AG48" i="239"/>
  <c r="AG50" i="239" s="1"/>
  <c r="AF48" i="239"/>
  <c r="AF50" i="239" s="1"/>
  <c r="AE48" i="239"/>
  <c r="AE50" i="239" s="1"/>
  <c r="AD48" i="239"/>
  <c r="AD50" i="239" s="1"/>
  <c r="AC48" i="239"/>
  <c r="AC50" i="239" s="1"/>
  <c r="AB48" i="239"/>
  <c r="AB50" i="239" s="1"/>
  <c r="AA48" i="239"/>
  <c r="AA50" i="239" s="1"/>
  <c r="Z48" i="239"/>
  <c r="Z50" i="239" s="1"/>
  <c r="AG45" i="239"/>
  <c r="AF45" i="239"/>
  <c r="AG38" i="239"/>
  <c r="AG40" i="239" s="1"/>
  <c r="AF38" i="239"/>
  <c r="AF40" i="239" s="1"/>
  <c r="AE38" i="239"/>
  <c r="AE40" i="239" s="1"/>
  <c r="AD38" i="239"/>
  <c r="AD40" i="239" s="1"/>
  <c r="AC38" i="239"/>
  <c r="AC40" i="239" s="1"/>
  <c r="AB38" i="239"/>
  <c r="AB40" i="239" s="1"/>
  <c r="AA38" i="239"/>
  <c r="Z38" i="239"/>
  <c r="Z40" i="239" s="1"/>
  <c r="AG35" i="239"/>
  <c r="AF35" i="239"/>
  <c r="AG28" i="239"/>
  <c r="AF28" i="239"/>
  <c r="AF85" i="239" s="1"/>
  <c r="AE28" i="239"/>
  <c r="AD28" i="239"/>
  <c r="AC28" i="239"/>
  <c r="AB28" i="239"/>
  <c r="AA28" i="239"/>
  <c r="Z28" i="239"/>
  <c r="AG25" i="239"/>
  <c r="AF25" i="239"/>
  <c r="AF82" i="239" s="1"/>
  <c r="AE19" i="239"/>
  <c r="AG55" i="235"/>
  <c r="AF55" i="235"/>
  <c r="AE55" i="235"/>
  <c r="AD55" i="235"/>
  <c r="AC55" i="235"/>
  <c r="AB55" i="235"/>
  <c r="AA55" i="235"/>
  <c r="Z55" i="235"/>
  <c r="AG53" i="235"/>
  <c r="AF53" i="235"/>
  <c r="AE53" i="235"/>
  <c r="AD53" i="235"/>
  <c r="AC53" i="235"/>
  <c r="AB53" i="235"/>
  <c r="AA53" i="235"/>
  <c r="Z53" i="235"/>
  <c r="AG52" i="235"/>
  <c r="AF52" i="235"/>
  <c r="AE52" i="235"/>
  <c r="AD52" i="235"/>
  <c r="AC52" i="235"/>
  <c r="AB52" i="235"/>
  <c r="AA52" i="235"/>
  <c r="Z52" i="235"/>
  <c r="AD51" i="235"/>
  <c r="AC51" i="235"/>
  <c r="AB51" i="235"/>
  <c r="AA51" i="235"/>
  <c r="Z51" i="235"/>
  <c r="AD48" i="235"/>
  <c r="AD50" i="235" s="1"/>
  <c r="AC48" i="235"/>
  <c r="AC50" i="235" s="1"/>
  <c r="AB48" i="235"/>
  <c r="AB50" i="235" s="1"/>
  <c r="AA48" i="235"/>
  <c r="AA50" i="235" s="1"/>
  <c r="Z48" i="235"/>
  <c r="Z50" i="235" s="1"/>
  <c r="AG45" i="235"/>
  <c r="AG48" i="235" s="1"/>
  <c r="AF45" i="235"/>
  <c r="AF48" i="235" s="1"/>
  <c r="AF50" i="235" s="1"/>
  <c r="AE45" i="235"/>
  <c r="AE48" i="235" s="1"/>
  <c r="AE50" i="235" s="1"/>
  <c r="AG38" i="235"/>
  <c r="AG40" i="235" s="1"/>
  <c r="AF38" i="235"/>
  <c r="AF40" i="235" s="1"/>
  <c r="AE38" i="235"/>
  <c r="AE40" i="235" s="1"/>
  <c r="AD38" i="235"/>
  <c r="AC38" i="235"/>
  <c r="AC40" i="235" s="1"/>
  <c r="AB38" i="235"/>
  <c r="AB40" i="235" s="1"/>
  <c r="AA38" i="235"/>
  <c r="AA40" i="235" s="1"/>
  <c r="Z38" i="235"/>
  <c r="Z40" i="235" s="1"/>
  <c r="AG35" i="235"/>
  <c r="AF35" i="235"/>
  <c r="AE35" i="235"/>
  <c r="AG28" i="235"/>
  <c r="AF28" i="235"/>
  <c r="AE28" i="235"/>
  <c r="AD28" i="235"/>
  <c r="AC28" i="235"/>
  <c r="AB28" i="235"/>
  <c r="AA28" i="235"/>
  <c r="AA30" i="235" s="1"/>
  <c r="Z28" i="235"/>
  <c r="AG25" i="235"/>
  <c r="AF25" i="235"/>
  <c r="AE25" i="235"/>
  <c r="AE51" i="235" s="1"/>
  <c r="AE20" i="235"/>
  <c r="AC267" i="206"/>
  <c r="AC270" i="206" s="1"/>
  <c r="AC272" i="206" s="1"/>
  <c r="AB267" i="206"/>
  <c r="AB270" i="206" s="1"/>
  <c r="AB272" i="206" s="1"/>
  <c r="AA267" i="206"/>
  <c r="AA270" i="206" s="1"/>
  <c r="AA272" i="206" s="1"/>
  <c r="Z267" i="206"/>
  <c r="Z270" i="206" s="1"/>
  <c r="Z272" i="206" s="1"/>
  <c r="Y267" i="206"/>
  <c r="Y270" i="206" s="1"/>
  <c r="Y272" i="206" s="1"/>
  <c r="X267" i="206"/>
  <c r="X270" i="206" s="1"/>
  <c r="X272" i="206" s="1"/>
  <c r="W267" i="206"/>
  <c r="W270" i="206" s="1"/>
  <c r="W272" i="206" s="1"/>
  <c r="V267" i="206"/>
  <c r="V270" i="206" s="1"/>
  <c r="V272" i="206" s="1"/>
  <c r="AC257" i="206"/>
  <c r="AC260" i="206" s="1"/>
  <c r="AC262" i="206" s="1"/>
  <c r="AB257" i="206"/>
  <c r="AB260" i="206" s="1"/>
  <c r="AB262" i="206" s="1"/>
  <c r="AA257" i="206"/>
  <c r="AA260" i="206" s="1"/>
  <c r="AA262" i="206" s="1"/>
  <c r="Z257" i="206"/>
  <c r="Z260" i="206" s="1"/>
  <c r="Z262" i="206" s="1"/>
  <c r="Y257" i="206"/>
  <c r="Y260" i="206" s="1"/>
  <c r="Y262" i="206" s="1"/>
  <c r="X257" i="206"/>
  <c r="X260" i="206" s="1"/>
  <c r="X262" i="206" s="1"/>
  <c r="W257" i="206"/>
  <c r="W260" i="206" s="1"/>
  <c r="W262" i="206" s="1"/>
  <c r="V257" i="206"/>
  <c r="V260" i="206" s="1"/>
  <c r="V262" i="206" s="1"/>
  <c r="AC247" i="206"/>
  <c r="AC250" i="206" s="1"/>
  <c r="AC252" i="206" s="1"/>
  <c r="AB247" i="206"/>
  <c r="AB250" i="206" s="1"/>
  <c r="AB252" i="206" s="1"/>
  <c r="AA247" i="206"/>
  <c r="AA250" i="206" s="1"/>
  <c r="AA252" i="206" s="1"/>
  <c r="Z247" i="206"/>
  <c r="Z250" i="206" s="1"/>
  <c r="Z252" i="206" s="1"/>
  <c r="Y247" i="206"/>
  <c r="Y250" i="206" s="1"/>
  <c r="Y252" i="206" s="1"/>
  <c r="X247" i="206"/>
  <c r="X250" i="206" s="1"/>
  <c r="X252" i="206" s="1"/>
  <c r="W247" i="206"/>
  <c r="W250" i="206" s="1"/>
  <c r="W252" i="206" s="1"/>
  <c r="V247" i="206"/>
  <c r="V250" i="206" s="1"/>
  <c r="V252" i="206" s="1"/>
  <c r="AA242" i="206"/>
  <c r="AC232" i="206"/>
  <c r="AB232" i="206"/>
  <c r="AA232" i="206"/>
  <c r="Z232" i="206"/>
  <c r="Y232" i="206"/>
  <c r="X232" i="206"/>
  <c r="W232" i="206"/>
  <c r="V232" i="206"/>
  <c r="AC225" i="206"/>
  <c r="AC228" i="206" s="1"/>
  <c r="AC230" i="206" s="1"/>
  <c r="AC231" i="206" s="1"/>
  <c r="AB225" i="206"/>
  <c r="AB228" i="206" s="1"/>
  <c r="AB230" i="206" s="1"/>
  <c r="AA225" i="206"/>
  <c r="AA228" i="206" s="1"/>
  <c r="AA230" i="206" s="1"/>
  <c r="Z225" i="206"/>
  <c r="Z228" i="206" s="1"/>
  <c r="Z230" i="206" s="1"/>
  <c r="Y225" i="206"/>
  <c r="Y228" i="206" s="1"/>
  <c r="Y230" i="206" s="1"/>
  <c r="Y231" i="206" s="1"/>
  <c r="X225" i="206"/>
  <c r="X228" i="206" s="1"/>
  <c r="X230" i="206" s="1"/>
  <c r="W225" i="206"/>
  <c r="W228" i="206" s="1"/>
  <c r="W230" i="206" s="1"/>
  <c r="V225" i="206"/>
  <c r="V228" i="206" s="1"/>
  <c r="V230" i="206" s="1"/>
  <c r="AC214" i="206"/>
  <c r="AC217" i="206" s="1"/>
  <c r="AC219" i="206" s="1"/>
  <c r="AC220" i="206" s="1"/>
  <c r="AB214" i="206"/>
  <c r="AB217" i="206" s="1"/>
  <c r="AB219" i="206" s="1"/>
  <c r="AB220" i="206" s="1"/>
  <c r="AA214" i="206"/>
  <c r="AA217" i="206" s="1"/>
  <c r="AA219" i="206" s="1"/>
  <c r="AA220" i="206" s="1"/>
  <c r="Z214" i="206"/>
  <c r="Z217" i="206" s="1"/>
  <c r="Z219" i="206" s="1"/>
  <c r="Z220" i="206" s="1"/>
  <c r="Y214" i="206"/>
  <c r="Y217" i="206" s="1"/>
  <c r="Y219" i="206" s="1"/>
  <c r="Y220" i="206" s="1"/>
  <c r="X214" i="206"/>
  <c r="X217" i="206" s="1"/>
  <c r="X219" i="206" s="1"/>
  <c r="X220" i="206" s="1"/>
  <c r="W214" i="206"/>
  <c r="W217" i="206" s="1"/>
  <c r="W219" i="206" s="1"/>
  <c r="W220" i="206" s="1"/>
  <c r="V214" i="206"/>
  <c r="V217" i="206"/>
  <c r="V219" i="206" s="1"/>
  <c r="V220" i="206" s="1"/>
  <c r="AC203" i="206"/>
  <c r="AC206" i="206" s="1"/>
  <c r="AC208" i="206" s="1"/>
  <c r="AC209" i="206" s="1"/>
  <c r="AB203" i="206"/>
  <c r="AB206" i="206" s="1"/>
  <c r="AB208" i="206" s="1"/>
  <c r="AB209" i="206" s="1"/>
  <c r="AA203" i="206"/>
  <c r="AA206" i="206" s="1"/>
  <c r="AA208" i="206" s="1"/>
  <c r="AA209" i="206" s="1"/>
  <c r="Z203" i="206"/>
  <c r="Z206" i="206" s="1"/>
  <c r="Z208" i="206" s="1"/>
  <c r="Z209" i="206" s="1"/>
  <c r="Y203" i="206"/>
  <c r="Y206" i="206" s="1"/>
  <c r="Y208" i="206" s="1"/>
  <c r="Y209" i="206" s="1"/>
  <c r="X203" i="206"/>
  <c r="X206" i="206" s="1"/>
  <c r="X208" i="206" s="1"/>
  <c r="X209" i="206" s="1"/>
  <c r="W203" i="206"/>
  <c r="W206" i="206" s="1"/>
  <c r="W208" i="206" s="1"/>
  <c r="W209" i="206" s="1"/>
  <c r="V203" i="206"/>
  <c r="V206" i="206" s="1"/>
  <c r="V208" i="206" s="1"/>
  <c r="V209" i="206" s="1"/>
  <c r="AC196" i="206"/>
  <c r="AC234" i="206" s="1"/>
  <c r="AB196" i="206"/>
  <c r="AA196" i="206"/>
  <c r="AA234" i="206" s="1"/>
  <c r="Z196" i="206"/>
  <c r="Y196" i="206"/>
  <c r="Y234" i="206" s="1"/>
  <c r="X196" i="206"/>
  <c r="W196" i="206"/>
  <c r="W234" i="206" s="1"/>
  <c r="V196" i="206"/>
  <c r="AC195" i="206"/>
  <c r="AB195" i="206"/>
  <c r="AA195" i="206"/>
  <c r="Z195" i="206"/>
  <c r="Y195" i="206"/>
  <c r="X195" i="206"/>
  <c r="W195" i="206"/>
  <c r="V195" i="206"/>
  <c r="AC192" i="206"/>
  <c r="AC194" i="206" s="1"/>
  <c r="AB192" i="206"/>
  <c r="AB194" i="206" s="1"/>
  <c r="AA192" i="206"/>
  <c r="AA194" i="206" s="1"/>
  <c r="Z192" i="206"/>
  <c r="Z194" i="206" s="1"/>
  <c r="Y192" i="206"/>
  <c r="Y194" i="206" s="1"/>
  <c r="X192" i="206"/>
  <c r="X194" i="206" s="1"/>
  <c r="W192" i="206"/>
  <c r="W194" i="206" s="1"/>
  <c r="V192" i="206"/>
  <c r="V194" i="206" s="1"/>
  <c r="AC187" i="206"/>
  <c r="AB187" i="206"/>
  <c r="AA187" i="206"/>
  <c r="Z187" i="206"/>
  <c r="Y187" i="206"/>
  <c r="X187" i="206"/>
  <c r="W187" i="206"/>
  <c r="V187" i="206"/>
  <c r="AC184" i="206"/>
  <c r="AC186" i="206" s="1"/>
  <c r="AB184" i="206"/>
  <c r="AB186" i="206" s="1"/>
  <c r="AA184" i="206"/>
  <c r="AA186" i="206" s="1"/>
  <c r="Z184" i="206"/>
  <c r="Z186" i="206" s="1"/>
  <c r="Y184" i="206"/>
  <c r="Y186" i="206" s="1"/>
  <c r="X184" i="206"/>
  <c r="X186" i="206" s="1"/>
  <c r="W184" i="206"/>
  <c r="W186" i="206" s="1"/>
  <c r="V184" i="206"/>
  <c r="V186" i="206" s="1"/>
  <c r="AC179" i="206"/>
  <c r="AB179" i="206"/>
  <c r="AA179" i="206"/>
  <c r="Z179" i="206"/>
  <c r="Y179" i="206"/>
  <c r="X179" i="206"/>
  <c r="W179" i="206"/>
  <c r="V179" i="206"/>
  <c r="AC176" i="206"/>
  <c r="AB176" i="206"/>
  <c r="AA176" i="206"/>
  <c r="Z176" i="206"/>
  <c r="Y176" i="206"/>
  <c r="X176" i="206"/>
  <c r="W176" i="206"/>
  <c r="V176" i="206"/>
  <c r="AA170" i="206"/>
  <c r="AC110" i="206"/>
  <c r="AB110" i="206"/>
  <c r="AA110" i="206"/>
  <c r="Z110" i="206"/>
  <c r="Y110" i="206"/>
  <c r="X110" i="206"/>
  <c r="W110" i="206"/>
  <c r="V110" i="206"/>
  <c r="AC108" i="206"/>
  <c r="AB108" i="206"/>
  <c r="AA108" i="206"/>
  <c r="Z108" i="206"/>
  <c r="Y108" i="206"/>
  <c r="X108" i="206"/>
  <c r="W108" i="206"/>
  <c r="V108" i="206"/>
  <c r="AC107" i="206"/>
  <c r="AB107" i="206"/>
  <c r="AA107" i="206"/>
  <c r="Z107" i="206"/>
  <c r="Y107" i="206"/>
  <c r="X107" i="206"/>
  <c r="W107" i="206"/>
  <c r="V107" i="206"/>
  <c r="AC105" i="206"/>
  <c r="AB105" i="206"/>
  <c r="AA105" i="206"/>
  <c r="Z105" i="206"/>
  <c r="Y105" i="206"/>
  <c r="X105" i="206"/>
  <c r="W105" i="206"/>
  <c r="V105" i="206"/>
  <c r="AC104" i="206"/>
  <c r="AB104" i="206"/>
  <c r="AA104" i="206"/>
  <c r="Z104" i="206"/>
  <c r="Y104" i="206"/>
  <c r="X104" i="206"/>
  <c r="W104" i="206"/>
  <c r="V104" i="206"/>
  <c r="AC103" i="206"/>
  <c r="AB103" i="206"/>
  <c r="AA103" i="206"/>
  <c r="Z103" i="206"/>
  <c r="Y103" i="206"/>
  <c r="X103" i="206"/>
  <c r="W103" i="206"/>
  <c r="V103" i="206"/>
  <c r="AC102" i="206"/>
  <c r="AB102" i="206"/>
  <c r="AA102" i="206"/>
  <c r="Z102" i="206"/>
  <c r="Y102" i="206"/>
  <c r="X102" i="206"/>
  <c r="W102" i="206"/>
  <c r="V102" i="206"/>
  <c r="AC95" i="206"/>
  <c r="AC98" i="206" s="1"/>
  <c r="AC100" i="206" s="1"/>
  <c r="AB95" i="206"/>
  <c r="AB98" i="206" s="1"/>
  <c r="AB100" i="206" s="1"/>
  <c r="AA95" i="206"/>
  <c r="AA98" i="206" s="1"/>
  <c r="AA100" i="206" s="1"/>
  <c r="Z95" i="206"/>
  <c r="Z98" i="206" s="1"/>
  <c r="Z100" i="206" s="1"/>
  <c r="Y95" i="206"/>
  <c r="Y98" i="206" s="1"/>
  <c r="Y100" i="206" s="1"/>
  <c r="X95" i="206"/>
  <c r="X98" i="206" s="1"/>
  <c r="X100" i="206" s="1"/>
  <c r="W95" i="206"/>
  <c r="W98" i="206" s="1"/>
  <c r="W100" i="206" s="1"/>
  <c r="V95" i="206"/>
  <c r="V98" i="206" s="1"/>
  <c r="V100" i="206" s="1"/>
  <c r="AC84" i="206"/>
  <c r="AC87" i="206" s="1"/>
  <c r="AC89" i="206" s="1"/>
  <c r="AB84" i="206"/>
  <c r="AB87" i="206" s="1"/>
  <c r="AA84" i="206"/>
  <c r="AA87" i="206" s="1"/>
  <c r="AA89" i="206" s="1"/>
  <c r="Z84" i="206"/>
  <c r="Z87" i="206" s="1"/>
  <c r="Z89" i="206" s="1"/>
  <c r="Y84" i="206"/>
  <c r="X84" i="206"/>
  <c r="X87" i="206" s="1"/>
  <c r="X89" i="206" s="1"/>
  <c r="W84" i="206"/>
  <c r="W87" i="206" s="1"/>
  <c r="W89" i="206" s="1"/>
  <c r="V84" i="206"/>
  <c r="V87" i="206"/>
  <c r="AC73" i="206"/>
  <c r="AB73" i="206"/>
  <c r="AB76" i="206" s="1"/>
  <c r="AB78" i="206" s="1"/>
  <c r="AA73" i="206"/>
  <c r="Z73" i="206"/>
  <c r="Z106" i="206" s="1"/>
  <c r="Y73" i="206"/>
  <c r="X73" i="206"/>
  <c r="X106" i="206" s="1"/>
  <c r="W73" i="206"/>
  <c r="V73" i="206"/>
  <c r="V106" i="206" s="1"/>
  <c r="AA67" i="206"/>
  <c r="AC55" i="206"/>
  <c r="AC58" i="206" s="1"/>
  <c r="AC60" i="206" s="1"/>
  <c r="AB55" i="206"/>
  <c r="AB58" i="206" s="1"/>
  <c r="AB60" i="206" s="1"/>
  <c r="AA55" i="206"/>
  <c r="AA58" i="206" s="1"/>
  <c r="AA60" i="206" s="1"/>
  <c r="Z55" i="206"/>
  <c r="Z58" i="206" s="1"/>
  <c r="Z60" i="206" s="1"/>
  <c r="Y55" i="206"/>
  <c r="Y58" i="206" s="1"/>
  <c r="Y60" i="206" s="1"/>
  <c r="X55" i="206"/>
  <c r="X58" i="206" s="1"/>
  <c r="X60" i="206" s="1"/>
  <c r="W55" i="206"/>
  <c r="W58" i="206" s="1"/>
  <c r="W60" i="206" s="1"/>
  <c r="V55" i="206"/>
  <c r="V58" i="206" s="1"/>
  <c r="V60" i="206" s="1"/>
  <c r="AA50" i="206"/>
  <c r="AH66" i="238"/>
  <c r="AH68" i="238" s="1"/>
  <c r="AG66" i="238"/>
  <c r="AG68" i="238" s="1"/>
  <c r="AF66" i="238"/>
  <c r="AF68" i="238" s="1"/>
  <c r="AE66" i="238"/>
  <c r="AE68" i="238" s="1"/>
  <c r="AD66" i="238"/>
  <c r="AD68" i="238" s="1"/>
  <c r="AC66" i="238"/>
  <c r="AC68" i="238" s="1"/>
  <c r="AB66" i="238"/>
  <c r="AB68" i="238" s="1"/>
  <c r="AA66" i="238"/>
  <c r="AA68" i="238" s="1"/>
  <c r="AH63" i="238"/>
  <c r="AG63" i="238"/>
  <c r="AF63" i="238"/>
  <c r="AH56" i="238"/>
  <c r="AG56" i="238"/>
  <c r="AG58" i="238" s="1"/>
  <c r="AF56" i="238"/>
  <c r="AE56" i="238"/>
  <c r="AE58" i="238" s="1"/>
  <c r="AD56" i="238"/>
  <c r="AC56" i="238"/>
  <c r="AC58" i="238" s="1"/>
  <c r="AB56" i="238"/>
  <c r="AA56" i="238"/>
  <c r="AA58" i="238" s="1"/>
  <c r="AH53" i="238"/>
  <c r="AG53" i="238"/>
  <c r="AF53" i="238"/>
  <c r="AH38" i="238"/>
  <c r="AH40" i="238" s="1"/>
  <c r="AG38" i="238"/>
  <c r="AG40" i="238" s="1"/>
  <c r="AF38" i="238"/>
  <c r="AF40" i="238" s="1"/>
  <c r="AE38" i="238"/>
  <c r="AE40" i="238" s="1"/>
  <c r="AD38" i="238"/>
  <c r="AD40" i="238" s="1"/>
  <c r="AC38" i="238"/>
  <c r="AC40" i="238" s="1"/>
  <c r="AB38" i="238"/>
  <c r="AB40" i="238" s="1"/>
  <c r="AA38" i="238"/>
  <c r="AA40" i="238" s="1"/>
  <c r="AH35" i="238"/>
  <c r="AG35" i="238"/>
  <c r="AF35" i="238"/>
  <c r="AH28" i="238"/>
  <c r="AG28" i="238"/>
  <c r="AF28" i="238"/>
  <c r="AE28" i="238"/>
  <c r="AE30" i="238" s="1"/>
  <c r="AD28" i="238"/>
  <c r="AD30" i="238" s="1"/>
  <c r="AC28" i="238"/>
  <c r="AC30" i="238"/>
  <c r="AB28" i="238"/>
  <c r="AA28" i="238"/>
  <c r="AA30" i="238" s="1"/>
  <c r="AH25" i="238"/>
  <c r="AG25" i="238"/>
  <c r="AF25" i="238"/>
  <c r="AF19" i="238"/>
  <c r="AA45" i="210"/>
  <c r="AA44" i="210" s="1"/>
  <c r="Z30" i="239"/>
  <c r="AF30" i="239"/>
  <c r="AF87" i="239" s="1"/>
  <c r="AA30" i="239"/>
  <c r="AC30" i="239"/>
  <c r="AE30" i="239"/>
  <c r="AG30" i="239"/>
  <c r="AA54" i="235"/>
  <c r="AC30" i="235"/>
  <c r="AG30" i="235"/>
  <c r="Z30" i="235"/>
  <c r="AD30" i="235"/>
  <c r="AF30" i="235"/>
  <c r="V76" i="206"/>
  <c r="W178" i="206"/>
  <c r="Y178" i="206"/>
  <c r="AA178" i="206"/>
  <c r="AC178" i="206"/>
  <c r="Y76" i="206"/>
  <c r="AA76" i="206"/>
  <c r="AC76" i="206"/>
  <c r="AC78" i="206" s="1"/>
  <c r="V178" i="206"/>
  <c r="AG30" i="238"/>
  <c r="AB30" i="238"/>
  <c r="AF30" i="238"/>
  <c r="AB58" i="238"/>
  <c r="AD58" i="238"/>
  <c r="AF58" i="238"/>
  <c r="AH58" i="238"/>
  <c r="AS139" i="187"/>
  <c r="AR139" i="187"/>
  <c r="AQ139" i="187"/>
  <c r="AP139" i="187"/>
  <c r="AO139" i="187"/>
  <c r="AN139" i="187"/>
  <c r="AS137" i="187"/>
  <c r="AR137" i="187"/>
  <c r="AQ137" i="187"/>
  <c r="AP137" i="187"/>
  <c r="AO137" i="187"/>
  <c r="AN137" i="187"/>
  <c r="AM137" i="187"/>
  <c r="AL137" i="187"/>
  <c r="AS136" i="187"/>
  <c r="AR136" i="187"/>
  <c r="AQ136" i="187"/>
  <c r="AP136" i="187"/>
  <c r="AO136" i="187"/>
  <c r="AN136" i="187"/>
  <c r="AM136" i="187"/>
  <c r="AL136" i="187"/>
  <c r="AS134" i="187"/>
  <c r="AR134" i="187"/>
  <c r="AQ134" i="187"/>
  <c r="AS133" i="187"/>
  <c r="AR133" i="187"/>
  <c r="AQ133" i="187"/>
  <c r="AS132" i="187"/>
  <c r="AR132" i="187"/>
  <c r="AQ132" i="187"/>
  <c r="AS128" i="187"/>
  <c r="AS130" i="187" s="1"/>
  <c r="AR128" i="187"/>
  <c r="AR130" i="187" s="1"/>
  <c r="AQ128" i="187"/>
  <c r="AQ130" i="187" s="1"/>
  <c r="AP128" i="187"/>
  <c r="AP130" i="187" s="1"/>
  <c r="AO128" i="187"/>
  <c r="AO130" i="187" s="1"/>
  <c r="AN128" i="187"/>
  <c r="AM128" i="187"/>
  <c r="AM130" i="187" s="1"/>
  <c r="AL128" i="187"/>
  <c r="AL130" i="187" s="1"/>
  <c r="AS125" i="187"/>
  <c r="AR125" i="187"/>
  <c r="AQ125" i="187"/>
  <c r="AS117" i="187"/>
  <c r="AR117" i="187"/>
  <c r="AQ117" i="187"/>
  <c r="AQ138" i="187"/>
  <c r="AP117" i="187"/>
  <c r="AP119" i="187" s="1"/>
  <c r="AO117" i="187"/>
  <c r="AO138" i="187" s="1"/>
  <c r="AO140" i="187" s="1"/>
  <c r="AN117" i="187"/>
  <c r="AM117" i="187"/>
  <c r="AM138" i="187" s="1"/>
  <c r="AL117" i="187"/>
  <c r="AL138" i="187" s="1"/>
  <c r="AS114" i="187"/>
  <c r="AR114" i="187"/>
  <c r="AQ114" i="187"/>
  <c r="AQ135" i="187" s="1"/>
  <c r="AQ108" i="187"/>
  <c r="AS89" i="187"/>
  <c r="AS87" i="187"/>
  <c r="AR87" i="187"/>
  <c r="AR89" i="187" s="1"/>
  <c r="AQ87" i="187"/>
  <c r="AQ89" i="187" s="1"/>
  <c r="AP87" i="187"/>
  <c r="AP89" i="187" s="1"/>
  <c r="AO87" i="187"/>
  <c r="AO89" i="187" s="1"/>
  <c r="AN87" i="187"/>
  <c r="AN89" i="187" s="1"/>
  <c r="AM87" i="187"/>
  <c r="AM89" i="187" s="1"/>
  <c r="AL87" i="187"/>
  <c r="AL89" i="187" s="1"/>
  <c r="AS84" i="187"/>
  <c r="AR84" i="187"/>
  <c r="AQ84" i="187"/>
  <c r="AS78" i="187"/>
  <c r="AR78" i="187"/>
  <c r="AQ78" i="187"/>
  <c r="AS72" i="187"/>
  <c r="AS70" i="187"/>
  <c r="AR70" i="187"/>
  <c r="AR72" i="187" s="1"/>
  <c r="AQ70" i="187"/>
  <c r="AQ72" i="187" s="1"/>
  <c r="AP70" i="187"/>
  <c r="AP72" i="187" s="1"/>
  <c r="AO70" i="187"/>
  <c r="AO72" i="187" s="1"/>
  <c r="AN70" i="187"/>
  <c r="AN72" i="187" s="1"/>
  <c r="AM70" i="187"/>
  <c r="AM72" i="187" s="1"/>
  <c r="AL70" i="187"/>
  <c r="AL72" i="187" s="1"/>
  <c r="AS67" i="187"/>
  <c r="AR67" i="187"/>
  <c r="AQ67" i="187"/>
  <c r="AS61" i="187"/>
  <c r="AR61" i="187"/>
  <c r="AQ61" i="187"/>
  <c r="AS55" i="187"/>
  <c r="AS53" i="187"/>
  <c r="AR53" i="187"/>
  <c r="AR55" i="187" s="1"/>
  <c r="AQ53" i="187"/>
  <c r="AQ55" i="187" s="1"/>
  <c r="AP53" i="187"/>
  <c r="AP55" i="187" s="1"/>
  <c r="AO53" i="187"/>
  <c r="AO55" i="187" s="1"/>
  <c r="AN53" i="187"/>
  <c r="AN55" i="187" s="1"/>
  <c r="AM53" i="187"/>
  <c r="AM55" i="187" s="1"/>
  <c r="AL53" i="187"/>
  <c r="AL55" i="187" s="1"/>
  <c r="AS50" i="187"/>
  <c r="AR50" i="187"/>
  <c r="AQ50" i="187"/>
  <c r="AS44" i="187"/>
  <c r="AR44" i="187"/>
  <c r="AQ44" i="187"/>
  <c r="AS38" i="187"/>
  <c r="AS36" i="187"/>
  <c r="AR36" i="187"/>
  <c r="AR38" i="187" s="1"/>
  <c r="AQ36" i="187"/>
  <c r="AQ38" i="187" s="1"/>
  <c r="AP36" i="187"/>
  <c r="AP38" i="187" s="1"/>
  <c r="AO36" i="187"/>
  <c r="AO38" i="187" s="1"/>
  <c r="AN36" i="187"/>
  <c r="AN38" i="187" s="1"/>
  <c r="AM36" i="187"/>
  <c r="AM38" i="187" s="1"/>
  <c r="AL36" i="187"/>
  <c r="AL38" i="187" s="1"/>
  <c r="AS33" i="187"/>
  <c r="AR33" i="187"/>
  <c r="AQ33" i="187"/>
  <c r="AS27" i="187"/>
  <c r="AR27" i="187"/>
  <c r="AQ27" i="187"/>
  <c r="AQ21" i="187"/>
  <c r="Y78" i="206"/>
  <c r="AA78" i="206"/>
  <c r="V78" i="206"/>
  <c r="AO119" i="187"/>
  <c r="AQ119" i="187"/>
  <c r="AR135" i="187"/>
  <c r="AN119" i="187"/>
  <c r="G39" i="216"/>
  <c r="T49" i="216" s="1"/>
  <c r="U50" i="216" s="1"/>
  <c r="AH91" i="205"/>
  <c r="AH93" i="205" s="1"/>
  <c r="AG91" i="205"/>
  <c r="AG93" i="205" s="1"/>
  <c r="AF91" i="205"/>
  <c r="AF93" i="205"/>
  <c r="AE91" i="205"/>
  <c r="AE93" i="205" s="1"/>
  <c r="AD91" i="205"/>
  <c r="AD93" i="205" s="1"/>
  <c r="AC91" i="205"/>
  <c r="AC93" i="205" s="1"/>
  <c r="AB91" i="205"/>
  <c r="AB93" i="205" s="1"/>
  <c r="AA91" i="205"/>
  <c r="AA93" i="205" s="1"/>
  <c r="AH85" i="205"/>
  <c r="AH87" i="205" s="1"/>
  <c r="AG85" i="205"/>
  <c r="AG87" i="205" s="1"/>
  <c r="AF85" i="205"/>
  <c r="AF87" i="205" s="1"/>
  <c r="AE85" i="205"/>
  <c r="AE87" i="205" s="1"/>
  <c r="AD85" i="205"/>
  <c r="AD87" i="205" s="1"/>
  <c r="AC85" i="205"/>
  <c r="AC87" i="205" s="1"/>
  <c r="AB85" i="205"/>
  <c r="AB87" i="205" s="1"/>
  <c r="AA85" i="205"/>
  <c r="AA87" i="205" s="1"/>
  <c r="AH79" i="205"/>
  <c r="AH81" i="205" s="1"/>
  <c r="AG79" i="205"/>
  <c r="AG81" i="205" s="1"/>
  <c r="AF79" i="205"/>
  <c r="AF81" i="205" s="1"/>
  <c r="AE79" i="205"/>
  <c r="AE81" i="205" s="1"/>
  <c r="AD79" i="205"/>
  <c r="AD81" i="205" s="1"/>
  <c r="AC79" i="205"/>
  <c r="AC81" i="205" s="1"/>
  <c r="AB79" i="205"/>
  <c r="AB81" i="205" s="1"/>
  <c r="AA79" i="205"/>
  <c r="AA81" i="205" s="1"/>
  <c r="AH73" i="205"/>
  <c r="AG73" i="205"/>
  <c r="AG75" i="205" s="1"/>
  <c r="AF73" i="205"/>
  <c r="AE73" i="205"/>
  <c r="AD73" i="205"/>
  <c r="AC73" i="205"/>
  <c r="AC75" i="205" s="1"/>
  <c r="AB73" i="205"/>
  <c r="AB75" i="205" s="1"/>
  <c r="AA73" i="205"/>
  <c r="AF69" i="205"/>
  <c r="AH61" i="205"/>
  <c r="AG61" i="205"/>
  <c r="AF61" i="205"/>
  <c r="AE61" i="205"/>
  <c r="AD61" i="205"/>
  <c r="AC61" i="205"/>
  <c r="AB61" i="205"/>
  <c r="AA61" i="205"/>
  <c r="AH59" i="205"/>
  <c r="AG59" i="205"/>
  <c r="AF59" i="205"/>
  <c r="AE59" i="205"/>
  <c r="AD59" i="205"/>
  <c r="AC59" i="205"/>
  <c r="AB59" i="205"/>
  <c r="AA59" i="205"/>
  <c r="AH58" i="205"/>
  <c r="AG58" i="205"/>
  <c r="AF58" i="205"/>
  <c r="AE58" i="205"/>
  <c r="AD58" i="205"/>
  <c r="AC58" i="205"/>
  <c r="AB58" i="205"/>
  <c r="AA58" i="205"/>
  <c r="AH53" i="205"/>
  <c r="AH55" i="205" s="1"/>
  <c r="AG53" i="205"/>
  <c r="AG55" i="205" s="1"/>
  <c r="AF53" i="205"/>
  <c r="AF55" i="205" s="1"/>
  <c r="AE53" i="205"/>
  <c r="AE55" i="205" s="1"/>
  <c r="AD53" i="205"/>
  <c r="AD55" i="205" s="1"/>
  <c r="AC53" i="205"/>
  <c r="AC55" i="205" s="1"/>
  <c r="AB53" i="205"/>
  <c r="AB55" i="205" s="1"/>
  <c r="AA53" i="205"/>
  <c r="AA55" i="205" s="1"/>
  <c r="AH44" i="205"/>
  <c r="AH46" i="205" s="1"/>
  <c r="AG44" i="205"/>
  <c r="AG46" i="205" s="1"/>
  <c r="AF44" i="205"/>
  <c r="AF46" i="205" s="1"/>
  <c r="AE44" i="205"/>
  <c r="AE46" i="205" s="1"/>
  <c r="AD44" i="205"/>
  <c r="AD46" i="205" s="1"/>
  <c r="AC44" i="205"/>
  <c r="AC46" i="205" s="1"/>
  <c r="AB44" i="205"/>
  <c r="AB46" i="205" s="1"/>
  <c r="AA44" i="205"/>
  <c r="AA46" i="205" s="1"/>
  <c r="AH35" i="205"/>
  <c r="AH37" i="205" s="1"/>
  <c r="AG35" i="205"/>
  <c r="AF35" i="205"/>
  <c r="AF37" i="205" s="1"/>
  <c r="AE35" i="205"/>
  <c r="AD35" i="205"/>
  <c r="AD37" i="205" s="1"/>
  <c r="AC35" i="205"/>
  <c r="AB35" i="205"/>
  <c r="AB37" i="205" s="1"/>
  <c r="AA35" i="205"/>
  <c r="AH26" i="205"/>
  <c r="AG26" i="205"/>
  <c r="AG28" i="205" s="1"/>
  <c r="AF26" i="205"/>
  <c r="AE26" i="205"/>
  <c r="AE28" i="205" s="1"/>
  <c r="AD26" i="205"/>
  <c r="AC26" i="205"/>
  <c r="AC28" i="205" s="1"/>
  <c r="AB26" i="205"/>
  <c r="AA26" i="205"/>
  <c r="AF19" i="205"/>
  <c r="AD75" i="205"/>
  <c r="AH75" i="205"/>
  <c r="AA28" i="205"/>
  <c r="AF75" i="205"/>
  <c r="AD28" i="205"/>
  <c r="AO263" i="242"/>
  <c r="AN263" i="242"/>
  <c r="AM263" i="242"/>
  <c r="AL263" i="242"/>
  <c r="AK263" i="242"/>
  <c r="AJ263" i="242"/>
  <c r="AI263" i="242"/>
  <c r="AH263" i="242"/>
  <c r="AO262" i="242"/>
  <c r="AN262" i="242"/>
  <c r="AM262" i="242"/>
  <c r="AL262" i="242"/>
  <c r="AK262" i="242"/>
  <c r="AJ262" i="242"/>
  <c r="AI262" i="242"/>
  <c r="AH262" i="242"/>
  <c r="AO261" i="242"/>
  <c r="AN261" i="242"/>
  <c r="AM261" i="242"/>
  <c r="AL261" i="242"/>
  <c r="AK261" i="242"/>
  <c r="AJ261" i="242"/>
  <c r="AI261" i="242"/>
  <c r="AH261" i="242"/>
  <c r="AO260" i="242"/>
  <c r="AN260" i="242"/>
  <c r="AM260" i="242"/>
  <c r="AL260" i="242"/>
  <c r="AK260" i="242"/>
  <c r="AJ260" i="242"/>
  <c r="AI260" i="242"/>
  <c r="AH260" i="242"/>
  <c r="AO259" i="242"/>
  <c r="AN259" i="242"/>
  <c r="AM259" i="242"/>
  <c r="AL259" i="242"/>
  <c r="AK259" i="242"/>
  <c r="AJ259" i="242"/>
  <c r="AI259" i="242"/>
  <c r="AH259" i="242"/>
  <c r="AO251" i="242"/>
  <c r="AN251" i="242"/>
  <c r="AM251" i="242"/>
  <c r="AL251" i="242"/>
  <c r="AK251" i="242"/>
  <c r="AJ251" i="242"/>
  <c r="AI251" i="242"/>
  <c r="AH251" i="242"/>
  <c r="AO250" i="242"/>
  <c r="AN250" i="242"/>
  <c r="AM250" i="242"/>
  <c r="AL250" i="242"/>
  <c r="AK250" i="242"/>
  <c r="AJ250" i="242"/>
  <c r="AI250" i="242"/>
  <c r="AH250" i="242"/>
  <c r="AO249" i="242"/>
  <c r="AN249" i="242"/>
  <c r="AM249" i="242"/>
  <c r="AL249" i="242"/>
  <c r="AK249" i="242"/>
  <c r="AJ249" i="242"/>
  <c r="AI249" i="242"/>
  <c r="AH249" i="242"/>
  <c r="AO248" i="242"/>
  <c r="AN248" i="242"/>
  <c r="AM248" i="242"/>
  <c r="AL248" i="242"/>
  <c r="AK248" i="242"/>
  <c r="AJ248" i="242"/>
  <c r="AI248" i="242"/>
  <c r="AH248" i="242"/>
  <c r="AO247" i="242"/>
  <c r="AN247" i="242"/>
  <c r="AM247" i="242"/>
  <c r="AL247" i="242"/>
  <c r="AK247" i="242"/>
  <c r="AJ247" i="242"/>
  <c r="AI247" i="242"/>
  <c r="AH247" i="242"/>
  <c r="AM239" i="242"/>
  <c r="AO232" i="242"/>
  <c r="AN232" i="242"/>
  <c r="AM232" i="242"/>
  <c r="AL232" i="242"/>
  <c r="AK232" i="242"/>
  <c r="AJ232" i="242"/>
  <c r="AI232" i="242"/>
  <c r="AH232" i="242"/>
  <c r="AO230" i="242"/>
  <c r="AN230" i="242"/>
  <c r="AM230" i="242"/>
  <c r="AL230" i="242"/>
  <c r="AK230" i="242"/>
  <c r="AJ230" i="242"/>
  <c r="AI230" i="242"/>
  <c r="AH230" i="242"/>
  <c r="AO229" i="242"/>
  <c r="AN229" i="242"/>
  <c r="AM229" i="242"/>
  <c r="AL229" i="242"/>
  <c r="AK229" i="242"/>
  <c r="AJ229" i="242"/>
  <c r="AI229" i="242"/>
  <c r="AH229" i="242"/>
  <c r="AO218" i="242"/>
  <c r="AN218" i="242"/>
  <c r="AM218" i="242"/>
  <c r="AL218" i="242"/>
  <c r="AK218" i="242"/>
  <c r="AJ218" i="242"/>
  <c r="AI218" i="242"/>
  <c r="AH218" i="242"/>
  <c r="AO217" i="242"/>
  <c r="AN217" i="242"/>
  <c r="AM217" i="242"/>
  <c r="AL217" i="242"/>
  <c r="AK217" i="242"/>
  <c r="AJ217" i="242"/>
  <c r="AI217" i="242"/>
  <c r="AH217" i="242"/>
  <c r="AO216" i="242"/>
  <c r="AO219" i="242" s="1"/>
  <c r="AO222" i="242" s="1"/>
  <c r="AO224" i="242" s="1"/>
  <c r="AN216" i="242"/>
  <c r="AN219" i="242" s="1"/>
  <c r="AN222" i="242" s="1"/>
  <c r="AN224" i="242" s="1"/>
  <c r="AM216" i="242"/>
  <c r="AM219" i="242" s="1"/>
  <c r="AM222" i="242" s="1"/>
  <c r="AM224" i="242" s="1"/>
  <c r="AL216" i="242"/>
  <c r="AL219" i="242" s="1"/>
  <c r="AL222" i="242" s="1"/>
  <c r="AL224" i="242" s="1"/>
  <c r="AK216" i="242"/>
  <c r="AK219" i="242" s="1"/>
  <c r="AK222" i="242" s="1"/>
  <c r="AK224" i="242" s="1"/>
  <c r="AJ216" i="242"/>
  <c r="AI216" i="242"/>
  <c r="AI219" i="242" s="1"/>
  <c r="AI222" i="242" s="1"/>
  <c r="AI224" i="242" s="1"/>
  <c r="AH216" i="242"/>
  <c r="AH219" i="242" s="1"/>
  <c r="AH222" i="242" s="1"/>
  <c r="AH224" i="242" s="1"/>
  <c r="AO214" i="242"/>
  <c r="AN214" i="242"/>
  <c r="AM214" i="242"/>
  <c r="AL214" i="242"/>
  <c r="AK214" i="242"/>
  <c r="AJ214" i="242"/>
  <c r="AI214" i="242"/>
  <c r="AH214" i="242"/>
  <c r="AO209" i="242"/>
  <c r="AN209" i="242"/>
  <c r="AM209" i="242"/>
  <c r="AL209" i="242"/>
  <c r="AK209" i="242"/>
  <c r="AJ209" i="242"/>
  <c r="AI209" i="242"/>
  <c r="AH209" i="242"/>
  <c r="AO204" i="242"/>
  <c r="AN204" i="242"/>
  <c r="AM204" i="242"/>
  <c r="AL204" i="242"/>
  <c r="AK204" i="242"/>
  <c r="AJ204" i="242"/>
  <c r="AI204" i="242"/>
  <c r="AH204" i="242"/>
  <c r="AO199" i="242"/>
  <c r="AN199" i="242"/>
  <c r="AM199" i="242"/>
  <c r="AL199" i="242"/>
  <c r="AK199" i="242"/>
  <c r="AJ199" i="242"/>
  <c r="AI199" i="242"/>
  <c r="AH199" i="242"/>
  <c r="AO189" i="242"/>
  <c r="AN189" i="242"/>
  <c r="AM189" i="242"/>
  <c r="AL189" i="242"/>
  <c r="AK189" i="242"/>
  <c r="AJ189" i="242"/>
  <c r="AI189" i="242"/>
  <c r="AH189" i="242"/>
  <c r="AO188" i="242"/>
  <c r="AN188" i="242"/>
  <c r="AM188" i="242"/>
  <c r="AL188" i="242"/>
  <c r="AK188" i="242"/>
  <c r="AJ188" i="242"/>
  <c r="AI188" i="242"/>
  <c r="AH188" i="242"/>
  <c r="AO187" i="242"/>
  <c r="AO190" i="242" s="1"/>
  <c r="AO193" i="242" s="1"/>
  <c r="AO195" i="242" s="1"/>
  <c r="AN187" i="242"/>
  <c r="AN190" i="242" s="1"/>
  <c r="AN193" i="242" s="1"/>
  <c r="AN195" i="242" s="1"/>
  <c r="AM187" i="242"/>
  <c r="AM190" i="242" s="1"/>
  <c r="AM193" i="242" s="1"/>
  <c r="AM195" i="242" s="1"/>
  <c r="AL187" i="242"/>
  <c r="AL190" i="242" s="1"/>
  <c r="AL193" i="242" s="1"/>
  <c r="AL195" i="242" s="1"/>
  <c r="AK187" i="242"/>
  <c r="AK190" i="242" s="1"/>
  <c r="AK193" i="242" s="1"/>
  <c r="AK195" i="242" s="1"/>
  <c r="AJ187" i="242"/>
  <c r="AJ190" i="242" s="1"/>
  <c r="AJ193" i="242" s="1"/>
  <c r="AJ195" i="242" s="1"/>
  <c r="AI187" i="242"/>
  <c r="AI190" i="242" s="1"/>
  <c r="AI193" i="242" s="1"/>
  <c r="AI195" i="242" s="1"/>
  <c r="AH187" i="242"/>
  <c r="AH190" i="242" s="1"/>
  <c r="AH193" i="242" s="1"/>
  <c r="AH195" i="242" s="1"/>
  <c r="AO185" i="242"/>
  <c r="AN185" i="242"/>
  <c r="AM185" i="242"/>
  <c r="AL185" i="242"/>
  <c r="AK185" i="242"/>
  <c r="AJ185" i="242"/>
  <c r="AI185" i="242"/>
  <c r="AH185" i="242"/>
  <c r="AO180" i="242"/>
  <c r="AN180" i="242"/>
  <c r="AM180" i="242"/>
  <c r="AL180" i="242"/>
  <c r="AK180" i="242"/>
  <c r="AJ180" i="242"/>
  <c r="AI180" i="242"/>
  <c r="AH180" i="242"/>
  <c r="AO175" i="242"/>
  <c r="AN175" i="242"/>
  <c r="AM175" i="242"/>
  <c r="AL175" i="242"/>
  <c r="AK175" i="242"/>
  <c r="AJ175" i="242"/>
  <c r="AI175" i="242"/>
  <c r="AH175" i="242"/>
  <c r="AO170" i="242"/>
  <c r="AN170" i="242"/>
  <c r="AM170" i="242"/>
  <c r="AL170" i="242"/>
  <c r="AK170" i="242"/>
  <c r="AJ170" i="242"/>
  <c r="AI170" i="242"/>
  <c r="AH170" i="242"/>
  <c r="AO160" i="242"/>
  <c r="AN160" i="242"/>
  <c r="AM160" i="242"/>
  <c r="AL160" i="242"/>
  <c r="AK160" i="242"/>
  <c r="AJ160" i="242"/>
  <c r="AI160" i="242"/>
  <c r="AH160" i="242"/>
  <c r="AO159" i="242"/>
  <c r="AN159" i="242"/>
  <c r="AM159" i="242"/>
  <c r="AL159" i="242"/>
  <c r="AK159" i="242"/>
  <c r="AJ159" i="242"/>
  <c r="AI159" i="242"/>
  <c r="AH159" i="242"/>
  <c r="AO158" i="242"/>
  <c r="AO161" i="242" s="1"/>
  <c r="AO164" i="242" s="1"/>
  <c r="AO166" i="242" s="1"/>
  <c r="AN158" i="242"/>
  <c r="AN161" i="242" s="1"/>
  <c r="AN164" i="242" s="1"/>
  <c r="AN166" i="242" s="1"/>
  <c r="AM158" i="242"/>
  <c r="AM161" i="242" s="1"/>
  <c r="AM164" i="242" s="1"/>
  <c r="AM166" i="242" s="1"/>
  <c r="AL158" i="242"/>
  <c r="AL161" i="242" s="1"/>
  <c r="AL164" i="242" s="1"/>
  <c r="AL166" i="242" s="1"/>
  <c r="AK158" i="242"/>
  <c r="AK161" i="242" s="1"/>
  <c r="AK164" i="242" s="1"/>
  <c r="AK166" i="242" s="1"/>
  <c r="AJ158" i="242"/>
  <c r="AJ161" i="242" s="1"/>
  <c r="AJ164" i="242" s="1"/>
  <c r="AJ166" i="242" s="1"/>
  <c r="AI158" i="242"/>
  <c r="AI161" i="242" s="1"/>
  <c r="AI164" i="242" s="1"/>
  <c r="AI166" i="242" s="1"/>
  <c r="AH158" i="242"/>
  <c r="AH161" i="242" s="1"/>
  <c r="AH164" i="242" s="1"/>
  <c r="AH166" i="242" s="1"/>
  <c r="AO156" i="242"/>
  <c r="AN156" i="242"/>
  <c r="AM156" i="242"/>
  <c r="AL156" i="242"/>
  <c r="AK156" i="242"/>
  <c r="AJ156" i="242"/>
  <c r="AI156" i="242"/>
  <c r="AH156" i="242"/>
  <c r="AO151" i="242"/>
  <c r="AN151" i="242"/>
  <c r="AM151" i="242"/>
  <c r="AL151" i="242"/>
  <c r="AK151" i="242"/>
  <c r="AJ151" i="242"/>
  <c r="AI151" i="242"/>
  <c r="AH151" i="242"/>
  <c r="AO146" i="242"/>
  <c r="AN146" i="242"/>
  <c r="AM146" i="242"/>
  <c r="AL146" i="242"/>
  <c r="AK146" i="242"/>
  <c r="AJ146" i="242"/>
  <c r="AI146" i="242"/>
  <c r="AH146" i="242"/>
  <c r="AO141" i="242"/>
  <c r="AN141" i="242"/>
  <c r="AM141" i="242"/>
  <c r="AL141" i="242"/>
  <c r="AK141" i="242"/>
  <c r="AJ141" i="242"/>
  <c r="AI141" i="242"/>
  <c r="AH141" i="242"/>
  <c r="AO131" i="242"/>
  <c r="AN131" i="242"/>
  <c r="AM131" i="242"/>
  <c r="AL131" i="242"/>
  <c r="AK131" i="242"/>
  <c r="AJ131" i="242"/>
  <c r="AI131" i="242"/>
  <c r="AH131" i="242"/>
  <c r="AO130" i="242"/>
  <c r="AN130" i="242"/>
  <c r="AM130" i="242"/>
  <c r="AL130" i="242"/>
  <c r="AK130" i="242"/>
  <c r="AJ130" i="242"/>
  <c r="AI130" i="242"/>
  <c r="AH130" i="242"/>
  <c r="AO129" i="242"/>
  <c r="AO132" i="242" s="1"/>
  <c r="AO135" i="242" s="1"/>
  <c r="AO137" i="242" s="1"/>
  <c r="AN129" i="242"/>
  <c r="AN132" i="242" s="1"/>
  <c r="AN135" i="242" s="1"/>
  <c r="AN137" i="242" s="1"/>
  <c r="AM129" i="242"/>
  <c r="AM132" i="242" s="1"/>
  <c r="AM135" i="242" s="1"/>
  <c r="AM137" i="242" s="1"/>
  <c r="AL129" i="242"/>
  <c r="AL132" i="242" s="1"/>
  <c r="AL135" i="242" s="1"/>
  <c r="AL137" i="242" s="1"/>
  <c r="AK129" i="242"/>
  <c r="AK132" i="242" s="1"/>
  <c r="AK135" i="242" s="1"/>
  <c r="AK137" i="242" s="1"/>
  <c r="AJ129" i="242"/>
  <c r="AJ132" i="242" s="1"/>
  <c r="AJ135" i="242" s="1"/>
  <c r="AJ137" i="242" s="1"/>
  <c r="AI129" i="242"/>
  <c r="AI132" i="242" s="1"/>
  <c r="AI135" i="242" s="1"/>
  <c r="AI137" i="242" s="1"/>
  <c r="AH129" i="242"/>
  <c r="AH132" i="242" s="1"/>
  <c r="AH135" i="242" s="1"/>
  <c r="AH137" i="242" s="1"/>
  <c r="AO127" i="242"/>
  <c r="AN127" i="242"/>
  <c r="AM127" i="242"/>
  <c r="AL127" i="242"/>
  <c r="AK127" i="242"/>
  <c r="AJ127" i="242"/>
  <c r="AI127" i="242"/>
  <c r="AH127" i="242"/>
  <c r="AO122" i="242"/>
  <c r="AN122" i="242"/>
  <c r="AM122" i="242"/>
  <c r="AL122" i="242"/>
  <c r="AK122" i="242"/>
  <c r="AJ122" i="242"/>
  <c r="AI122" i="242"/>
  <c r="AH122" i="242"/>
  <c r="AO117" i="242"/>
  <c r="AN117" i="242"/>
  <c r="AM117" i="242"/>
  <c r="AL117" i="242"/>
  <c r="AK117" i="242"/>
  <c r="AJ117" i="242"/>
  <c r="AI117" i="242"/>
  <c r="AH117" i="242"/>
  <c r="AO112" i="242"/>
  <c r="AN112" i="242"/>
  <c r="AM112" i="242"/>
  <c r="AL112" i="242"/>
  <c r="AK112" i="242"/>
  <c r="AJ112" i="242"/>
  <c r="AI112" i="242"/>
  <c r="AH112" i="242"/>
  <c r="AO102" i="242"/>
  <c r="AN102" i="242"/>
  <c r="AM102" i="242"/>
  <c r="AL102" i="242"/>
  <c r="AK102" i="242"/>
  <c r="AJ102" i="242"/>
  <c r="AI102" i="242"/>
  <c r="AH102" i="242"/>
  <c r="AO101" i="242"/>
  <c r="AN101" i="242"/>
  <c r="AM101" i="242"/>
  <c r="AL101" i="242"/>
  <c r="AK101" i="242"/>
  <c r="AJ101" i="242"/>
  <c r="AI101" i="242"/>
  <c r="AH101" i="242"/>
  <c r="AO100" i="242"/>
  <c r="AO103" i="242" s="1"/>
  <c r="AO106" i="242" s="1"/>
  <c r="AO108" i="242" s="1"/>
  <c r="AN100" i="242"/>
  <c r="AN103" i="242" s="1"/>
  <c r="AN106" i="242" s="1"/>
  <c r="AM100" i="242"/>
  <c r="AM103" i="242" s="1"/>
  <c r="AL100" i="242"/>
  <c r="AL103" i="242" s="1"/>
  <c r="AK100" i="242"/>
  <c r="AK103" i="242" s="1"/>
  <c r="AJ100" i="242"/>
  <c r="AJ103" i="242" s="1"/>
  <c r="AI100" i="242"/>
  <c r="AI103" i="242" s="1"/>
  <c r="AI228" i="242" s="1"/>
  <c r="AI231" i="242" s="1"/>
  <c r="AI233" i="242" s="1"/>
  <c r="AH100" i="242"/>
  <c r="AH103" i="242" s="1"/>
  <c r="AO98" i="242"/>
  <c r="AN98" i="242"/>
  <c r="AM98" i="242"/>
  <c r="AL98" i="242"/>
  <c r="AK98" i="242"/>
  <c r="AJ98" i="242"/>
  <c r="AI98" i="242"/>
  <c r="AH98" i="242"/>
  <c r="AO93" i="242"/>
  <c r="AN93" i="242"/>
  <c r="AM93" i="242"/>
  <c r="AL93" i="242"/>
  <c r="AK93" i="242"/>
  <c r="AJ93" i="242"/>
  <c r="AI93" i="242"/>
  <c r="AH93" i="242"/>
  <c r="AO88" i="242"/>
  <c r="AN88" i="242"/>
  <c r="AM88" i="242"/>
  <c r="AL88" i="242"/>
  <c r="AK88" i="242"/>
  <c r="AJ88" i="242"/>
  <c r="AI88" i="242"/>
  <c r="AH88" i="242"/>
  <c r="AO83" i="242"/>
  <c r="AN83" i="242"/>
  <c r="AM83" i="242"/>
  <c r="AL83" i="242"/>
  <c r="AK83" i="242"/>
  <c r="AJ83" i="242"/>
  <c r="AI83" i="242"/>
  <c r="AH83" i="242"/>
  <c r="AM59" i="242"/>
  <c r="AN108" i="242"/>
  <c r="AI106" i="242"/>
  <c r="AI108" i="242" s="1"/>
  <c r="AO228" i="242"/>
  <c r="AO231" i="242" s="1"/>
  <c r="AO233" i="242" s="1"/>
  <c r="D32" i="206"/>
  <c r="K135" i="238"/>
  <c r="J135" i="238"/>
  <c r="I135" i="238"/>
  <c r="H135" i="238"/>
  <c r="G135" i="238"/>
  <c r="K125" i="238"/>
  <c r="J125" i="238"/>
  <c r="I125" i="238"/>
  <c r="H125" i="238"/>
  <c r="G125" i="238"/>
  <c r="K108" i="238"/>
  <c r="K110" i="238" s="1"/>
  <c r="J108" i="238"/>
  <c r="I108" i="238"/>
  <c r="I110" i="238" s="1"/>
  <c r="H108" i="238"/>
  <c r="G108" i="238"/>
  <c r="G110" i="238" s="1"/>
  <c r="K98" i="238"/>
  <c r="J98" i="238"/>
  <c r="J100" i="238" s="1"/>
  <c r="I98" i="238"/>
  <c r="H98" i="238"/>
  <c r="G98" i="238"/>
  <c r="P79" i="205"/>
  <c r="P81" i="205" s="1"/>
  <c r="O79" i="205"/>
  <c r="O81" i="205" s="1"/>
  <c r="N79" i="205"/>
  <c r="N81" i="205" s="1"/>
  <c r="M79" i="205"/>
  <c r="M81" i="205" s="1"/>
  <c r="L79" i="205"/>
  <c r="L81" i="205" s="1"/>
  <c r="K79" i="205"/>
  <c r="K81" i="205" s="1"/>
  <c r="J79" i="205"/>
  <c r="J81" i="205" s="1"/>
  <c r="I79" i="205"/>
  <c r="I81" i="205" s="1"/>
  <c r="H79" i="205"/>
  <c r="H81" i="205" s="1"/>
  <c r="G79" i="205"/>
  <c r="G81" i="205" s="1"/>
  <c r="V61" i="205"/>
  <c r="U61" i="205"/>
  <c r="T61" i="205"/>
  <c r="S61" i="205"/>
  <c r="R61" i="205"/>
  <c r="Q61" i="205"/>
  <c r="P61" i="205"/>
  <c r="O61" i="205"/>
  <c r="N61" i="205"/>
  <c r="M61" i="205"/>
  <c r="L61" i="205"/>
  <c r="K61" i="205"/>
  <c r="J61" i="205"/>
  <c r="I61" i="205"/>
  <c r="H61" i="205"/>
  <c r="V59" i="205"/>
  <c r="U59" i="205"/>
  <c r="T59" i="205"/>
  <c r="S59" i="205"/>
  <c r="R59" i="205"/>
  <c r="Q59" i="205"/>
  <c r="P59" i="205"/>
  <c r="O59" i="205"/>
  <c r="N59" i="205"/>
  <c r="M59" i="205"/>
  <c r="L59" i="205"/>
  <c r="K59" i="205"/>
  <c r="J59" i="205"/>
  <c r="I59" i="205"/>
  <c r="H59" i="205"/>
  <c r="V58" i="205"/>
  <c r="U58" i="205"/>
  <c r="T58" i="205"/>
  <c r="S58" i="205"/>
  <c r="R58" i="205"/>
  <c r="Q58" i="205"/>
  <c r="P58" i="205"/>
  <c r="O58" i="205"/>
  <c r="N58" i="205"/>
  <c r="M58" i="205"/>
  <c r="L58" i="205"/>
  <c r="K58" i="205"/>
  <c r="J58" i="205"/>
  <c r="I58" i="205"/>
  <c r="H58" i="205"/>
  <c r="G61" i="205"/>
  <c r="G59" i="205"/>
  <c r="G58" i="205"/>
  <c r="Q53" i="205"/>
  <c r="P53" i="205"/>
  <c r="O53" i="205"/>
  <c r="N53" i="205"/>
  <c r="M53" i="205"/>
  <c r="L53" i="205"/>
  <c r="L55" i="205" s="1"/>
  <c r="K53" i="205"/>
  <c r="K55" i="205" s="1"/>
  <c r="J53" i="205"/>
  <c r="I53" i="205"/>
  <c r="H53" i="205"/>
  <c r="G53" i="205"/>
  <c r="Q44" i="205"/>
  <c r="P44" i="205"/>
  <c r="O44" i="205"/>
  <c r="N44" i="205"/>
  <c r="M44" i="205"/>
  <c r="L44" i="205"/>
  <c r="K44" i="205"/>
  <c r="K46" i="205" s="1"/>
  <c r="J44" i="205"/>
  <c r="I44" i="205"/>
  <c r="H44" i="205"/>
  <c r="G44" i="205"/>
  <c r="G46" i="205" s="1"/>
  <c r="Q35" i="205"/>
  <c r="Q37" i="205" s="1"/>
  <c r="P35" i="205"/>
  <c r="O35" i="205"/>
  <c r="N35" i="205"/>
  <c r="M35" i="205"/>
  <c r="L35" i="205"/>
  <c r="K35" i="205"/>
  <c r="J35" i="205"/>
  <c r="I35" i="205"/>
  <c r="I37" i="205" s="1"/>
  <c r="H35" i="205"/>
  <c r="G35" i="205"/>
  <c r="Q26" i="205"/>
  <c r="Q60" i="205" s="1"/>
  <c r="P26" i="205"/>
  <c r="O26" i="205"/>
  <c r="N26" i="205"/>
  <c r="M26" i="205"/>
  <c r="L26" i="205"/>
  <c r="K26" i="205"/>
  <c r="J26" i="205"/>
  <c r="J28" i="205" s="1"/>
  <c r="I26" i="205"/>
  <c r="H26" i="205"/>
  <c r="G26" i="205"/>
  <c r="L60" i="205"/>
  <c r="B12" i="206"/>
  <c r="B9" i="224"/>
  <c r="B77" i="232"/>
  <c r="B70" i="232"/>
  <c r="B63" i="232"/>
  <c r="B56" i="232"/>
  <c r="B47" i="232"/>
  <c r="B40" i="232"/>
  <c r="B33" i="232"/>
  <c r="B26" i="232"/>
  <c r="H31" i="231"/>
  <c r="H32" i="231" s="1"/>
  <c r="G31" i="231"/>
  <c r="G32" i="231" s="1"/>
  <c r="F31" i="231"/>
  <c r="F32" i="231" s="1"/>
  <c r="E31" i="231"/>
  <c r="E32" i="231" s="1"/>
  <c r="D36" i="230"/>
  <c r="N34" i="230"/>
  <c r="M34" i="230"/>
  <c r="M39" i="230" s="1"/>
  <c r="L34" i="230"/>
  <c r="L39" i="230" s="1"/>
  <c r="K34" i="230"/>
  <c r="K39" i="230" s="1"/>
  <c r="J34" i="230"/>
  <c r="J39" i="230" s="1"/>
  <c r="I34" i="230"/>
  <c r="I39" i="230" s="1"/>
  <c r="H34" i="230"/>
  <c r="G34" i="230"/>
  <c r="F34" i="230"/>
  <c r="E34" i="230"/>
  <c r="B32" i="234"/>
  <c r="B31" i="234"/>
  <c r="B30" i="234"/>
  <c r="B29" i="234"/>
  <c r="B28" i="234"/>
  <c r="B27" i="234"/>
  <c r="B26" i="234"/>
  <c r="B25" i="234"/>
  <c r="L83" i="210"/>
  <c r="K83" i="210"/>
  <c r="J96" i="203" s="1"/>
  <c r="J83" i="210"/>
  <c r="I96" i="203" s="1"/>
  <c r="I83" i="210"/>
  <c r="H83" i="210"/>
  <c r="G83" i="210"/>
  <c r="G96" i="203" s="1"/>
  <c r="F83" i="210"/>
  <c r="F96" i="203" s="1"/>
  <c r="E83" i="210"/>
  <c r="D83" i="210"/>
  <c r="C83" i="210"/>
  <c r="C96" i="203" s="1"/>
  <c r="P119" i="239"/>
  <c r="O119" i="239"/>
  <c r="N119" i="239"/>
  <c r="M119" i="239"/>
  <c r="L119" i="239"/>
  <c r="K119" i="239"/>
  <c r="J119" i="239"/>
  <c r="I119" i="239"/>
  <c r="H119" i="239"/>
  <c r="P117" i="239"/>
  <c r="O117" i="239"/>
  <c r="N117" i="239"/>
  <c r="M117" i="239"/>
  <c r="L117" i="239"/>
  <c r="K117" i="239"/>
  <c r="J117" i="239"/>
  <c r="I117" i="239"/>
  <c r="H117" i="239"/>
  <c r="P116" i="239"/>
  <c r="O116" i="239"/>
  <c r="N116" i="239"/>
  <c r="M116" i="239"/>
  <c r="L116" i="239"/>
  <c r="K116" i="239"/>
  <c r="J116" i="239"/>
  <c r="I116" i="239"/>
  <c r="H116" i="239"/>
  <c r="K115" i="239"/>
  <c r="J115" i="239"/>
  <c r="I115" i="239"/>
  <c r="H115" i="239"/>
  <c r="G119" i="239"/>
  <c r="G117" i="239"/>
  <c r="G116" i="239"/>
  <c r="G115" i="239"/>
  <c r="K112" i="239"/>
  <c r="K114" i="239" s="1"/>
  <c r="J112" i="239"/>
  <c r="J114" i="239" s="1"/>
  <c r="I112" i="239"/>
  <c r="H112" i="239"/>
  <c r="G112" i="239"/>
  <c r="G114" i="239" s="1"/>
  <c r="K102" i="239"/>
  <c r="J102" i="239"/>
  <c r="J118" i="239" s="1"/>
  <c r="I102" i="239"/>
  <c r="H102" i="239"/>
  <c r="G102" i="239"/>
  <c r="E10" i="239"/>
  <c r="U87" i="239"/>
  <c r="U86" i="239"/>
  <c r="T86" i="239"/>
  <c r="S86" i="239"/>
  <c r="R86" i="239"/>
  <c r="Q86" i="239"/>
  <c r="P86" i="239"/>
  <c r="O86" i="239"/>
  <c r="N86" i="239"/>
  <c r="M86" i="239"/>
  <c r="L86" i="239"/>
  <c r="K86" i="239"/>
  <c r="J86" i="239"/>
  <c r="I86" i="239"/>
  <c r="H86" i="239"/>
  <c r="U85" i="239"/>
  <c r="U84" i="239"/>
  <c r="T84" i="239"/>
  <c r="S84" i="239"/>
  <c r="R84" i="239"/>
  <c r="Q84" i="239"/>
  <c r="P84" i="239"/>
  <c r="O84" i="239"/>
  <c r="N84" i="239"/>
  <c r="M84" i="239"/>
  <c r="L84" i="239"/>
  <c r="K84" i="239"/>
  <c r="J84" i="239"/>
  <c r="I84" i="239"/>
  <c r="H84" i="239"/>
  <c r="U83" i="239"/>
  <c r="T83" i="239"/>
  <c r="S83" i="239"/>
  <c r="R83" i="239"/>
  <c r="Q83" i="239"/>
  <c r="P83" i="239"/>
  <c r="O83" i="239"/>
  <c r="N83" i="239"/>
  <c r="M83" i="239"/>
  <c r="L83" i="239"/>
  <c r="K83" i="239"/>
  <c r="J83" i="239"/>
  <c r="I83" i="239"/>
  <c r="H83" i="239"/>
  <c r="U82" i="239"/>
  <c r="L82" i="239"/>
  <c r="K82" i="239"/>
  <c r="J82" i="239"/>
  <c r="I82" i="239"/>
  <c r="H82" i="239"/>
  <c r="G86" i="239"/>
  <c r="G84" i="239"/>
  <c r="G83" i="239"/>
  <c r="G82" i="239"/>
  <c r="P98" i="235"/>
  <c r="O98" i="235"/>
  <c r="N98" i="235"/>
  <c r="M98" i="235"/>
  <c r="L98" i="235"/>
  <c r="K98" i="235"/>
  <c r="J98" i="235"/>
  <c r="I98" i="235"/>
  <c r="H98" i="235"/>
  <c r="P96" i="235"/>
  <c r="O96" i="235"/>
  <c r="N96" i="235"/>
  <c r="M96" i="235"/>
  <c r="L96" i="235"/>
  <c r="K96" i="235"/>
  <c r="J96" i="235"/>
  <c r="I96" i="235"/>
  <c r="H96" i="235"/>
  <c r="P95" i="235"/>
  <c r="O95" i="235"/>
  <c r="N95" i="235"/>
  <c r="M95" i="235"/>
  <c r="L95" i="235"/>
  <c r="K95" i="235"/>
  <c r="J95" i="235"/>
  <c r="I95" i="235"/>
  <c r="H95" i="235"/>
  <c r="K94" i="235"/>
  <c r="G88" i="203" s="1"/>
  <c r="J94" i="235"/>
  <c r="I94" i="235"/>
  <c r="H94" i="235"/>
  <c r="G98" i="235"/>
  <c r="G96" i="235"/>
  <c r="G95" i="235"/>
  <c r="G94" i="235"/>
  <c r="U55" i="235"/>
  <c r="T55" i="235"/>
  <c r="S55" i="235"/>
  <c r="R55" i="235"/>
  <c r="Q55" i="235"/>
  <c r="P55" i="235"/>
  <c r="O55" i="235"/>
  <c r="N55" i="235"/>
  <c r="M55" i="235"/>
  <c r="L55" i="235"/>
  <c r="K55" i="235"/>
  <c r="J55" i="235"/>
  <c r="I55" i="235"/>
  <c r="H55" i="235"/>
  <c r="U53" i="235"/>
  <c r="T53" i="235"/>
  <c r="S53" i="235"/>
  <c r="R53" i="235"/>
  <c r="Q53" i="235"/>
  <c r="P53" i="235"/>
  <c r="O53" i="235"/>
  <c r="N53" i="235"/>
  <c r="M53" i="235"/>
  <c r="L53" i="235"/>
  <c r="K53" i="235"/>
  <c r="J53" i="235"/>
  <c r="I53" i="235"/>
  <c r="H53" i="235"/>
  <c r="U52" i="235"/>
  <c r="T52" i="235"/>
  <c r="S52" i="235"/>
  <c r="R52" i="235"/>
  <c r="Q52" i="235"/>
  <c r="P52" i="235"/>
  <c r="O52" i="235"/>
  <c r="N52" i="235"/>
  <c r="M52" i="235"/>
  <c r="L52" i="235"/>
  <c r="K52" i="235"/>
  <c r="J52" i="235"/>
  <c r="I52" i="235"/>
  <c r="H52" i="235"/>
  <c r="K51" i="235"/>
  <c r="J51" i="235"/>
  <c r="I51" i="235"/>
  <c r="E39" i="203" s="1"/>
  <c r="H51" i="235"/>
  <c r="G55" i="235"/>
  <c r="G53" i="235"/>
  <c r="G52" i="235"/>
  <c r="G51" i="235"/>
  <c r="K48" i="235"/>
  <c r="J48" i="235"/>
  <c r="I48" i="235"/>
  <c r="I50" i="235" s="1"/>
  <c r="H48" i="235"/>
  <c r="G48" i="235"/>
  <c r="G50" i="235" s="1"/>
  <c r="T79" i="239"/>
  <c r="T81" i="239" s="1"/>
  <c r="S79" i="239"/>
  <c r="S81" i="239" s="1"/>
  <c r="R79" i="239"/>
  <c r="R81" i="239" s="1"/>
  <c r="Q79" i="239"/>
  <c r="Q81" i="239" s="1"/>
  <c r="P79" i="239"/>
  <c r="P81" i="239" s="1"/>
  <c r="O79" i="239"/>
  <c r="O81" i="239" s="1"/>
  <c r="N79" i="239"/>
  <c r="N81" i="239" s="1"/>
  <c r="M79" i="239"/>
  <c r="M81" i="239" s="1"/>
  <c r="L79" i="239"/>
  <c r="L81" i="239" s="1"/>
  <c r="K79" i="239"/>
  <c r="K81" i="239" s="1"/>
  <c r="J79" i="239"/>
  <c r="J81" i="239" s="1"/>
  <c r="I79" i="239"/>
  <c r="I81" i="239" s="1"/>
  <c r="H79" i="239"/>
  <c r="H81" i="239" s="1"/>
  <c r="G79" i="239"/>
  <c r="G81" i="239" s="1"/>
  <c r="T76" i="239"/>
  <c r="S76" i="239"/>
  <c r="R76" i="239"/>
  <c r="Q76" i="239"/>
  <c r="P76" i="239"/>
  <c r="O76" i="239"/>
  <c r="N76" i="239"/>
  <c r="M76" i="239"/>
  <c r="T69" i="239"/>
  <c r="T71" i="239" s="1"/>
  <c r="S69" i="239"/>
  <c r="S71" i="239" s="1"/>
  <c r="R69" i="239"/>
  <c r="R71" i="239" s="1"/>
  <c r="Q69" i="239"/>
  <c r="Q71" i="239" s="1"/>
  <c r="P69" i="239"/>
  <c r="P71" i="239" s="1"/>
  <c r="O69" i="239"/>
  <c r="O71" i="239" s="1"/>
  <c r="N69" i="239"/>
  <c r="N71" i="239" s="1"/>
  <c r="M69" i="239"/>
  <c r="M71" i="239" s="1"/>
  <c r="L69" i="239"/>
  <c r="L71" i="239" s="1"/>
  <c r="K69" i="239"/>
  <c r="K71" i="239" s="1"/>
  <c r="J69" i="239"/>
  <c r="J71" i="239" s="1"/>
  <c r="I69" i="239"/>
  <c r="I71" i="239" s="1"/>
  <c r="H69" i="239"/>
  <c r="H71" i="239" s="1"/>
  <c r="G69" i="239"/>
  <c r="G71" i="239" s="1"/>
  <c r="T66" i="239"/>
  <c r="S66" i="239"/>
  <c r="R66" i="239"/>
  <c r="Q66" i="239"/>
  <c r="P66" i="239"/>
  <c r="O66" i="239"/>
  <c r="N66" i="239"/>
  <c r="M66" i="239"/>
  <c r="T59" i="239"/>
  <c r="T61" i="239" s="1"/>
  <c r="S59" i="239"/>
  <c r="S61" i="239" s="1"/>
  <c r="R59" i="239"/>
  <c r="R61" i="239" s="1"/>
  <c r="Q59" i="239"/>
  <c r="Q61" i="239" s="1"/>
  <c r="P59" i="239"/>
  <c r="P61" i="239" s="1"/>
  <c r="O59" i="239"/>
  <c r="O61" i="239" s="1"/>
  <c r="N59" i="239"/>
  <c r="N61" i="239" s="1"/>
  <c r="M59" i="239"/>
  <c r="M61" i="239" s="1"/>
  <c r="L59" i="239"/>
  <c r="L61" i="239" s="1"/>
  <c r="K59" i="239"/>
  <c r="K61" i="239" s="1"/>
  <c r="J59" i="239"/>
  <c r="J61" i="239" s="1"/>
  <c r="I59" i="239"/>
  <c r="I61" i="239" s="1"/>
  <c r="H59" i="239"/>
  <c r="H61" i="239" s="1"/>
  <c r="G59" i="239"/>
  <c r="G61" i="239" s="1"/>
  <c r="T56" i="239"/>
  <c r="S56" i="239"/>
  <c r="R56" i="239"/>
  <c r="Q56" i="239"/>
  <c r="P56" i="239"/>
  <c r="O56" i="239"/>
  <c r="N56" i="239"/>
  <c r="M56" i="239"/>
  <c r="T48" i="239"/>
  <c r="T50" i="239" s="1"/>
  <c r="S48" i="239"/>
  <c r="S50" i="239" s="1"/>
  <c r="R48" i="239"/>
  <c r="R50" i="239" s="1"/>
  <c r="Q48" i="239"/>
  <c r="Q50" i="239" s="1"/>
  <c r="P48" i="239"/>
  <c r="P50" i="239" s="1"/>
  <c r="O48" i="239"/>
  <c r="O50" i="239" s="1"/>
  <c r="N48" i="239"/>
  <c r="N50" i="239" s="1"/>
  <c r="M48" i="239"/>
  <c r="M50" i="239" s="1"/>
  <c r="L48" i="239"/>
  <c r="L50" i="239" s="1"/>
  <c r="K48" i="239"/>
  <c r="K50" i="239" s="1"/>
  <c r="J48" i="239"/>
  <c r="J50" i="239" s="1"/>
  <c r="I48" i="239"/>
  <c r="I50" i="239" s="1"/>
  <c r="H48" i="239"/>
  <c r="H50" i="239" s="1"/>
  <c r="G48" i="239"/>
  <c r="G50" i="239" s="1"/>
  <c r="T45" i="239"/>
  <c r="S45" i="239"/>
  <c r="R45" i="239"/>
  <c r="Q45" i="239"/>
  <c r="P45" i="239"/>
  <c r="O45" i="239"/>
  <c r="N45" i="239"/>
  <c r="M45" i="239"/>
  <c r="T38" i="239"/>
  <c r="T40" i="239" s="1"/>
  <c r="S38" i="239"/>
  <c r="S40" i="239" s="1"/>
  <c r="R38" i="239"/>
  <c r="Q38" i="239"/>
  <c r="Q40" i="239" s="1"/>
  <c r="P38" i="239"/>
  <c r="O38" i="239"/>
  <c r="O40" i="239" s="1"/>
  <c r="N38" i="239"/>
  <c r="N40" i="239" s="1"/>
  <c r="M38" i="239"/>
  <c r="M40" i="239" s="1"/>
  <c r="L38" i="239"/>
  <c r="L40" i="239" s="1"/>
  <c r="K38" i="239"/>
  <c r="K40" i="239" s="1"/>
  <c r="J38" i="239"/>
  <c r="I38" i="239"/>
  <c r="I40" i="239" s="1"/>
  <c r="H38" i="239"/>
  <c r="H40" i="239" s="1"/>
  <c r="G38" i="239"/>
  <c r="G40" i="239" s="1"/>
  <c r="T35" i="239"/>
  <c r="S35" i="239"/>
  <c r="R35" i="239"/>
  <c r="Q35" i="239"/>
  <c r="P35" i="239"/>
  <c r="O35" i="239"/>
  <c r="N35" i="239"/>
  <c r="M35" i="239"/>
  <c r="T28" i="239"/>
  <c r="S28" i="239"/>
  <c r="S30" i="239" s="1"/>
  <c r="R28" i="239"/>
  <c r="R30" i="239"/>
  <c r="Q28" i="239"/>
  <c r="P28" i="239"/>
  <c r="P30" i="239" s="1"/>
  <c r="O28" i="239"/>
  <c r="N28" i="239"/>
  <c r="N30" i="239" s="1"/>
  <c r="M28" i="239"/>
  <c r="L28" i="239"/>
  <c r="L30" i="239" s="1"/>
  <c r="K28" i="239"/>
  <c r="K30" i="239" s="1"/>
  <c r="J28" i="239"/>
  <c r="J30" i="239" s="1"/>
  <c r="I28" i="239"/>
  <c r="H28" i="239"/>
  <c r="G28" i="239"/>
  <c r="G30" i="239" s="1"/>
  <c r="T25" i="239"/>
  <c r="S25" i="239"/>
  <c r="R25" i="239"/>
  <c r="Q25" i="239"/>
  <c r="P25" i="239"/>
  <c r="O25" i="239"/>
  <c r="N25" i="239"/>
  <c r="M25" i="239"/>
  <c r="E10" i="235"/>
  <c r="P81" i="235"/>
  <c r="P83" i="235" s="1"/>
  <c r="O81" i="235"/>
  <c r="O83" i="235" s="1"/>
  <c r="N81" i="235"/>
  <c r="N83" i="235" s="1"/>
  <c r="M81" i="235"/>
  <c r="M83" i="235" s="1"/>
  <c r="L81" i="235"/>
  <c r="L83" i="235" s="1"/>
  <c r="K81" i="235"/>
  <c r="K83" i="235" s="1"/>
  <c r="J81" i="235"/>
  <c r="J83" i="235" s="1"/>
  <c r="I81" i="235"/>
  <c r="I83" i="235" s="1"/>
  <c r="H81" i="235"/>
  <c r="H83" i="235" s="1"/>
  <c r="G81" i="235"/>
  <c r="G83" i="235" s="1"/>
  <c r="P78" i="235"/>
  <c r="O78" i="235"/>
  <c r="N78" i="235"/>
  <c r="M78" i="235"/>
  <c r="L78" i="235"/>
  <c r="E11" i="235"/>
  <c r="R267" i="206"/>
  <c r="R270" i="206" s="1"/>
  <c r="R272" i="206" s="1"/>
  <c r="Q267" i="206"/>
  <c r="Q270" i="206" s="1"/>
  <c r="Q272" i="206" s="1"/>
  <c r="P267" i="206"/>
  <c r="P270" i="206" s="1"/>
  <c r="P272" i="206" s="1"/>
  <c r="O267" i="206"/>
  <c r="O270" i="206" s="1"/>
  <c r="O272" i="206" s="1"/>
  <c r="N267" i="206"/>
  <c r="N270" i="206" s="1"/>
  <c r="N272" i="206" s="1"/>
  <c r="M267" i="206"/>
  <c r="M270" i="206" s="1"/>
  <c r="M272" i="206" s="1"/>
  <c r="L267" i="206"/>
  <c r="L270" i="206" s="1"/>
  <c r="L272" i="206" s="1"/>
  <c r="K267" i="206"/>
  <c r="K270" i="206" s="1"/>
  <c r="K272" i="206" s="1"/>
  <c r="J267" i="206"/>
  <c r="J270" i="206" s="1"/>
  <c r="J272" i="206" s="1"/>
  <c r="I267" i="206"/>
  <c r="I270" i="206" s="1"/>
  <c r="I272" i="206" s="1"/>
  <c r="H267" i="206"/>
  <c r="H270" i="206" s="1"/>
  <c r="H272" i="206" s="1"/>
  <c r="G267" i="206"/>
  <c r="G270" i="206" s="1"/>
  <c r="G272" i="206" s="1"/>
  <c r="F267" i="206"/>
  <c r="F270" i="206" s="1"/>
  <c r="F272" i="206" s="1"/>
  <c r="E267" i="206"/>
  <c r="E270" i="206" s="1"/>
  <c r="E272" i="206" s="1"/>
  <c r="D267" i="206"/>
  <c r="D270" i="206" s="1"/>
  <c r="D272" i="206" s="1"/>
  <c r="R257" i="206"/>
  <c r="R260" i="206" s="1"/>
  <c r="R262" i="206" s="1"/>
  <c r="Q257" i="206"/>
  <c r="Q260" i="206" s="1"/>
  <c r="Q262" i="206" s="1"/>
  <c r="P257" i="206"/>
  <c r="P260" i="206" s="1"/>
  <c r="P262" i="206" s="1"/>
  <c r="O257" i="206"/>
  <c r="O260" i="206" s="1"/>
  <c r="O262" i="206" s="1"/>
  <c r="N257" i="206"/>
  <c r="N260" i="206" s="1"/>
  <c r="N262" i="206" s="1"/>
  <c r="M257" i="206"/>
  <c r="M260" i="206" s="1"/>
  <c r="M262" i="206" s="1"/>
  <c r="L257" i="206"/>
  <c r="L260" i="206" s="1"/>
  <c r="L262" i="206" s="1"/>
  <c r="K257" i="206"/>
  <c r="K260" i="206" s="1"/>
  <c r="K262" i="206" s="1"/>
  <c r="J257" i="206"/>
  <c r="J260" i="206" s="1"/>
  <c r="J262" i="206" s="1"/>
  <c r="I257" i="206"/>
  <c r="I260" i="206" s="1"/>
  <c r="I262" i="206" s="1"/>
  <c r="H257" i="206"/>
  <c r="H260" i="206" s="1"/>
  <c r="H262" i="206" s="1"/>
  <c r="G257" i="206"/>
  <c r="G260" i="206" s="1"/>
  <c r="G262" i="206" s="1"/>
  <c r="F257" i="206"/>
  <c r="F260" i="206" s="1"/>
  <c r="F262" i="206" s="1"/>
  <c r="E257" i="206"/>
  <c r="E260" i="206" s="1"/>
  <c r="E262" i="206" s="1"/>
  <c r="D257" i="206"/>
  <c r="D260" i="206" s="1"/>
  <c r="D262" i="206" s="1"/>
  <c r="R225" i="206"/>
  <c r="R228" i="206" s="1"/>
  <c r="R230" i="206" s="1"/>
  <c r="R231" i="206" s="1"/>
  <c r="Q225" i="206"/>
  <c r="Q228" i="206" s="1"/>
  <c r="Q230" i="206" s="1"/>
  <c r="Q231" i="206" s="1"/>
  <c r="P225" i="206"/>
  <c r="P228" i="206" s="1"/>
  <c r="P230" i="206" s="1"/>
  <c r="O225" i="206"/>
  <c r="O228" i="206" s="1"/>
  <c r="O230" i="206" s="1"/>
  <c r="O231" i="206" s="1"/>
  <c r="N225" i="206"/>
  <c r="N228" i="206" s="1"/>
  <c r="N230" i="206" s="1"/>
  <c r="M225" i="206"/>
  <c r="M228" i="206" s="1"/>
  <c r="M230" i="206" s="1"/>
  <c r="M231" i="206" s="1"/>
  <c r="L225" i="206"/>
  <c r="L228" i="206"/>
  <c r="L230" i="206" s="1"/>
  <c r="K225" i="206"/>
  <c r="K228" i="206" s="1"/>
  <c r="K230" i="206" s="1"/>
  <c r="K231" i="206" s="1"/>
  <c r="J225" i="206"/>
  <c r="J228" i="206" s="1"/>
  <c r="J230" i="206" s="1"/>
  <c r="J231" i="206" s="1"/>
  <c r="I225" i="206"/>
  <c r="I228" i="206" s="1"/>
  <c r="I230" i="206" s="1"/>
  <c r="I231" i="206" s="1"/>
  <c r="H225" i="206"/>
  <c r="H228" i="206" s="1"/>
  <c r="H230" i="206" s="1"/>
  <c r="H231" i="206" s="1"/>
  <c r="G225" i="206"/>
  <c r="G228" i="206" s="1"/>
  <c r="G230" i="206" s="1"/>
  <c r="F225" i="206"/>
  <c r="F228" i="206" s="1"/>
  <c r="F230" i="206" s="1"/>
  <c r="F231" i="206" s="1"/>
  <c r="E225" i="206"/>
  <c r="E228" i="206" s="1"/>
  <c r="E230" i="206" s="1"/>
  <c r="D225" i="206"/>
  <c r="D228" i="206"/>
  <c r="D230" i="206" s="1"/>
  <c r="D231" i="206" s="1"/>
  <c r="R214" i="206"/>
  <c r="R217" i="206" s="1"/>
  <c r="R219" i="206" s="1"/>
  <c r="R220" i="206" s="1"/>
  <c r="Q214" i="206"/>
  <c r="Q217" i="206" s="1"/>
  <c r="Q219" i="206" s="1"/>
  <c r="Q220" i="206" s="1"/>
  <c r="P214" i="206"/>
  <c r="P217" i="206" s="1"/>
  <c r="P219" i="206" s="1"/>
  <c r="P220" i="206" s="1"/>
  <c r="O214" i="206"/>
  <c r="O217" i="206" s="1"/>
  <c r="O219" i="206" s="1"/>
  <c r="O220" i="206" s="1"/>
  <c r="N214" i="206"/>
  <c r="N217" i="206" s="1"/>
  <c r="N219" i="206" s="1"/>
  <c r="N220" i="206" s="1"/>
  <c r="M214" i="206"/>
  <c r="M217" i="206" s="1"/>
  <c r="M219" i="206" s="1"/>
  <c r="M220" i="206" s="1"/>
  <c r="L214" i="206"/>
  <c r="L217" i="206" s="1"/>
  <c r="L219" i="206" s="1"/>
  <c r="L220" i="206" s="1"/>
  <c r="K214" i="206"/>
  <c r="K217" i="206" s="1"/>
  <c r="K219" i="206" s="1"/>
  <c r="K220" i="206" s="1"/>
  <c r="J214" i="206"/>
  <c r="J217" i="206" s="1"/>
  <c r="J219" i="206" s="1"/>
  <c r="J220" i="206" s="1"/>
  <c r="I214" i="206"/>
  <c r="I217" i="206" s="1"/>
  <c r="I219" i="206" s="1"/>
  <c r="I220" i="206" s="1"/>
  <c r="H214" i="206"/>
  <c r="H217" i="206" s="1"/>
  <c r="H219" i="206" s="1"/>
  <c r="H220" i="206" s="1"/>
  <c r="G214" i="206"/>
  <c r="G217" i="206" s="1"/>
  <c r="G219" i="206" s="1"/>
  <c r="G220" i="206" s="1"/>
  <c r="F214" i="206"/>
  <c r="F217" i="206" s="1"/>
  <c r="F219" i="206" s="1"/>
  <c r="F220" i="206" s="1"/>
  <c r="E214" i="206"/>
  <c r="E217" i="206" s="1"/>
  <c r="E219" i="206" s="1"/>
  <c r="E220" i="206" s="1"/>
  <c r="D214" i="206"/>
  <c r="D217" i="206" s="1"/>
  <c r="D219" i="206" s="1"/>
  <c r="D220" i="206" s="1"/>
  <c r="R195" i="206"/>
  <c r="Q195" i="206"/>
  <c r="P195" i="206"/>
  <c r="O195" i="206"/>
  <c r="N195" i="206"/>
  <c r="M195" i="206"/>
  <c r="L195" i="206"/>
  <c r="K195" i="206"/>
  <c r="J195" i="206"/>
  <c r="I195" i="206"/>
  <c r="H195" i="206"/>
  <c r="G195" i="206"/>
  <c r="F195" i="206"/>
  <c r="E195" i="206"/>
  <c r="D195" i="206"/>
  <c r="R192" i="206"/>
  <c r="R194" i="206" s="1"/>
  <c r="Q192" i="206"/>
  <c r="Q194" i="206" s="1"/>
  <c r="P192" i="206"/>
  <c r="P194" i="206" s="1"/>
  <c r="O192" i="206"/>
  <c r="O194" i="206" s="1"/>
  <c r="N192" i="206"/>
  <c r="N194" i="206" s="1"/>
  <c r="M192" i="206"/>
  <c r="M194" i="206" s="1"/>
  <c r="L192" i="206"/>
  <c r="L194" i="206" s="1"/>
  <c r="K192" i="206"/>
  <c r="K194" i="206" s="1"/>
  <c r="J192" i="206"/>
  <c r="J194" i="206" s="1"/>
  <c r="I192" i="206"/>
  <c r="I194" i="206" s="1"/>
  <c r="H192" i="206"/>
  <c r="H194" i="206" s="1"/>
  <c r="G192" i="206"/>
  <c r="G194" i="206" s="1"/>
  <c r="F192" i="206"/>
  <c r="F194" i="206" s="1"/>
  <c r="E192" i="206"/>
  <c r="E194" i="206" s="1"/>
  <c r="D192" i="206"/>
  <c r="D194" i="206" s="1"/>
  <c r="R187" i="206"/>
  <c r="Q187" i="206"/>
  <c r="P187" i="206"/>
  <c r="O187" i="206"/>
  <c r="N187" i="206"/>
  <c r="M187" i="206"/>
  <c r="L187" i="206"/>
  <c r="K187" i="206"/>
  <c r="J187" i="206"/>
  <c r="I187" i="206"/>
  <c r="H187" i="206"/>
  <c r="G187" i="206"/>
  <c r="F187" i="206"/>
  <c r="E187" i="206"/>
  <c r="D187" i="206"/>
  <c r="R184" i="206"/>
  <c r="R186" i="206" s="1"/>
  <c r="Q184" i="206"/>
  <c r="Q186" i="206" s="1"/>
  <c r="P184" i="206"/>
  <c r="P186" i="206" s="1"/>
  <c r="O184" i="206"/>
  <c r="O186" i="206" s="1"/>
  <c r="N184" i="206"/>
  <c r="N186" i="206" s="1"/>
  <c r="M184" i="206"/>
  <c r="M186" i="206" s="1"/>
  <c r="L184" i="206"/>
  <c r="L186" i="206" s="1"/>
  <c r="K184" i="206"/>
  <c r="K186" i="206" s="1"/>
  <c r="J184" i="206"/>
  <c r="J186" i="206" s="1"/>
  <c r="I184" i="206"/>
  <c r="I186" i="206" s="1"/>
  <c r="H184" i="206"/>
  <c r="H186" i="206" s="1"/>
  <c r="G184" i="206"/>
  <c r="G186" i="206" s="1"/>
  <c r="F184" i="206"/>
  <c r="F186" i="206" s="1"/>
  <c r="E184" i="206"/>
  <c r="E186" i="206" s="1"/>
  <c r="D184" i="206"/>
  <c r="D186" i="206" s="1"/>
  <c r="J55" i="206"/>
  <c r="J58" i="206" s="1"/>
  <c r="J60" i="206" s="1"/>
  <c r="H152" i="206"/>
  <c r="G152" i="206"/>
  <c r="F152" i="206"/>
  <c r="F154" i="206" s="1"/>
  <c r="E152" i="206"/>
  <c r="E154" i="206" s="1"/>
  <c r="D152" i="206"/>
  <c r="H143" i="206"/>
  <c r="G143" i="206"/>
  <c r="F143" i="206"/>
  <c r="F145" i="206" s="1"/>
  <c r="E143" i="206"/>
  <c r="D143" i="206"/>
  <c r="H134" i="206"/>
  <c r="H136" i="206" s="1"/>
  <c r="G134" i="206"/>
  <c r="G136" i="206" s="1"/>
  <c r="F134" i="206"/>
  <c r="E134" i="206"/>
  <c r="D134" i="206"/>
  <c r="D136" i="206" s="1"/>
  <c r="H125" i="206"/>
  <c r="H127" i="206" s="1"/>
  <c r="G125" i="206"/>
  <c r="F125" i="206"/>
  <c r="E125" i="206"/>
  <c r="E127" i="206" s="1"/>
  <c r="D125" i="206"/>
  <c r="D127" i="206" s="1"/>
  <c r="B14" i="206"/>
  <c r="S85" i="239"/>
  <c r="F143" i="238"/>
  <c r="F141" i="238"/>
  <c r="F140" i="238"/>
  <c r="F139" i="238"/>
  <c r="F138" i="238"/>
  <c r="F116" i="238"/>
  <c r="F114" i="238"/>
  <c r="F113" i="238"/>
  <c r="F112" i="238"/>
  <c r="F111" i="238"/>
  <c r="F71" i="238"/>
  <c r="F73" i="238"/>
  <c r="F75" i="238"/>
  <c r="F72" i="238"/>
  <c r="F43" i="238"/>
  <c r="F44" i="238"/>
  <c r="F70" i="238"/>
  <c r="F69" i="238"/>
  <c r="F42" i="238"/>
  <c r="F41" i="238"/>
  <c r="F47" i="238"/>
  <c r="F45" i="238"/>
  <c r="E10" i="238"/>
  <c r="E10" i="187"/>
  <c r="AG128" i="187"/>
  <c r="AF128" i="187"/>
  <c r="AE128" i="187"/>
  <c r="AE130" i="187" s="1"/>
  <c r="AD128" i="187"/>
  <c r="AD130" i="187" s="1"/>
  <c r="AC128" i="187"/>
  <c r="AA128" i="187"/>
  <c r="Z128" i="187"/>
  <c r="Y128" i="187"/>
  <c r="Y138" i="187" s="1"/>
  <c r="X128" i="187"/>
  <c r="W128" i="187"/>
  <c r="U128" i="187"/>
  <c r="T128" i="187"/>
  <c r="T138" i="187" s="1"/>
  <c r="S128" i="187"/>
  <c r="R128" i="187"/>
  <c r="Q128" i="187"/>
  <c r="P128" i="187"/>
  <c r="O128" i="187"/>
  <c r="N128" i="187"/>
  <c r="M128" i="187"/>
  <c r="L128" i="187"/>
  <c r="L130" i="187" s="1"/>
  <c r="K128" i="187"/>
  <c r="J128" i="187"/>
  <c r="I128" i="187"/>
  <c r="H128" i="187"/>
  <c r="G128" i="187"/>
  <c r="AG117" i="187"/>
  <c r="AF117" i="187"/>
  <c r="AE117" i="187"/>
  <c r="AE119" i="187" s="1"/>
  <c r="AD117" i="187"/>
  <c r="AC117" i="187"/>
  <c r="AA117" i="187"/>
  <c r="Z117" i="187"/>
  <c r="Z138" i="187" s="1"/>
  <c r="Y117" i="187"/>
  <c r="X117" i="187"/>
  <c r="W117" i="187"/>
  <c r="U117" i="187"/>
  <c r="U138" i="187" s="1"/>
  <c r="T117" i="187"/>
  <c r="S117" i="187"/>
  <c r="R117" i="187"/>
  <c r="Q117" i="187"/>
  <c r="Q138" i="187" s="1"/>
  <c r="P117" i="187"/>
  <c r="O117" i="187"/>
  <c r="N117" i="187"/>
  <c r="M117" i="187"/>
  <c r="M138" i="187" s="1"/>
  <c r="L117" i="187"/>
  <c r="K117" i="187"/>
  <c r="J117" i="187"/>
  <c r="I117" i="187"/>
  <c r="I138" i="187" s="1"/>
  <c r="H117" i="187"/>
  <c r="G117" i="187"/>
  <c r="E10" i="205"/>
  <c r="B166" i="242"/>
  <c r="B164" i="242"/>
  <c r="B137" i="242"/>
  <c r="B135" i="242"/>
  <c r="B108" i="242"/>
  <c r="B106" i="242"/>
  <c r="B11" i="242"/>
  <c r="H20" i="243"/>
  <c r="B10" i="243"/>
  <c r="H7" i="137"/>
  <c r="H74" i="210"/>
  <c r="C15" i="237"/>
  <c r="B10" i="221"/>
  <c r="B10" i="94"/>
  <c r="AC270" i="242"/>
  <c r="AB270" i="242"/>
  <c r="AA270" i="242"/>
  <c r="Z270" i="242"/>
  <c r="Y270" i="242"/>
  <c r="X270" i="242"/>
  <c r="W270" i="242"/>
  <c r="V270" i="242"/>
  <c r="U270" i="242"/>
  <c r="T270" i="242"/>
  <c r="S270" i="242"/>
  <c r="B269" i="242"/>
  <c r="B268" i="242"/>
  <c r="B267" i="242"/>
  <c r="B266" i="242"/>
  <c r="B265" i="242"/>
  <c r="AC263" i="242"/>
  <c r="AB263" i="242"/>
  <c r="AA263" i="242"/>
  <c r="Z263" i="242"/>
  <c r="Y263" i="242"/>
  <c r="X263" i="242"/>
  <c r="W263" i="242"/>
  <c r="V263" i="242"/>
  <c r="U263" i="242"/>
  <c r="T263" i="242"/>
  <c r="S263" i="242"/>
  <c r="L263" i="242"/>
  <c r="K263" i="242"/>
  <c r="J263" i="242"/>
  <c r="I263" i="242"/>
  <c r="H263" i="242"/>
  <c r="G263" i="242"/>
  <c r="F263" i="242"/>
  <c r="E263" i="242"/>
  <c r="D263" i="242"/>
  <c r="C263" i="242"/>
  <c r="B263" i="242"/>
  <c r="AC262" i="242"/>
  <c r="AB262" i="242"/>
  <c r="AA262" i="242"/>
  <c r="Z262" i="242"/>
  <c r="Y262" i="242"/>
  <c r="AD262" i="242" s="1"/>
  <c r="X262" i="242"/>
  <c r="W262" i="242"/>
  <c r="V262" i="242"/>
  <c r="U262" i="242"/>
  <c r="T262" i="242"/>
  <c r="S262" i="242"/>
  <c r="L262" i="242"/>
  <c r="K262" i="242"/>
  <c r="J262" i="242"/>
  <c r="I262" i="242"/>
  <c r="H262" i="242"/>
  <c r="G262" i="242"/>
  <c r="F262" i="242"/>
  <c r="E262" i="242"/>
  <c r="D262" i="242"/>
  <c r="C262" i="242"/>
  <c r="B262" i="242"/>
  <c r="AC261" i="242"/>
  <c r="AB261" i="242"/>
  <c r="AA261" i="242"/>
  <c r="Z261" i="242"/>
  <c r="Y261" i="242"/>
  <c r="X261" i="242"/>
  <c r="W261" i="242"/>
  <c r="V261" i="242"/>
  <c r="U261" i="242"/>
  <c r="T261" i="242"/>
  <c r="S261" i="242"/>
  <c r="L261" i="242"/>
  <c r="K261" i="242"/>
  <c r="J261" i="242"/>
  <c r="I261" i="242"/>
  <c r="H261" i="242"/>
  <c r="Q261" i="242" s="1"/>
  <c r="G261" i="242"/>
  <c r="F261" i="242"/>
  <c r="E261" i="242"/>
  <c r="D261" i="242"/>
  <c r="C261" i="242"/>
  <c r="B261" i="242"/>
  <c r="AC260" i="242"/>
  <c r="AB260" i="242"/>
  <c r="AA260" i="242"/>
  <c r="Z260" i="242"/>
  <c r="Y260" i="242"/>
  <c r="AD260" i="242" s="1"/>
  <c r="X260" i="242"/>
  <c r="W260" i="242"/>
  <c r="V260" i="242"/>
  <c r="U260" i="242"/>
  <c r="T260" i="242"/>
  <c r="S260" i="242"/>
  <c r="L260" i="242"/>
  <c r="K260" i="242"/>
  <c r="J260" i="242"/>
  <c r="I260" i="242"/>
  <c r="H260" i="242"/>
  <c r="G260" i="242"/>
  <c r="F260" i="242"/>
  <c r="E260" i="242"/>
  <c r="D260" i="242"/>
  <c r="C260" i="242"/>
  <c r="B260" i="242"/>
  <c r="AC259" i="242"/>
  <c r="AB259" i="242"/>
  <c r="AA259" i="242"/>
  <c r="Z259" i="242"/>
  <c r="Y259" i="242"/>
  <c r="X259" i="242"/>
  <c r="W259" i="242"/>
  <c r="V259" i="242"/>
  <c r="U259" i="242"/>
  <c r="T259" i="242"/>
  <c r="S259" i="242"/>
  <c r="L259" i="242"/>
  <c r="K259" i="242"/>
  <c r="J259" i="242"/>
  <c r="I259" i="242"/>
  <c r="H259" i="242"/>
  <c r="G259" i="242"/>
  <c r="F259" i="242"/>
  <c r="E259" i="242"/>
  <c r="D259" i="242"/>
  <c r="C259" i="242"/>
  <c r="B259" i="242"/>
  <c r="AD257" i="242"/>
  <c r="B257" i="242"/>
  <c r="AD256" i="242"/>
  <c r="B256" i="242"/>
  <c r="AD255" i="242"/>
  <c r="B255" i="242"/>
  <c r="AD254" i="242"/>
  <c r="B254" i="242"/>
  <c r="AD253" i="242"/>
  <c r="B253" i="242"/>
  <c r="Q251" i="242"/>
  <c r="P251" i="242"/>
  <c r="O251" i="242"/>
  <c r="N251" i="242"/>
  <c r="M251" i="242"/>
  <c r="L251" i="242"/>
  <c r="K251" i="242"/>
  <c r="J251" i="242"/>
  <c r="I251" i="242"/>
  <c r="H251" i="242"/>
  <c r="AD251" i="242" s="1"/>
  <c r="G251" i="242"/>
  <c r="F251" i="242"/>
  <c r="E251" i="242"/>
  <c r="D251" i="242"/>
  <c r="C251" i="242"/>
  <c r="B251" i="242"/>
  <c r="Q250" i="242"/>
  <c r="P250" i="242"/>
  <c r="O250" i="242"/>
  <c r="N250" i="242"/>
  <c r="M250" i="242"/>
  <c r="L250" i="242"/>
  <c r="L268" i="242" s="1"/>
  <c r="AD268" i="242" s="1"/>
  <c r="K250" i="242"/>
  <c r="J250" i="242"/>
  <c r="I250" i="242"/>
  <c r="H250" i="242"/>
  <c r="AD250" i="242" s="1"/>
  <c r="G250" i="242"/>
  <c r="F250" i="242"/>
  <c r="E250" i="242"/>
  <c r="D250" i="242"/>
  <c r="C250" i="242"/>
  <c r="B250" i="242"/>
  <c r="Q249" i="242"/>
  <c r="P249" i="242"/>
  <c r="O249" i="242"/>
  <c r="N249" i="242"/>
  <c r="M249" i="242"/>
  <c r="L249" i="242"/>
  <c r="K249" i="242"/>
  <c r="J249" i="242"/>
  <c r="I249" i="242"/>
  <c r="H249" i="242"/>
  <c r="AD249" i="242" s="1"/>
  <c r="G249" i="242"/>
  <c r="F249" i="242"/>
  <c r="E249" i="242"/>
  <c r="D249" i="242"/>
  <c r="C249" i="242"/>
  <c r="B249" i="242"/>
  <c r="Q248" i="242"/>
  <c r="P248" i="242"/>
  <c r="O248" i="242"/>
  <c r="N248" i="242"/>
  <c r="M248" i="242"/>
  <c r="L248" i="242"/>
  <c r="L266" i="242" s="1"/>
  <c r="AD266" i="242" s="1"/>
  <c r="K248" i="242"/>
  <c r="J248" i="242"/>
  <c r="I248" i="242"/>
  <c r="H248" i="242"/>
  <c r="AD248" i="242" s="1"/>
  <c r="G248" i="242"/>
  <c r="F248" i="242"/>
  <c r="E248" i="242"/>
  <c r="D248" i="242"/>
  <c r="C248" i="242"/>
  <c r="B248" i="242"/>
  <c r="Q247" i="242"/>
  <c r="P247" i="242"/>
  <c r="O247" i="242"/>
  <c r="N247" i="242"/>
  <c r="M247" i="242"/>
  <c r="L247" i="242"/>
  <c r="K247" i="242"/>
  <c r="J247" i="242"/>
  <c r="I247" i="242"/>
  <c r="H247" i="242"/>
  <c r="AD247" i="242" s="1"/>
  <c r="G247" i="242"/>
  <c r="F247" i="242"/>
  <c r="E247" i="242"/>
  <c r="D247" i="242"/>
  <c r="C247" i="242"/>
  <c r="B247" i="242"/>
  <c r="AD245" i="242"/>
  <c r="B245" i="242"/>
  <c r="AD244" i="242"/>
  <c r="B244" i="242"/>
  <c r="AD243" i="242"/>
  <c r="B243" i="242"/>
  <c r="AD242" i="242"/>
  <c r="B242" i="242"/>
  <c r="AD241" i="242"/>
  <c r="B241" i="242"/>
  <c r="Y239" i="242"/>
  <c r="H239" i="242"/>
  <c r="AC232" i="242"/>
  <c r="AB232" i="242"/>
  <c r="AA232" i="242"/>
  <c r="Z232" i="242"/>
  <c r="Y232" i="242"/>
  <c r="W232" i="242"/>
  <c r="V232" i="242"/>
  <c r="U232" i="242"/>
  <c r="T232" i="242"/>
  <c r="S232" i="242"/>
  <c r="Q232" i="242"/>
  <c r="P232" i="242"/>
  <c r="O232" i="242"/>
  <c r="N232" i="242"/>
  <c r="M232" i="242"/>
  <c r="L232" i="242"/>
  <c r="K232" i="242"/>
  <c r="J232" i="242"/>
  <c r="I232" i="242"/>
  <c r="H232" i="242"/>
  <c r="G232" i="242"/>
  <c r="F232" i="242"/>
  <c r="E232" i="242"/>
  <c r="D232" i="242"/>
  <c r="C232" i="242"/>
  <c r="AC230" i="242"/>
  <c r="AB230" i="242"/>
  <c r="AA230" i="242"/>
  <c r="Z230" i="242"/>
  <c r="Y230" i="242"/>
  <c r="W230" i="242"/>
  <c r="V230" i="242"/>
  <c r="U230" i="242"/>
  <c r="T230" i="242"/>
  <c r="S230" i="242"/>
  <c r="Q230" i="242"/>
  <c r="P230" i="242"/>
  <c r="O230" i="242"/>
  <c r="N230" i="242"/>
  <c r="M230" i="242"/>
  <c r="L230" i="242"/>
  <c r="K230" i="242"/>
  <c r="J230" i="242"/>
  <c r="I230" i="242"/>
  <c r="H230" i="242"/>
  <c r="G230" i="242"/>
  <c r="F230" i="242"/>
  <c r="E230" i="242"/>
  <c r="D230" i="242"/>
  <c r="C230" i="242"/>
  <c r="AC229" i="242"/>
  <c r="AB229" i="242"/>
  <c r="AA229" i="242"/>
  <c r="Z229" i="242"/>
  <c r="Y229" i="242"/>
  <c r="W229" i="242"/>
  <c r="V229" i="242"/>
  <c r="U229" i="242"/>
  <c r="T229" i="242"/>
  <c r="S229" i="242"/>
  <c r="Q229" i="242"/>
  <c r="P229" i="242"/>
  <c r="O229" i="242"/>
  <c r="N229" i="242"/>
  <c r="M229" i="242"/>
  <c r="L229" i="242"/>
  <c r="K229" i="242"/>
  <c r="J229" i="242"/>
  <c r="I229" i="242"/>
  <c r="H229" i="242"/>
  <c r="G229" i="242"/>
  <c r="F229" i="242"/>
  <c r="E229" i="242"/>
  <c r="D229" i="242"/>
  <c r="C229" i="242"/>
  <c r="AD221" i="242"/>
  <c r="X221" i="242"/>
  <c r="AD220" i="242"/>
  <c r="X220" i="242"/>
  <c r="AC218" i="242"/>
  <c r="AB218" i="242"/>
  <c r="AA218" i="242"/>
  <c r="Z218" i="242"/>
  <c r="Y218" i="242"/>
  <c r="W218" i="242"/>
  <c r="V218" i="242"/>
  <c r="U218" i="242"/>
  <c r="T218" i="242"/>
  <c r="S218" i="242"/>
  <c r="Q218" i="242"/>
  <c r="P218" i="242"/>
  <c r="O218" i="242"/>
  <c r="N218" i="242"/>
  <c r="M218" i="242"/>
  <c r="L218" i="242"/>
  <c r="K218" i="242"/>
  <c r="J218" i="242"/>
  <c r="I218" i="242"/>
  <c r="H218" i="242"/>
  <c r="G218" i="242"/>
  <c r="F218" i="242"/>
  <c r="E218" i="242"/>
  <c r="D218" i="242"/>
  <c r="C218" i="242"/>
  <c r="AC217" i="242"/>
  <c r="AB217" i="242"/>
  <c r="AA217" i="242"/>
  <c r="Z217" i="242"/>
  <c r="Y217" i="242"/>
  <c r="W217" i="242"/>
  <c r="V217" i="242"/>
  <c r="U217" i="242"/>
  <c r="T217" i="242"/>
  <c r="S217" i="242"/>
  <c r="Q217" i="242"/>
  <c r="P217" i="242"/>
  <c r="O217" i="242"/>
  <c r="N217" i="242"/>
  <c r="M217" i="242"/>
  <c r="L217" i="242"/>
  <c r="K217" i="242"/>
  <c r="J217" i="242"/>
  <c r="I217" i="242"/>
  <c r="H217" i="242"/>
  <c r="G217" i="242"/>
  <c r="F217" i="242"/>
  <c r="E217" i="242"/>
  <c r="D217" i="242"/>
  <c r="C217" i="242"/>
  <c r="AC216" i="242"/>
  <c r="AB216" i="242"/>
  <c r="AA216" i="242"/>
  <c r="Z216" i="242"/>
  <c r="Y216" i="242"/>
  <c r="W216" i="242"/>
  <c r="V216" i="242"/>
  <c r="U216" i="242"/>
  <c r="T216" i="242"/>
  <c r="S216" i="242"/>
  <c r="S219" i="242" s="1"/>
  <c r="S222" i="242" s="1"/>
  <c r="S224" i="242" s="1"/>
  <c r="Q216" i="242"/>
  <c r="P216" i="242"/>
  <c r="O216" i="242"/>
  <c r="N216" i="242"/>
  <c r="M216" i="242"/>
  <c r="L216" i="242"/>
  <c r="K216" i="242"/>
  <c r="J216" i="242"/>
  <c r="I216" i="242"/>
  <c r="H216" i="242"/>
  <c r="G216" i="242"/>
  <c r="F216" i="242"/>
  <c r="E216" i="242"/>
  <c r="D216" i="242"/>
  <c r="C216" i="242"/>
  <c r="AC214" i="242"/>
  <c r="AB214" i="242"/>
  <c r="AA214" i="242"/>
  <c r="Z214" i="242"/>
  <c r="Y214" i="242"/>
  <c r="W214" i="242"/>
  <c r="V214" i="242"/>
  <c r="U214" i="242"/>
  <c r="T214" i="242"/>
  <c r="S214" i="242"/>
  <c r="Q214" i="242"/>
  <c r="P214" i="242"/>
  <c r="O214" i="242"/>
  <c r="N214" i="242"/>
  <c r="M214" i="242"/>
  <c r="L214" i="242"/>
  <c r="K214" i="242"/>
  <c r="J214" i="242"/>
  <c r="I214" i="242"/>
  <c r="H214" i="242"/>
  <c r="G214" i="242"/>
  <c r="F214" i="242"/>
  <c r="E214" i="242"/>
  <c r="D214" i="242"/>
  <c r="C214" i="242"/>
  <c r="AD213" i="242"/>
  <c r="X213" i="242"/>
  <c r="AD212" i="242"/>
  <c r="X212" i="242"/>
  <c r="AD211" i="242"/>
  <c r="X211" i="242"/>
  <c r="AC209" i="242"/>
  <c r="AB209" i="242"/>
  <c r="AA209" i="242"/>
  <c r="Z209" i="242"/>
  <c r="Y209" i="242"/>
  <c r="W209" i="242"/>
  <c r="V209" i="242"/>
  <c r="U209" i="242"/>
  <c r="T209" i="242"/>
  <c r="S209" i="242"/>
  <c r="Q209" i="242"/>
  <c r="P209" i="242"/>
  <c r="O209" i="242"/>
  <c r="N209" i="242"/>
  <c r="M209" i="242"/>
  <c r="L209" i="242"/>
  <c r="K209" i="242"/>
  <c r="J209" i="242"/>
  <c r="I209" i="242"/>
  <c r="H209" i="242"/>
  <c r="G209" i="242"/>
  <c r="F209" i="242"/>
  <c r="E209" i="242"/>
  <c r="D209" i="242"/>
  <c r="C209" i="242"/>
  <c r="AD208" i="242"/>
  <c r="X208" i="242"/>
  <c r="AD207" i="242"/>
  <c r="X207" i="242"/>
  <c r="AD206" i="242"/>
  <c r="X206" i="242"/>
  <c r="AC204" i="242"/>
  <c r="AB204" i="242"/>
  <c r="AA204" i="242"/>
  <c r="Z204" i="242"/>
  <c r="Y204" i="242"/>
  <c r="W204" i="242"/>
  <c r="V204" i="242"/>
  <c r="U204" i="242"/>
  <c r="T204" i="242"/>
  <c r="S204" i="242"/>
  <c r="Q204" i="242"/>
  <c r="P204" i="242"/>
  <c r="O204" i="242"/>
  <c r="N204" i="242"/>
  <c r="M204" i="242"/>
  <c r="L204" i="242"/>
  <c r="K204" i="242"/>
  <c r="J204" i="242"/>
  <c r="I204" i="242"/>
  <c r="H204" i="242"/>
  <c r="G204" i="242"/>
  <c r="F204" i="242"/>
  <c r="E204" i="242"/>
  <c r="D204" i="242"/>
  <c r="C204" i="242"/>
  <c r="AD203" i="242"/>
  <c r="X203" i="242"/>
  <c r="AD202" i="242"/>
  <c r="X202" i="242"/>
  <c r="AD201" i="242"/>
  <c r="X201" i="242"/>
  <c r="AC199" i="242"/>
  <c r="AB199" i="242"/>
  <c r="AA199" i="242"/>
  <c r="Z199" i="242"/>
  <c r="Y199" i="242"/>
  <c r="W199" i="242"/>
  <c r="V199" i="242"/>
  <c r="U199" i="242"/>
  <c r="T199" i="242"/>
  <c r="S199" i="242"/>
  <c r="Q199" i="242"/>
  <c r="P199" i="242"/>
  <c r="O199" i="242"/>
  <c r="N199" i="242"/>
  <c r="M199" i="242"/>
  <c r="L199" i="242"/>
  <c r="K199" i="242"/>
  <c r="J199" i="242"/>
  <c r="I199" i="242"/>
  <c r="H199" i="242"/>
  <c r="G199" i="242"/>
  <c r="F199" i="242"/>
  <c r="E199" i="242"/>
  <c r="D199" i="242"/>
  <c r="C199" i="242"/>
  <c r="AD192" i="242"/>
  <c r="X192" i="242"/>
  <c r="AD191" i="242"/>
  <c r="X191" i="242"/>
  <c r="AC189" i="242"/>
  <c r="AB189" i="242"/>
  <c r="AA189" i="242"/>
  <c r="Z189" i="242"/>
  <c r="Y189" i="242"/>
  <c r="W189" i="242"/>
  <c r="V189" i="242"/>
  <c r="U189" i="242"/>
  <c r="T189" i="242"/>
  <c r="S189" i="242"/>
  <c r="Q189" i="242"/>
  <c r="P189" i="242"/>
  <c r="O189" i="242"/>
  <c r="N189" i="242"/>
  <c r="M189" i="242"/>
  <c r="L189" i="242"/>
  <c r="K189" i="242"/>
  <c r="J189" i="242"/>
  <c r="I189" i="242"/>
  <c r="H189" i="242"/>
  <c r="G189" i="242"/>
  <c r="F189" i="242"/>
  <c r="E189" i="242"/>
  <c r="D189" i="242"/>
  <c r="C189" i="242"/>
  <c r="AC188" i="242"/>
  <c r="AB188" i="242"/>
  <c r="AA188" i="242"/>
  <c r="Z188" i="242"/>
  <c r="Y188" i="242"/>
  <c r="W188" i="242"/>
  <c r="V188" i="242"/>
  <c r="U188" i="242"/>
  <c r="T188" i="242"/>
  <c r="S188" i="242"/>
  <c r="Q188" i="242"/>
  <c r="P188" i="242"/>
  <c r="O188" i="242"/>
  <c r="N188" i="242"/>
  <c r="M188" i="242"/>
  <c r="L188" i="242"/>
  <c r="K188" i="242"/>
  <c r="J188" i="242"/>
  <c r="I188" i="242"/>
  <c r="H188" i="242"/>
  <c r="G188" i="242"/>
  <c r="F188" i="242"/>
  <c r="E188" i="242"/>
  <c r="D188" i="242"/>
  <c r="C188" i="242"/>
  <c r="AC187" i="242"/>
  <c r="AB187" i="242"/>
  <c r="AA187" i="242"/>
  <c r="Z187" i="242"/>
  <c r="Y187" i="242"/>
  <c r="W187" i="242"/>
  <c r="V187" i="242"/>
  <c r="U187" i="242"/>
  <c r="T187" i="242"/>
  <c r="S187" i="242"/>
  <c r="Q187" i="242"/>
  <c r="P187" i="242"/>
  <c r="O187" i="242"/>
  <c r="N187" i="242"/>
  <c r="M187" i="242"/>
  <c r="L187" i="242"/>
  <c r="K187" i="242"/>
  <c r="J187" i="242"/>
  <c r="I187" i="242"/>
  <c r="H187" i="242"/>
  <c r="G187" i="242"/>
  <c r="F187" i="242"/>
  <c r="E187" i="242"/>
  <c r="D187" i="242"/>
  <c r="C187" i="242"/>
  <c r="AC185" i="242"/>
  <c r="AB185" i="242"/>
  <c r="AA185" i="242"/>
  <c r="Z185" i="242"/>
  <c r="Y185" i="242"/>
  <c r="W185" i="242"/>
  <c r="V185" i="242"/>
  <c r="U185" i="242"/>
  <c r="T185" i="242"/>
  <c r="S185" i="242"/>
  <c r="Q185" i="242"/>
  <c r="P185" i="242"/>
  <c r="O185" i="242"/>
  <c r="N185" i="242"/>
  <c r="M185" i="242"/>
  <c r="L185" i="242"/>
  <c r="K185" i="242"/>
  <c r="J185" i="242"/>
  <c r="I185" i="242"/>
  <c r="H185" i="242"/>
  <c r="G185" i="242"/>
  <c r="F185" i="242"/>
  <c r="E185" i="242"/>
  <c r="D185" i="242"/>
  <c r="C185" i="242"/>
  <c r="AD184" i="242"/>
  <c r="X184" i="242"/>
  <c r="AD183" i="242"/>
  <c r="X183" i="242"/>
  <c r="AD182" i="242"/>
  <c r="X182" i="242"/>
  <c r="AC180" i="242"/>
  <c r="AB180" i="242"/>
  <c r="AA180" i="242"/>
  <c r="Z180" i="242"/>
  <c r="Y180" i="242"/>
  <c r="W180" i="242"/>
  <c r="V180" i="242"/>
  <c r="U180" i="242"/>
  <c r="T180" i="242"/>
  <c r="S180" i="242"/>
  <c r="Q180" i="242"/>
  <c r="P180" i="242"/>
  <c r="O180" i="242"/>
  <c r="N180" i="242"/>
  <c r="M180" i="242"/>
  <c r="L180" i="242"/>
  <c r="K180" i="242"/>
  <c r="J180" i="242"/>
  <c r="I180" i="242"/>
  <c r="H180" i="242"/>
  <c r="G180" i="242"/>
  <c r="F180" i="242"/>
  <c r="E180" i="242"/>
  <c r="D180" i="242"/>
  <c r="C180" i="242"/>
  <c r="AD179" i="242"/>
  <c r="X179" i="242"/>
  <c r="AD178" i="242"/>
  <c r="X178" i="242"/>
  <c r="AD177" i="242"/>
  <c r="X177" i="242"/>
  <c r="AC175" i="242"/>
  <c r="AB175" i="242"/>
  <c r="AA175" i="242"/>
  <c r="Z175" i="242"/>
  <c r="Y175" i="242"/>
  <c r="W175" i="242"/>
  <c r="V175" i="242"/>
  <c r="U175" i="242"/>
  <c r="T175" i="242"/>
  <c r="S175" i="242"/>
  <c r="Q175" i="242"/>
  <c r="P175" i="242"/>
  <c r="O175" i="242"/>
  <c r="N175" i="242"/>
  <c r="M175" i="242"/>
  <c r="L175" i="242"/>
  <c r="K175" i="242"/>
  <c r="J175" i="242"/>
  <c r="I175" i="242"/>
  <c r="H175" i="242"/>
  <c r="G175" i="242"/>
  <c r="F175" i="242"/>
  <c r="E175" i="242"/>
  <c r="D175" i="242"/>
  <c r="C175" i="242"/>
  <c r="AD174" i="242"/>
  <c r="X174" i="242"/>
  <c r="AD173" i="242"/>
  <c r="X173" i="242"/>
  <c r="AD172" i="242"/>
  <c r="X172" i="242"/>
  <c r="AC170" i="242"/>
  <c r="AB170" i="242"/>
  <c r="AA170" i="242"/>
  <c r="Z170" i="242"/>
  <c r="Y170" i="242"/>
  <c r="W170" i="242"/>
  <c r="V170" i="242"/>
  <c r="U170" i="242"/>
  <c r="T170" i="242"/>
  <c r="S170" i="242"/>
  <c r="Q170" i="242"/>
  <c r="P170" i="242"/>
  <c r="O170" i="242"/>
  <c r="N170" i="242"/>
  <c r="M170" i="242"/>
  <c r="L170" i="242"/>
  <c r="K170" i="242"/>
  <c r="J170" i="242"/>
  <c r="I170" i="242"/>
  <c r="H170" i="242"/>
  <c r="G170" i="242"/>
  <c r="F170" i="242"/>
  <c r="E170" i="242"/>
  <c r="D170" i="242"/>
  <c r="C170" i="242"/>
  <c r="AD163" i="242"/>
  <c r="X163" i="242"/>
  <c r="AD162" i="242"/>
  <c r="X162" i="242"/>
  <c r="AC160" i="242"/>
  <c r="AB160" i="242"/>
  <c r="AA160" i="242"/>
  <c r="Z160" i="242"/>
  <c r="Y160" i="242"/>
  <c r="W160" i="242"/>
  <c r="V160" i="242"/>
  <c r="U160" i="242"/>
  <c r="T160" i="242"/>
  <c r="S160" i="242"/>
  <c r="Q160" i="242"/>
  <c r="P160" i="242"/>
  <c r="O160" i="242"/>
  <c r="N160" i="242"/>
  <c r="M160" i="242"/>
  <c r="L160" i="242"/>
  <c r="K160" i="242"/>
  <c r="J160" i="242"/>
  <c r="I160" i="242"/>
  <c r="H160" i="242"/>
  <c r="G160" i="242"/>
  <c r="F160" i="242"/>
  <c r="E160" i="242"/>
  <c r="D160" i="242"/>
  <c r="C160" i="242"/>
  <c r="AC159" i="242"/>
  <c r="AB159" i="242"/>
  <c r="AA159" i="242"/>
  <c r="Z159" i="242"/>
  <c r="Y159" i="242"/>
  <c r="W159" i="242"/>
  <c r="V159" i="242"/>
  <c r="U159" i="242"/>
  <c r="T159" i="242"/>
  <c r="S159" i="242"/>
  <c r="Q159" i="242"/>
  <c r="P159" i="242"/>
  <c r="O159" i="242"/>
  <c r="N159" i="242"/>
  <c r="M159" i="242"/>
  <c r="L159" i="242"/>
  <c r="K159" i="242"/>
  <c r="J159" i="242"/>
  <c r="I159" i="242"/>
  <c r="H159" i="242"/>
  <c r="G159" i="242"/>
  <c r="F159" i="242"/>
  <c r="E159" i="242"/>
  <c r="D159" i="242"/>
  <c r="C159" i="242"/>
  <c r="AC158" i="242"/>
  <c r="AB158" i="242"/>
  <c r="AA158" i="242"/>
  <c r="Z158" i="242"/>
  <c r="Y158" i="242"/>
  <c r="W158" i="242"/>
  <c r="V158" i="242"/>
  <c r="U158" i="242"/>
  <c r="T158" i="242"/>
  <c r="S158" i="242"/>
  <c r="Q158" i="242"/>
  <c r="P158" i="242"/>
  <c r="O158" i="242"/>
  <c r="N158" i="242"/>
  <c r="N161" i="242" s="1"/>
  <c r="N164" i="242" s="1"/>
  <c r="N166" i="242" s="1"/>
  <c r="M158" i="242"/>
  <c r="L158" i="242"/>
  <c r="K158" i="242"/>
  <c r="J158" i="242"/>
  <c r="I158" i="242"/>
  <c r="H158" i="242"/>
  <c r="G158" i="242"/>
  <c r="F158" i="242"/>
  <c r="E158" i="242"/>
  <c r="D158" i="242"/>
  <c r="C158" i="242"/>
  <c r="AC156" i="242"/>
  <c r="AB156" i="242"/>
  <c r="AA156" i="242"/>
  <c r="Z156" i="242"/>
  <c r="Y156" i="242"/>
  <c r="W156" i="242"/>
  <c r="V156" i="242"/>
  <c r="U156" i="242"/>
  <c r="T156" i="242"/>
  <c r="S156" i="242"/>
  <c r="Q156" i="242"/>
  <c r="P156" i="242"/>
  <c r="O156" i="242"/>
  <c r="N156" i="242"/>
  <c r="M156" i="242"/>
  <c r="L156" i="242"/>
  <c r="K156" i="242"/>
  <c r="J156" i="242"/>
  <c r="I156" i="242"/>
  <c r="H156" i="242"/>
  <c r="G156" i="242"/>
  <c r="F156" i="242"/>
  <c r="E156" i="242"/>
  <c r="D156" i="242"/>
  <c r="C156" i="242"/>
  <c r="AD155" i="242"/>
  <c r="X155" i="242"/>
  <c r="AD154" i="242"/>
  <c r="X154" i="242"/>
  <c r="AD153" i="242"/>
  <c r="X153" i="242"/>
  <c r="AC151" i="242"/>
  <c r="AB151" i="242"/>
  <c r="AA151" i="242"/>
  <c r="Z151" i="242"/>
  <c r="Y151" i="242"/>
  <c r="W151" i="242"/>
  <c r="V151" i="242"/>
  <c r="U151" i="242"/>
  <c r="T151" i="242"/>
  <c r="S151" i="242"/>
  <c r="Q151" i="242"/>
  <c r="P151" i="242"/>
  <c r="O151" i="242"/>
  <c r="N151" i="242"/>
  <c r="M151" i="242"/>
  <c r="L151" i="242"/>
  <c r="K151" i="242"/>
  <c r="J151" i="242"/>
  <c r="I151" i="242"/>
  <c r="H151" i="242"/>
  <c r="G151" i="242"/>
  <c r="F151" i="242"/>
  <c r="E151" i="242"/>
  <c r="D151" i="242"/>
  <c r="C151" i="242"/>
  <c r="AD150" i="242"/>
  <c r="X150" i="242"/>
  <c r="AD149" i="242"/>
  <c r="X149" i="242"/>
  <c r="AD148" i="242"/>
  <c r="X148" i="242"/>
  <c r="AC146" i="242"/>
  <c r="AB146" i="242"/>
  <c r="AA146" i="242"/>
  <c r="Z146" i="242"/>
  <c r="Y146" i="242"/>
  <c r="W146" i="242"/>
  <c r="V146" i="242"/>
  <c r="U146" i="242"/>
  <c r="T146" i="242"/>
  <c r="S146" i="242"/>
  <c r="Q146" i="242"/>
  <c r="P146" i="242"/>
  <c r="O146" i="242"/>
  <c r="N146" i="242"/>
  <c r="M146" i="242"/>
  <c r="L146" i="242"/>
  <c r="K146" i="242"/>
  <c r="J146" i="242"/>
  <c r="I146" i="242"/>
  <c r="H146" i="242"/>
  <c r="G146" i="242"/>
  <c r="F146" i="242"/>
  <c r="E146" i="242"/>
  <c r="D146" i="242"/>
  <c r="C146" i="242"/>
  <c r="AD145" i="242"/>
  <c r="X145" i="242"/>
  <c r="AD144" i="242"/>
  <c r="X144" i="242"/>
  <c r="AD143" i="242"/>
  <c r="X143" i="242"/>
  <c r="W141" i="242"/>
  <c r="V141" i="242"/>
  <c r="U141" i="242"/>
  <c r="T141" i="242"/>
  <c r="S141" i="242"/>
  <c r="Q141" i="242"/>
  <c r="P141" i="242"/>
  <c r="O141" i="242"/>
  <c r="N141" i="242"/>
  <c r="M141" i="242"/>
  <c r="L141" i="242"/>
  <c r="K141" i="242"/>
  <c r="J141" i="242"/>
  <c r="I141" i="242"/>
  <c r="H141" i="242"/>
  <c r="G141" i="242"/>
  <c r="F141" i="242"/>
  <c r="E141" i="242"/>
  <c r="D141" i="242"/>
  <c r="C141" i="242"/>
  <c r="B141" i="242"/>
  <c r="B140" i="242"/>
  <c r="AD134" i="242"/>
  <c r="X134" i="242"/>
  <c r="AD133" i="242"/>
  <c r="X133" i="242"/>
  <c r="AC131" i="242"/>
  <c r="AB131" i="242"/>
  <c r="AA131" i="242"/>
  <c r="Z131" i="242"/>
  <c r="Y131" i="242"/>
  <c r="W131" i="242"/>
  <c r="V131" i="242"/>
  <c r="U131" i="242"/>
  <c r="T131" i="242"/>
  <c r="S131" i="242"/>
  <c r="Q131" i="242"/>
  <c r="P131" i="242"/>
  <c r="O131" i="242"/>
  <c r="N131" i="242"/>
  <c r="M131" i="242"/>
  <c r="L131" i="242"/>
  <c r="K131" i="242"/>
  <c r="J131" i="242"/>
  <c r="I131" i="242"/>
  <c r="H131" i="242"/>
  <c r="G131" i="242"/>
  <c r="F131" i="242"/>
  <c r="E131" i="242"/>
  <c r="D131" i="242"/>
  <c r="C131" i="242"/>
  <c r="AC130" i="242"/>
  <c r="AB130" i="242"/>
  <c r="AA130" i="242"/>
  <c r="Z130" i="242"/>
  <c r="Y130" i="242"/>
  <c r="W130" i="242"/>
  <c r="V130" i="242"/>
  <c r="U130" i="242"/>
  <c r="T130" i="242"/>
  <c r="S130" i="242"/>
  <c r="Q130" i="242"/>
  <c r="P130" i="242"/>
  <c r="O130" i="242"/>
  <c r="N130" i="242"/>
  <c r="M130" i="242"/>
  <c r="L130" i="242"/>
  <c r="K130" i="242"/>
  <c r="J130" i="242"/>
  <c r="I130" i="242"/>
  <c r="H130" i="242"/>
  <c r="G130" i="242"/>
  <c r="F130" i="242"/>
  <c r="E130" i="242"/>
  <c r="D130" i="242"/>
  <c r="C130" i="242"/>
  <c r="AC129" i="242"/>
  <c r="AB129" i="242"/>
  <c r="AA129" i="242"/>
  <c r="Z129" i="242"/>
  <c r="Y129" i="242"/>
  <c r="W129" i="242"/>
  <c r="V129" i="242"/>
  <c r="U129" i="242"/>
  <c r="T129" i="242"/>
  <c r="S129" i="242"/>
  <c r="Q129" i="242"/>
  <c r="P129" i="242"/>
  <c r="O129" i="242"/>
  <c r="N129" i="242"/>
  <c r="M129" i="242"/>
  <c r="L129" i="242"/>
  <c r="K129" i="242"/>
  <c r="J129" i="242"/>
  <c r="I129" i="242"/>
  <c r="H129" i="242"/>
  <c r="G129" i="242"/>
  <c r="F129" i="242"/>
  <c r="E129" i="242"/>
  <c r="D129" i="242"/>
  <c r="C129" i="242"/>
  <c r="AC127" i="242"/>
  <c r="AB127" i="242"/>
  <c r="AA127" i="242"/>
  <c r="Z127" i="242"/>
  <c r="Y127" i="242"/>
  <c r="W127" i="242"/>
  <c r="V127" i="242"/>
  <c r="U127" i="242"/>
  <c r="T127" i="242"/>
  <c r="S127" i="242"/>
  <c r="Q127" i="242"/>
  <c r="P127" i="242"/>
  <c r="O127" i="242"/>
  <c r="N127" i="242"/>
  <c r="M127" i="242"/>
  <c r="L127" i="242"/>
  <c r="K127" i="242"/>
  <c r="J127" i="242"/>
  <c r="I127" i="242"/>
  <c r="H127" i="242"/>
  <c r="G127" i="242"/>
  <c r="F127" i="242"/>
  <c r="E127" i="242"/>
  <c r="D127" i="242"/>
  <c r="C127" i="242"/>
  <c r="AD126" i="242"/>
  <c r="X126" i="242"/>
  <c r="AD125" i="242"/>
  <c r="X125" i="242"/>
  <c r="AD124" i="242"/>
  <c r="X124" i="242"/>
  <c r="AC122" i="242"/>
  <c r="AB122" i="242"/>
  <c r="AA122" i="242"/>
  <c r="Z122" i="242"/>
  <c r="Y122" i="242"/>
  <c r="W122" i="242"/>
  <c r="V122" i="242"/>
  <c r="U122" i="242"/>
  <c r="T122" i="242"/>
  <c r="S122" i="242"/>
  <c r="Q122" i="242"/>
  <c r="P122" i="242"/>
  <c r="O122" i="242"/>
  <c r="N122" i="242"/>
  <c r="M122" i="242"/>
  <c r="L122" i="242"/>
  <c r="K122" i="242"/>
  <c r="J122" i="242"/>
  <c r="I122" i="242"/>
  <c r="H122" i="242"/>
  <c r="G122" i="242"/>
  <c r="F122" i="242"/>
  <c r="E122" i="242"/>
  <c r="D122" i="242"/>
  <c r="C122" i="242"/>
  <c r="AD121" i="242"/>
  <c r="X121" i="242"/>
  <c r="AD120" i="242"/>
  <c r="X120" i="242"/>
  <c r="AD119" i="242"/>
  <c r="X119" i="242"/>
  <c r="AC117" i="242"/>
  <c r="AB117" i="242"/>
  <c r="AA117" i="242"/>
  <c r="Z117" i="242"/>
  <c r="Y117" i="242"/>
  <c r="W117" i="242"/>
  <c r="V117" i="242"/>
  <c r="U117" i="242"/>
  <c r="T117" i="242"/>
  <c r="S117" i="242"/>
  <c r="Q117" i="242"/>
  <c r="P117" i="242"/>
  <c r="O117" i="242"/>
  <c r="N117" i="242"/>
  <c r="M117" i="242"/>
  <c r="L117" i="242"/>
  <c r="K117" i="242"/>
  <c r="J117" i="242"/>
  <c r="I117" i="242"/>
  <c r="H117" i="242"/>
  <c r="G117" i="242"/>
  <c r="F117" i="242"/>
  <c r="E117" i="242"/>
  <c r="D117" i="242"/>
  <c r="C117" i="242"/>
  <c r="AD116" i="242"/>
  <c r="X116" i="242"/>
  <c r="AD115" i="242"/>
  <c r="X115" i="242"/>
  <c r="AD114" i="242"/>
  <c r="X114" i="242"/>
  <c r="W112" i="242"/>
  <c r="V112" i="242"/>
  <c r="U112" i="242"/>
  <c r="T112" i="242"/>
  <c r="S112" i="242"/>
  <c r="Q112" i="242"/>
  <c r="P112" i="242"/>
  <c r="O112" i="242"/>
  <c r="N112" i="242"/>
  <c r="M112" i="242"/>
  <c r="L112" i="242"/>
  <c r="K112" i="242"/>
  <c r="J112" i="242"/>
  <c r="I112" i="242"/>
  <c r="H112" i="242"/>
  <c r="G112" i="242"/>
  <c r="F112" i="242"/>
  <c r="E112" i="242"/>
  <c r="D112" i="242"/>
  <c r="C112" i="242"/>
  <c r="B112" i="242"/>
  <c r="B111" i="242"/>
  <c r="AD105" i="242"/>
  <c r="X105" i="242"/>
  <c r="AD104" i="242"/>
  <c r="X104" i="242"/>
  <c r="AC102" i="242"/>
  <c r="AB102" i="242"/>
  <c r="AA102" i="242"/>
  <c r="Z102" i="242"/>
  <c r="Y102" i="242"/>
  <c r="W102" i="242"/>
  <c r="V102" i="242"/>
  <c r="U102" i="242"/>
  <c r="T102" i="242"/>
  <c r="S102" i="242"/>
  <c r="Q102" i="242"/>
  <c r="P102" i="242"/>
  <c r="O102" i="242"/>
  <c r="N102" i="242"/>
  <c r="M102" i="242"/>
  <c r="L102" i="242"/>
  <c r="K102" i="242"/>
  <c r="J102" i="242"/>
  <c r="I102" i="242"/>
  <c r="H102" i="242"/>
  <c r="G102" i="242"/>
  <c r="F102" i="242"/>
  <c r="E102" i="242"/>
  <c r="D102" i="242"/>
  <c r="C102" i="242"/>
  <c r="AC101" i="242"/>
  <c r="AB101" i="242"/>
  <c r="AA101" i="242"/>
  <c r="Z101" i="242"/>
  <c r="Y101" i="242"/>
  <c r="W101" i="242"/>
  <c r="V101" i="242"/>
  <c r="U101" i="242"/>
  <c r="T101" i="242"/>
  <c r="S101" i="242"/>
  <c r="Q101" i="242"/>
  <c r="P101" i="242"/>
  <c r="O101" i="242"/>
  <c r="N101" i="242"/>
  <c r="M101" i="242"/>
  <c r="L101" i="242"/>
  <c r="K101" i="242"/>
  <c r="J101" i="242"/>
  <c r="I101" i="242"/>
  <c r="H101" i="242"/>
  <c r="G101" i="242"/>
  <c r="F101" i="242"/>
  <c r="E101" i="242"/>
  <c r="D101" i="242"/>
  <c r="C101" i="242"/>
  <c r="AC100" i="242"/>
  <c r="AB100" i="242"/>
  <c r="AA100" i="242"/>
  <c r="Z100" i="242"/>
  <c r="Y100" i="242"/>
  <c r="W100" i="242"/>
  <c r="V100" i="242"/>
  <c r="U100" i="242"/>
  <c r="T100" i="242"/>
  <c r="S100" i="242"/>
  <c r="Q100" i="242"/>
  <c r="P100" i="242"/>
  <c r="O100" i="242"/>
  <c r="N100" i="242"/>
  <c r="M100" i="242"/>
  <c r="L100" i="242"/>
  <c r="K100" i="242"/>
  <c r="J100" i="242"/>
  <c r="I100" i="242"/>
  <c r="H100" i="242"/>
  <c r="G100" i="242"/>
  <c r="F100" i="242"/>
  <c r="E100" i="242"/>
  <c r="D100" i="242"/>
  <c r="C100" i="242"/>
  <c r="AC98" i="242"/>
  <c r="AB98" i="242"/>
  <c r="AA98" i="242"/>
  <c r="Z98" i="242"/>
  <c r="Y98" i="242"/>
  <c r="W98" i="242"/>
  <c r="V98" i="242"/>
  <c r="U98" i="242"/>
  <c r="T98" i="242"/>
  <c r="S98" i="242"/>
  <c r="Q98" i="242"/>
  <c r="P98" i="242"/>
  <c r="O98" i="242"/>
  <c r="N98" i="242"/>
  <c r="M98" i="242"/>
  <c r="L98" i="242"/>
  <c r="K98" i="242"/>
  <c r="J98" i="242"/>
  <c r="I98" i="242"/>
  <c r="H98" i="242"/>
  <c r="G98" i="242"/>
  <c r="F98" i="242"/>
  <c r="E98" i="242"/>
  <c r="D98" i="242"/>
  <c r="C98" i="242"/>
  <c r="AD97" i="242"/>
  <c r="X97" i="242"/>
  <c r="AD96" i="242"/>
  <c r="X96" i="242"/>
  <c r="AD95" i="242"/>
  <c r="X95" i="242"/>
  <c r="AC93" i="242"/>
  <c r="AB93" i="242"/>
  <c r="AA93" i="242"/>
  <c r="Z93" i="242"/>
  <c r="Y93" i="242"/>
  <c r="W93" i="242"/>
  <c r="V93" i="242"/>
  <c r="U93" i="242"/>
  <c r="T93" i="242"/>
  <c r="S93" i="242"/>
  <c r="Q93" i="242"/>
  <c r="P93" i="242"/>
  <c r="O93" i="242"/>
  <c r="N93" i="242"/>
  <c r="M93" i="242"/>
  <c r="L93" i="242"/>
  <c r="K93" i="242"/>
  <c r="J93" i="242"/>
  <c r="I93" i="242"/>
  <c r="H93" i="242"/>
  <c r="G93" i="242"/>
  <c r="F93" i="242"/>
  <c r="E93" i="242"/>
  <c r="D93" i="242"/>
  <c r="C93" i="242"/>
  <c r="AD92" i="242"/>
  <c r="X92" i="242"/>
  <c r="AD91" i="242"/>
  <c r="X91" i="242"/>
  <c r="AD90" i="242"/>
  <c r="X90" i="242"/>
  <c r="AC88" i="242"/>
  <c r="AB88" i="242"/>
  <c r="AA88" i="242"/>
  <c r="Z88" i="242"/>
  <c r="Y88" i="242"/>
  <c r="W88" i="242"/>
  <c r="V88" i="242"/>
  <c r="U88" i="242"/>
  <c r="T88" i="242"/>
  <c r="S88" i="242"/>
  <c r="Q88" i="242"/>
  <c r="P88" i="242"/>
  <c r="O88" i="242"/>
  <c r="N88" i="242"/>
  <c r="M88" i="242"/>
  <c r="L88" i="242"/>
  <c r="K88" i="242"/>
  <c r="J88" i="242"/>
  <c r="I88" i="242"/>
  <c r="H88" i="242"/>
  <c r="G88" i="242"/>
  <c r="F88" i="242"/>
  <c r="E88" i="242"/>
  <c r="D88" i="242"/>
  <c r="C88" i="242"/>
  <c r="AD87" i="242"/>
  <c r="X87" i="242"/>
  <c r="AD86" i="242"/>
  <c r="X86" i="242"/>
  <c r="AD85" i="242"/>
  <c r="X85" i="242"/>
  <c r="AC83" i="242"/>
  <c r="AB83" i="242"/>
  <c r="AA83" i="242"/>
  <c r="Z83" i="242"/>
  <c r="Y83" i="242"/>
  <c r="X83" i="242"/>
  <c r="W83" i="242"/>
  <c r="V83" i="242"/>
  <c r="U83" i="242"/>
  <c r="T83" i="242"/>
  <c r="S83" i="242"/>
  <c r="Q83" i="242"/>
  <c r="P83" i="242"/>
  <c r="O83" i="242"/>
  <c r="N83" i="242"/>
  <c r="M83" i="242"/>
  <c r="L83" i="242"/>
  <c r="K83" i="242"/>
  <c r="J83" i="242"/>
  <c r="I83" i="242"/>
  <c r="H83" i="242"/>
  <c r="G83" i="242"/>
  <c r="F83" i="242"/>
  <c r="E83" i="242"/>
  <c r="D83" i="242"/>
  <c r="C83" i="242"/>
  <c r="B83" i="242"/>
  <c r="B82" i="242"/>
  <c r="AD79" i="242"/>
  <c r="X79" i="242"/>
  <c r="B79" i="242"/>
  <c r="AD78" i="242"/>
  <c r="X78" i="242"/>
  <c r="B78" i="242"/>
  <c r="AD77" i="242"/>
  <c r="X77" i="242"/>
  <c r="B77" i="242"/>
  <c r="AD76" i="242"/>
  <c r="X76" i="242"/>
  <c r="B76" i="242"/>
  <c r="AD75" i="242"/>
  <c r="X75" i="242"/>
  <c r="B75" i="242"/>
  <c r="AD73" i="242"/>
  <c r="X73" i="242"/>
  <c r="B73" i="242"/>
  <c r="AD72" i="242"/>
  <c r="X72" i="242"/>
  <c r="B72" i="242"/>
  <c r="AD71" i="242"/>
  <c r="X71" i="242"/>
  <c r="B71" i="242"/>
  <c r="AD70" i="242"/>
  <c r="X70" i="242"/>
  <c r="B70" i="242"/>
  <c r="AD69" i="242"/>
  <c r="X69" i="242"/>
  <c r="B69" i="242"/>
  <c r="AD67" i="242"/>
  <c r="X67" i="242"/>
  <c r="B67" i="242"/>
  <c r="AD66" i="242"/>
  <c r="X66" i="242"/>
  <c r="B66" i="242"/>
  <c r="AD65" i="242"/>
  <c r="X65" i="242"/>
  <c r="B65" i="242"/>
  <c r="AD64" i="242"/>
  <c r="X64" i="242"/>
  <c r="B64" i="242"/>
  <c r="AD63" i="242"/>
  <c r="X63" i="242"/>
  <c r="B63" i="242"/>
  <c r="Y59" i="242"/>
  <c r="H59" i="242"/>
  <c r="AD52" i="242"/>
  <c r="X52" i="242"/>
  <c r="B52" i="242"/>
  <c r="AD51" i="242"/>
  <c r="X51" i="242"/>
  <c r="B51" i="242"/>
  <c r="AD50" i="242"/>
  <c r="X50" i="242"/>
  <c r="B50" i="242"/>
  <c r="AD49" i="242"/>
  <c r="X49" i="242"/>
  <c r="B49" i="242"/>
  <c r="AD48" i="242"/>
  <c r="X48" i="242"/>
  <c r="B48" i="242"/>
  <c r="AD46" i="242"/>
  <c r="X46" i="242"/>
  <c r="B46" i="242"/>
  <c r="AD45" i="242"/>
  <c r="X45" i="242"/>
  <c r="B45" i="242"/>
  <c r="AD44" i="242"/>
  <c r="X44" i="242"/>
  <c r="B44" i="242"/>
  <c r="AD43" i="242"/>
  <c r="X43" i="242"/>
  <c r="B43" i="242"/>
  <c r="AD42" i="242"/>
  <c r="X42" i="242"/>
  <c r="B42" i="242"/>
  <c r="AD40" i="242"/>
  <c r="X40" i="242"/>
  <c r="B40" i="242"/>
  <c r="AD39" i="242"/>
  <c r="X39" i="242"/>
  <c r="B39" i="242"/>
  <c r="AD38" i="242"/>
  <c r="X38" i="242"/>
  <c r="B38" i="242"/>
  <c r="AD37" i="242"/>
  <c r="X37" i="242"/>
  <c r="B37" i="242"/>
  <c r="AD36" i="242"/>
  <c r="X36" i="242"/>
  <c r="B36" i="242"/>
  <c r="AD30" i="242"/>
  <c r="X30" i="242"/>
  <c r="AC29" i="242"/>
  <c r="AC31" i="242" s="1"/>
  <c r="AB29" i="242"/>
  <c r="AB31" i="242" s="1"/>
  <c r="AA29" i="242"/>
  <c r="AA31" i="242" s="1"/>
  <c r="Z29" i="242"/>
  <c r="Z31" i="242" s="1"/>
  <c r="Y29" i="242"/>
  <c r="Y31" i="242" s="1"/>
  <c r="W29" i="242"/>
  <c r="W31" i="242" s="1"/>
  <c r="V29" i="242"/>
  <c r="V31" i="242" s="1"/>
  <c r="U29" i="242"/>
  <c r="U31" i="242" s="1"/>
  <c r="T29" i="242"/>
  <c r="T31" i="242" s="1"/>
  <c r="S29" i="242"/>
  <c r="S31" i="242" s="1"/>
  <c r="Q29" i="242"/>
  <c r="Q31" i="242" s="1"/>
  <c r="P29" i="242"/>
  <c r="P31" i="242" s="1"/>
  <c r="O29" i="242"/>
  <c r="O31" i="242" s="1"/>
  <c r="N29" i="242"/>
  <c r="N31" i="242" s="1"/>
  <c r="M29" i="242"/>
  <c r="M31" i="242" s="1"/>
  <c r="L29" i="242"/>
  <c r="L31" i="242" s="1"/>
  <c r="K29" i="242"/>
  <c r="K31" i="242" s="1"/>
  <c r="J29" i="242"/>
  <c r="J31" i="242" s="1"/>
  <c r="I29" i="242"/>
  <c r="I31" i="242" s="1"/>
  <c r="H29" i="242"/>
  <c r="G29" i="242"/>
  <c r="G31" i="242" s="1"/>
  <c r="F29" i="242"/>
  <c r="F31" i="242" s="1"/>
  <c r="E29" i="242"/>
  <c r="E31" i="242" s="1"/>
  <c r="D29" i="242"/>
  <c r="C29" i="242"/>
  <c r="C31" i="242" s="1"/>
  <c r="AD28" i="242"/>
  <c r="X28" i="242"/>
  <c r="X199" i="242" s="1"/>
  <c r="AD27" i="242"/>
  <c r="X27" i="242"/>
  <c r="X170" i="242" s="1"/>
  <c r="AD26" i="242"/>
  <c r="X26" i="242"/>
  <c r="X141" i="242" s="1"/>
  <c r="AD25" i="242"/>
  <c r="X25" i="242"/>
  <c r="AD24" i="242"/>
  <c r="Y21" i="242"/>
  <c r="H21" i="242"/>
  <c r="I219" i="242"/>
  <c r="T190" i="242"/>
  <c r="T193" i="242" s="1"/>
  <c r="T195" i="242" s="1"/>
  <c r="N260" i="242"/>
  <c r="N266" i="242" s="1"/>
  <c r="P260" i="242"/>
  <c r="N262" i="242"/>
  <c r="P262" i="242"/>
  <c r="O259" i="242"/>
  <c r="M260" i="242"/>
  <c r="O260" i="242"/>
  <c r="Q260" i="242"/>
  <c r="Q266" i="242" s="1"/>
  <c r="M261" i="242"/>
  <c r="M267" i="242" s="1"/>
  <c r="M262" i="242"/>
  <c r="O262" i="242"/>
  <c r="Q262" i="242"/>
  <c r="M263" i="242"/>
  <c r="M269" i="242" s="1"/>
  <c r="Q263" i="242"/>
  <c r="Q269" i="242" s="1"/>
  <c r="B9" i="237"/>
  <c r="B8" i="237"/>
  <c r="F34" i="234"/>
  <c r="F62" i="234"/>
  <c r="E8" i="238"/>
  <c r="E8" i="239"/>
  <c r="E8" i="205"/>
  <c r="E24" i="232"/>
  <c r="E20" i="231"/>
  <c r="I46" i="230"/>
  <c r="I48" i="230" s="1"/>
  <c r="I23" i="230"/>
  <c r="D20" i="230"/>
  <c r="C51" i="234"/>
  <c r="C42" i="234"/>
  <c r="A76" i="233"/>
  <c r="G39" i="223"/>
  <c r="F39" i="223"/>
  <c r="E39" i="223"/>
  <c r="D39" i="223"/>
  <c r="C39" i="223"/>
  <c r="B39" i="223"/>
  <c r="G37" i="223"/>
  <c r="F37" i="223"/>
  <c r="E37" i="223"/>
  <c r="D37" i="223"/>
  <c r="C37" i="223"/>
  <c r="B37" i="223"/>
  <c r="G35" i="223"/>
  <c r="F35" i="223"/>
  <c r="E35" i="223"/>
  <c r="D35" i="223"/>
  <c r="C35" i="223"/>
  <c r="B35" i="223"/>
  <c r="G33" i="223"/>
  <c r="F33" i="223"/>
  <c r="E33" i="223"/>
  <c r="D33" i="223"/>
  <c r="C33" i="223"/>
  <c r="B33" i="223"/>
  <c r="N31" i="223"/>
  <c r="G24" i="223"/>
  <c r="F24" i="223"/>
  <c r="E24" i="223"/>
  <c r="D24" i="223"/>
  <c r="C24" i="223"/>
  <c r="B24" i="223"/>
  <c r="G22" i="223"/>
  <c r="F22" i="223"/>
  <c r="E22" i="223"/>
  <c r="D22" i="223"/>
  <c r="C22" i="223"/>
  <c r="B22" i="223"/>
  <c r="G20" i="223"/>
  <c r="F20" i="223"/>
  <c r="E20" i="223"/>
  <c r="D20" i="223"/>
  <c r="C20" i="223"/>
  <c r="B20" i="223"/>
  <c r="G18" i="223"/>
  <c r="F18" i="223"/>
  <c r="E18" i="223"/>
  <c r="D18" i="223"/>
  <c r="C18" i="223"/>
  <c r="B18" i="223"/>
  <c r="N16" i="223"/>
  <c r="D316" i="206"/>
  <c r="D305" i="206"/>
  <c r="D292" i="206"/>
  <c r="D20" i="203"/>
  <c r="H36" i="224"/>
  <c r="H20" i="224"/>
  <c r="J45" i="224"/>
  <c r="J29" i="224"/>
  <c r="H82" i="222"/>
  <c r="H71" i="222"/>
  <c r="H22" i="222"/>
  <c r="E22" i="232"/>
  <c r="S54" i="231"/>
  <c r="T54" i="231"/>
  <c r="U54" i="231"/>
  <c r="V54" i="231"/>
  <c r="W54" i="231"/>
  <c r="X54" i="231"/>
  <c r="Y54" i="231"/>
  <c r="Z54" i="231"/>
  <c r="AA54" i="231"/>
  <c r="AB54" i="231"/>
  <c r="AC54" i="231"/>
  <c r="K86" i="222"/>
  <c r="K75" i="222"/>
  <c r="K63" i="222"/>
  <c r="G54" i="231"/>
  <c r="G49" i="231"/>
  <c r="G46" i="230"/>
  <c r="G48" i="230" s="1"/>
  <c r="G23" i="230"/>
  <c r="C24" i="234"/>
  <c r="F65" i="234"/>
  <c r="J17" i="191"/>
  <c r="H41" i="221"/>
  <c r="H29" i="221"/>
  <c r="H17" i="221"/>
  <c r="K34" i="221"/>
  <c r="K22" i="221"/>
  <c r="H15" i="220"/>
  <c r="J24" i="220"/>
  <c r="H61" i="218"/>
  <c r="H20" i="218"/>
  <c r="J54" i="218"/>
  <c r="B10" i="218"/>
  <c r="B9" i="94"/>
  <c r="C49" i="217"/>
  <c r="C18" i="217"/>
  <c r="C97" i="217"/>
  <c r="C89" i="217"/>
  <c r="E83" i="217" s="1"/>
  <c r="E89" i="217" s="1"/>
  <c r="C81" i="217"/>
  <c r="E75" i="217" s="1"/>
  <c r="E81" i="217" s="1"/>
  <c r="C73" i="217"/>
  <c r="D67" i="217" s="1"/>
  <c r="D73" i="217" s="1"/>
  <c r="F67" i="217" s="1"/>
  <c r="F73" i="217" s="1"/>
  <c r="G67" i="217" s="1"/>
  <c r="G73" i="217" s="1"/>
  <c r="D75" i="217"/>
  <c r="D81" i="217" s="1"/>
  <c r="F75" i="217" s="1"/>
  <c r="F81" i="217" s="1"/>
  <c r="G75" i="217" s="1"/>
  <c r="G81" i="217" s="1"/>
  <c r="B32" i="211"/>
  <c r="B56" i="211"/>
  <c r="B80" i="211"/>
  <c r="B20" i="211"/>
  <c r="B44" i="211"/>
  <c r="B68" i="211"/>
  <c r="H72" i="201"/>
  <c r="H55" i="201"/>
  <c r="H37" i="201"/>
  <c r="H20" i="201"/>
  <c r="H19" i="211"/>
  <c r="N129" i="223"/>
  <c r="N110" i="223"/>
  <c r="N91" i="223"/>
  <c r="N73" i="223"/>
  <c r="N60" i="223"/>
  <c r="N46" i="223"/>
  <c r="H70" i="210"/>
  <c r="H52" i="210"/>
  <c r="H42" i="210"/>
  <c r="Q34" i="210"/>
  <c r="H18" i="210"/>
  <c r="I114" i="239"/>
  <c r="H114" i="239"/>
  <c r="P109" i="239"/>
  <c r="O109" i="239"/>
  <c r="O112" i="239" s="1"/>
  <c r="N109" i="239"/>
  <c r="M109" i="239"/>
  <c r="M112" i="239" s="1"/>
  <c r="M114" i="239" s="1"/>
  <c r="L109" i="239"/>
  <c r="L112" i="239" s="1"/>
  <c r="L114" i="239" s="1"/>
  <c r="J104" i="239"/>
  <c r="P99" i="239"/>
  <c r="P102" i="239" s="1"/>
  <c r="P104" i="239" s="1"/>
  <c r="O99" i="239"/>
  <c r="O102" i="239" s="1"/>
  <c r="O104" i="239" s="1"/>
  <c r="N99" i="239"/>
  <c r="N102" i="239" s="1"/>
  <c r="M99" i="239"/>
  <c r="M102" i="239" s="1"/>
  <c r="L99" i="239"/>
  <c r="L102" i="239" s="1"/>
  <c r="L94" i="239"/>
  <c r="L19" i="239"/>
  <c r="L63" i="235"/>
  <c r="K38" i="235"/>
  <c r="J38" i="235"/>
  <c r="J40" i="235" s="1"/>
  <c r="I38" i="235"/>
  <c r="H38" i="235"/>
  <c r="H40" i="235" s="1"/>
  <c r="G38" i="235"/>
  <c r="G40" i="235" s="1"/>
  <c r="U35" i="235"/>
  <c r="U38" i="235"/>
  <c r="U40" i="235" s="1"/>
  <c r="T35" i="235"/>
  <c r="T38" i="235"/>
  <c r="T40" i="235" s="1"/>
  <c r="S35" i="235"/>
  <c r="S38" i="235"/>
  <c r="R35" i="235"/>
  <c r="R38" i="235"/>
  <c r="R40" i="235"/>
  <c r="Q35" i="235"/>
  <c r="Q38" i="235"/>
  <c r="Q40" i="235" s="1"/>
  <c r="P35" i="235"/>
  <c r="P38" i="235"/>
  <c r="P40" i="235" s="1"/>
  <c r="O35" i="235"/>
  <c r="O38" i="235"/>
  <c r="O40" i="235" s="1"/>
  <c r="N35" i="235"/>
  <c r="N38" i="235"/>
  <c r="N40" i="235" s="1"/>
  <c r="M35" i="235"/>
  <c r="M38" i="235"/>
  <c r="M40" i="235" s="1"/>
  <c r="L35" i="235"/>
  <c r="L38" i="235"/>
  <c r="L40" i="235" s="1"/>
  <c r="L88" i="235"/>
  <c r="L91" i="235"/>
  <c r="L68" i="235"/>
  <c r="L45" i="235"/>
  <c r="L48" i="235" s="1"/>
  <c r="L50" i="235" s="1"/>
  <c r="L25" i="235"/>
  <c r="L20" i="235"/>
  <c r="P112" i="239"/>
  <c r="P114" i="239" s="1"/>
  <c r="L28" i="235"/>
  <c r="L30" i="235" s="1"/>
  <c r="L71" i="235"/>
  <c r="L73" i="235" s="1"/>
  <c r="I242" i="206"/>
  <c r="I170" i="206"/>
  <c r="I118" i="206"/>
  <c r="I67" i="206"/>
  <c r="I50" i="206"/>
  <c r="I23" i="206"/>
  <c r="J247" i="206"/>
  <c r="J232" i="206"/>
  <c r="J203" i="206"/>
  <c r="J206" i="206" s="1"/>
  <c r="J196" i="206"/>
  <c r="J149" i="206"/>
  <c r="J152" i="206" s="1"/>
  <c r="J154" i="206" s="1"/>
  <c r="J140" i="206"/>
  <c r="J143" i="206" s="1"/>
  <c r="J145" i="206" s="1"/>
  <c r="J131" i="206"/>
  <c r="J122" i="206"/>
  <c r="J110" i="206"/>
  <c r="J108" i="206"/>
  <c r="J107" i="206"/>
  <c r="J105" i="206"/>
  <c r="J104" i="206"/>
  <c r="J103" i="206"/>
  <c r="J102" i="206"/>
  <c r="J95" i="206"/>
  <c r="J98" i="206" s="1"/>
  <c r="J100" i="206" s="1"/>
  <c r="J84" i="206"/>
  <c r="J87" i="206" s="1"/>
  <c r="J89" i="206" s="1"/>
  <c r="J73" i="206"/>
  <c r="J76" i="206" s="1"/>
  <c r="J41" i="206"/>
  <c r="J38" i="206"/>
  <c r="J35" i="206"/>
  <c r="J32" i="206"/>
  <c r="J29" i="206"/>
  <c r="J26" i="206"/>
  <c r="E138" i="238"/>
  <c r="E111" i="238"/>
  <c r="L89" i="238"/>
  <c r="E69" i="238"/>
  <c r="K38" i="238"/>
  <c r="K40" i="238" s="1"/>
  <c r="J38" i="238"/>
  <c r="J40" i="238" s="1"/>
  <c r="I38" i="238"/>
  <c r="I40" i="238" s="1"/>
  <c r="H38" i="238"/>
  <c r="H40" i="238" s="1"/>
  <c r="G38" i="238"/>
  <c r="G40" i="238" s="1"/>
  <c r="V35" i="238"/>
  <c r="V38" i="238"/>
  <c r="V40" i="238" s="1"/>
  <c r="U35" i="238"/>
  <c r="U38" i="238"/>
  <c r="U40" i="238" s="1"/>
  <c r="T35" i="238"/>
  <c r="T38" i="238"/>
  <c r="T40" i="238" s="1"/>
  <c r="S35" i="238"/>
  <c r="S38" i="238"/>
  <c r="S40" i="238" s="1"/>
  <c r="R35" i="238"/>
  <c r="R38" i="238"/>
  <c r="R40" i="238" s="1"/>
  <c r="P35" i="238"/>
  <c r="O35" i="238"/>
  <c r="N35" i="238"/>
  <c r="M35" i="238"/>
  <c r="L35" i="238"/>
  <c r="M132" i="238"/>
  <c r="M135" i="238" s="1"/>
  <c r="M137" i="238" s="1"/>
  <c r="M122" i="238"/>
  <c r="M125" i="238" s="1"/>
  <c r="M127" i="238" s="1"/>
  <c r="M105" i="238"/>
  <c r="M108" i="238" s="1"/>
  <c r="M110" i="238" s="1"/>
  <c r="M95" i="238"/>
  <c r="M98" i="238" s="1"/>
  <c r="E41" i="238"/>
  <c r="L19" i="238"/>
  <c r="M63" i="238"/>
  <c r="M53" i="238"/>
  <c r="M25" i="238"/>
  <c r="K137" i="238"/>
  <c r="J137" i="238"/>
  <c r="I137" i="238"/>
  <c r="H137" i="238"/>
  <c r="G137" i="238"/>
  <c r="P132" i="238"/>
  <c r="P135" i="238" s="1"/>
  <c r="P137" i="238" s="1"/>
  <c r="O132" i="238"/>
  <c r="O135" i="238" s="1"/>
  <c r="O137" i="238" s="1"/>
  <c r="N132" i="238"/>
  <c r="N135" i="238" s="1"/>
  <c r="N137" i="238" s="1"/>
  <c r="L132" i="238"/>
  <c r="L135" i="238" s="1"/>
  <c r="L137" i="238" s="1"/>
  <c r="K127" i="238"/>
  <c r="J127" i="238"/>
  <c r="I127" i="238"/>
  <c r="H127" i="238"/>
  <c r="G127" i="238"/>
  <c r="P122" i="238"/>
  <c r="P125" i="238" s="1"/>
  <c r="O122" i="238"/>
  <c r="O125" i="238" s="1"/>
  <c r="O127" i="238" s="1"/>
  <c r="N122" i="238"/>
  <c r="L122" i="238"/>
  <c r="J110" i="238"/>
  <c r="H110" i="238"/>
  <c r="P105" i="238"/>
  <c r="P108" i="238" s="1"/>
  <c r="O105" i="238"/>
  <c r="O108" i="238" s="1"/>
  <c r="O110" i="238" s="1"/>
  <c r="N105" i="238"/>
  <c r="N108" i="238" s="1"/>
  <c r="N110" i="238" s="1"/>
  <c r="L105" i="238"/>
  <c r="L108" i="238" s="1"/>
  <c r="L110" i="238" s="1"/>
  <c r="K100" i="238"/>
  <c r="I100" i="238"/>
  <c r="G100" i="238"/>
  <c r="P95" i="238"/>
  <c r="P98" i="238" s="1"/>
  <c r="P100" i="238" s="1"/>
  <c r="O95" i="238"/>
  <c r="O98" i="238" s="1"/>
  <c r="O100" i="238" s="1"/>
  <c r="N95" i="238"/>
  <c r="N98" i="238"/>
  <c r="L95" i="238"/>
  <c r="L98" i="238" s="1"/>
  <c r="L100" i="238" s="1"/>
  <c r="Q82" i="238"/>
  <c r="Q81" i="238"/>
  <c r="Q80" i="238"/>
  <c r="Q79" i="238"/>
  <c r="Q78" i="238"/>
  <c r="Q77" i="238"/>
  <c r="K66" i="238"/>
  <c r="K68" i="238" s="1"/>
  <c r="J66" i="238"/>
  <c r="J68" i="238" s="1"/>
  <c r="I66" i="238"/>
  <c r="I68" i="238" s="1"/>
  <c r="H66" i="238"/>
  <c r="H68" i="238"/>
  <c r="G66" i="238"/>
  <c r="G68" i="238" s="1"/>
  <c r="V63" i="238"/>
  <c r="V66" i="238"/>
  <c r="V68" i="238"/>
  <c r="U63" i="238"/>
  <c r="U66" i="238"/>
  <c r="U68" i="238" s="1"/>
  <c r="T63" i="238"/>
  <c r="T66" i="238"/>
  <c r="T68" i="238" s="1"/>
  <c r="S63" i="238"/>
  <c r="S66" i="238"/>
  <c r="S68" i="238" s="1"/>
  <c r="R63" i="238"/>
  <c r="R66" i="238"/>
  <c r="R68" i="238" s="1"/>
  <c r="P63" i="238"/>
  <c r="O63" i="238"/>
  <c r="N63" i="238"/>
  <c r="L63" i="238"/>
  <c r="K56" i="238"/>
  <c r="K58" i="238" s="1"/>
  <c r="J56" i="238"/>
  <c r="J58" i="238" s="1"/>
  <c r="I56" i="238"/>
  <c r="I58" i="238" s="1"/>
  <c r="H56" i="238"/>
  <c r="H58" i="238" s="1"/>
  <c r="G56" i="238"/>
  <c r="V53" i="238"/>
  <c r="U53" i="238"/>
  <c r="T53" i="238"/>
  <c r="S53" i="238"/>
  <c r="R53" i="238"/>
  <c r="P53" i="238"/>
  <c r="O53" i="238"/>
  <c r="N53" i="238"/>
  <c r="L53" i="238"/>
  <c r="K28" i="238"/>
  <c r="K30" i="238" s="1"/>
  <c r="J28" i="238"/>
  <c r="J30" i="238" s="1"/>
  <c r="I28" i="238"/>
  <c r="I30" i="238" s="1"/>
  <c r="H28" i="238"/>
  <c r="H30" i="238" s="1"/>
  <c r="G28" i="238"/>
  <c r="G30" i="238" s="1"/>
  <c r="V25" i="238"/>
  <c r="U25" i="238"/>
  <c r="T25" i="238"/>
  <c r="S25" i="238"/>
  <c r="R25" i="238"/>
  <c r="P25" i="238"/>
  <c r="O25" i="238"/>
  <c r="N25" i="238"/>
  <c r="L25" i="238"/>
  <c r="N125" i="238"/>
  <c r="N127" i="238" s="1"/>
  <c r="J179" i="206"/>
  <c r="J176" i="206"/>
  <c r="J178" i="206" s="1"/>
  <c r="J134" i="206"/>
  <c r="J136" i="206" s="1"/>
  <c r="J208" i="206"/>
  <c r="J209" i="206" s="1"/>
  <c r="J250" i="206"/>
  <c r="J252" i="206" s="1"/>
  <c r="T56" i="238"/>
  <c r="L38" i="238"/>
  <c r="L40" i="238" s="1"/>
  <c r="N38" i="238"/>
  <c r="N40" i="238"/>
  <c r="P38" i="238"/>
  <c r="P40" i="238" s="1"/>
  <c r="N56" i="238"/>
  <c r="N58" i="238" s="1"/>
  <c r="V28" i="238"/>
  <c r="S56" i="238"/>
  <c r="S58" i="238" s="1"/>
  <c r="P56" i="238"/>
  <c r="R56" i="238"/>
  <c r="R58" i="238" s="1"/>
  <c r="V56" i="238"/>
  <c r="V58" i="238" s="1"/>
  <c r="N66" i="238"/>
  <c r="N68" i="238" s="1"/>
  <c r="T58" i="238"/>
  <c r="O66" i="238"/>
  <c r="O68" i="238" s="1"/>
  <c r="P66" i="238"/>
  <c r="P68" i="238" s="1"/>
  <c r="P58" i="238"/>
  <c r="P110" i="238"/>
  <c r="O38" i="238"/>
  <c r="O40" i="238" s="1"/>
  <c r="M38" i="238"/>
  <c r="M40" i="238" s="1"/>
  <c r="M66" i="238"/>
  <c r="M68" i="238" s="1"/>
  <c r="O56" i="238"/>
  <c r="O58" i="238" s="1"/>
  <c r="P28" i="238"/>
  <c r="P30" i="238" s="1"/>
  <c r="L66" i="238"/>
  <c r="L68" i="238" s="1"/>
  <c r="U28" i="238"/>
  <c r="U30" i="238" s="1"/>
  <c r="R28" i="238"/>
  <c r="R30" i="238" s="1"/>
  <c r="U56" i="238"/>
  <c r="U58" i="238" s="1"/>
  <c r="S28" i="238"/>
  <c r="S30" i="238" s="1"/>
  <c r="T28" i="238"/>
  <c r="T30" i="238" s="1"/>
  <c r="V30" i="238"/>
  <c r="P127" i="238"/>
  <c r="M28" i="238"/>
  <c r="M30" i="238" s="1"/>
  <c r="M56" i="238"/>
  <c r="N28" i="238"/>
  <c r="N30" i="238" s="1"/>
  <c r="O28" i="238"/>
  <c r="O30" i="238" s="1"/>
  <c r="L56" i="238"/>
  <c r="L58" i="238" s="1"/>
  <c r="L28" i="238"/>
  <c r="L30" i="238" s="1"/>
  <c r="M58" i="238"/>
  <c r="AC108" i="187"/>
  <c r="L108" i="187"/>
  <c r="N139" i="187"/>
  <c r="N137" i="187"/>
  <c r="N136" i="187"/>
  <c r="N134" i="187"/>
  <c r="N133" i="187"/>
  <c r="N132" i="187"/>
  <c r="N125" i="187"/>
  <c r="N130" i="187"/>
  <c r="N114" i="187"/>
  <c r="N135" i="187" s="1"/>
  <c r="AC21" i="187"/>
  <c r="AE84" i="187"/>
  <c r="AE87" i="187"/>
  <c r="AE89" i="187" s="1"/>
  <c r="AE78" i="187"/>
  <c r="AE67" i="187"/>
  <c r="AE70" i="187"/>
  <c r="AE72" i="187" s="1"/>
  <c r="AE61" i="187"/>
  <c r="AE50" i="187"/>
  <c r="AE53" i="187"/>
  <c r="AE55" i="187" s="1"/>
  <c r="AE44" i="187"/>
  <c r="AE33" i="187"/>
  <c r="AE36" i="187"/>
  <c r="AE38" i="187" s="1"/>
  <c r="AE27" i="187"/>
  <c r="K36" i="187"/>
  <c r="K38" i="187" s="1"/>
  <c r="J36" i="187"/>
  <c r="J38" i="187" s="1"/>
  <c r="I36" i="187"/>
  <c r="I38" i="187" s="1"/>
  <c r="H36" i="187"/>
  <c r="H38" i="187" s="1"/>
  <c r="G36" i="187"/>
  <c r="AH34" i="187"/>
  <c r="AB34" i="187"/>
  <c r="AG33" i="187"/>
  <c r="AG36" i="187"/>
  <c r="AG38" i="187" s="1"/>
  <c r="AF33" i="187"/>
  <c r="AF36" i="187"/>
  <c r="AF38" i="187" s="1"/>
  <c r="AD33" i="187"/>
  <c r="AD36" i="187"/>
  <c r="AD38" i="187" s="1"/>
  <c r="AC33" i="187"/>
  <c r="AC36" i="187"/>
  <c r="AC38" i="187" s="1"/>
  <c r="AA33" i="187"/>
  <c r="AA36" i="187"/>
  <c r="AA38" i="187" s="1"/>
  <c r="Z33" i="187"/>
  <c r="Z36" i="187"/>
  <c r="Z38" i="187" s="1"/>
  <c r="Y33" i="187"/>
  <c r="Y36" i="187"/>
  <c r="Y38" i="187" s="1"/>
  <c r="X33" i="187"/>
  <c r="X36" i="187"/>
  <c r="W33" i="187"/>
  <c r="W36" i="187"/>
  <c r="W38" i="187"/>
  <c r="U33" i="187"/>
  <c r="U36" i="187"/>
  <c r="U38" i="187" s="1"/>
  <c r="T33" i="187"/>
  <c r="T36" i="187"/>
  <c r="T38" i="187" s="1"/>
  <c r="S33" i="187"/>
  <c r="S36" i="187"/>
  <c r="R33" i="187"/>
  <c r="R36" i="187"/>
  <c r="Q38" i="187" s="1"/>
  <c r="Q33" i="187"/>
  <c r="Q36" i="187"/>
  <c r="P38" i="187" s="1"/>
  <c r="P33" i="187"/>
  <c r="P36" i="187"/>
  <c r="O38" i="187" s="1"/>
  <c r="O33" i="187"/>
  <c r="O36" i="187"/>
  <c r="N38" i="187" s="1"/>
  <c r="N33" i="187"/>
  <c r="N36" i="187"/>
  <c r="M33" i="187"/>
  <c r="M36" i="187"/>
  <c r="M38" i="187" s="1"/>
  <c r="L33" i="187"/>
  <c r="AG27" i="187"/>
  <c r="AF27" i="187"/>
  <c r="AD27" i="187"/>
  <c r="AC27" i="187"/>
  <c r="AA27" i="187"/>
  <c r="Z27" i="187"/>
  <c r="Y27" i="187"/>
  <c r="X27" i="187"/>
  <c r="W27" i="187"/>
  <c r="U27" i="187"/>
  <c r="T27" i="187"/>
  <c r="S27" i="187"/>
  <c r="R27" i="187"/>
  <c r="Q27" i="187"/>
  <c r="P27" i="187"/>
  <c r="O27" i="187"/>
  <c r="N27" i="187"/>
  <c r="M27" i="187"/>
  <c r="L27" i="187"/>
  <c r="AH26" i="187"/>
  <c r="AB26" i="187"/>
  <c r="AH25" i="187"/>
  <c r="AB25" i="187"/>
  <c r="AH24" i="187"/>
  <c r="AB24" i="187"/>
  <c r="AH23" i="187"/>
  <c r="AB23" i="187"/>
  <c r="AH22" i="187"/>
  <c r="AB22" i="187"/>
  <c r="K53" i="187"/>
  <c r="K55" i="187" s="1"/>
  <c r="J53" i="187"/>
  <c r="J55" i="187" s="1"/>
  <c r="I53" i="187"/>
  <c r="I55" i="187" s="1"/>
  <c r="H53" i="187"/>
  <c r="H55" i="187" s="1"/>
  <c r="G53" i="187"/>
  <c r="AH51" i="187"/>
  <c r="AB51" i="187"/>
  <c r="AG50" i="187"/>
  <c r="AG53" i="187"/>
  <c r="AG55" i="187" s="1"/>
  <c r="AF50" i="187"/>
  <c r="AF53" i="187"/>
  <c r="AF55" i="187" s="1"/>
  <c r="AD50" i="187"/>
  <c r="AD53" i="187"/>
  <c r="AD55" i="187" s="1"/>
  <c r="AC50" i="187"/>
  <c r="AC53" i="187"/>
  <c r="AC55" i="187" s="1"/>
  <c r="AA50" i="187"/>
  <c r="AA53" i="187"/>
  <c r="AA55" i="187" s="1"/>
  <c r="Z50" i="187"/>
  <c r="Z53" i="187"/>
  <c r="Z55" i="187" s="1"/>
  <c r="Y50" i="187"/>
  <c r="Y53" i="187"/>
  <c r="Y55" i="187" s="1"/>
  <c r="X50" i="187"/>
  <c r="X53" i="187"/>
  <c r="X55" i="187" s="1"/>
  <c r="W50" i="187"/>
  <c r="W53" i="187"/>
  <c r="W55" i="187" s="1"/>
  <c r="U50" i="187"/>
  <c r="U53" i="187"/>
  <c r="U55" i="187" s="1"/>
  <c r="T50" i="187"/>
  <c r="T53" i="187"/>
  <c r="T55" i="187" s="1"/>
  <c r="S50" i="187"/>
  <c r="S53" i="187"/>
  <c r="S55" i="187" s="1"/>
  <c r="R50" i="187"/>
  <c r="R53" i="187"/>
  <c r="Q55" i="187" s="1"/>
  <c r="Q50" i="187"/>
  <c r="Q53" i="187"/>
  <c r="P55" i="187" s="1"/>
  <c r="P50" i="187"/>
  <c r="P53" i="187"/>
  <c r="O55" i="187" s="1"/>
  <c r="O50" i="187"/>
  <c r="O53" i="187"/>
  <c r="N55" i="187" s="1"/>
  <c r="N50" i="187"/>
  <c r="N53" i="187"/>
  <c r="M50" i="187"/>
  <c r="M53" i="187"/>
  <c r="M55" i="187" s="1"/>
  <c r="L50" i="187"/>
  <c r="AG44" i="187"/>
  <c r="AF44" i="187"/>
  <c r="AD44" i="187"/>
  <c r="AC44" i="187"/>
  <c r="AA44" i="187"/>
  <c r="Z44" i="187"/>
  <c r="Y44" i="187"/>
  <c r="X44" i="187"/>
  <c r="W44" i="187"/>
  <c r="U44" i="187"/>
  <c r="T44" i="187"/>
  <c r="S44" i="187"/>
  <c r="R44" i="187"/>
  <c r="Q44" i="187"/>
  <c r="P44" i="187"/>
  <c r="O44" i="187"/>
  <c r="N44" i="187"/>
  <c r="M44" i="187"/>
  <c r="L44" i="187"/>
  <c r="AH43" i="187"/>
  <c r="AB43" i="187"/>
  <c r="AH42" i="187"/>
  <c r="AB42" i="187"/>
  <c r="AH41" i="187"/>
  <c r="AB41" i="187"/>
  <c r="AH40" i="187"/>
  <c r="AB40" i="187"/>
  <c r="AH39" i="187"/>
  <c r="AB39" i="187"/>
  <c r="K70" i="187"/>
  <c r="K72" i="187" s="1"/>
  <c r="J70" i="187"/>
  <c r="J72" i="187" s="1"/>
  <c r="I70" i="187"/>
  <c r="I72" i="187" s="1"/>
  <c r="H70" i="187"/>
  <c r="H72" i="187" s="1"/>
  <c r="G70" i="187"/>
  <c r="AH68" i="187"/>
  <c r="AB68" i="187"/>
  <c r="AG67" i="187"/>
  <c r="AG70" i="187"/>
  <c r="AG72" i="187" s="1"/>
  <c r="AF67" i="187"/>
  <c r="AF70" i="187"/>
  <c r="AF72" i="187" s="1"/>
  <c r="AD67" i="187"/>
  <c r="AD70" i="187"/>
  <c r="AD72" i="187" s="1"/>
  <c r="AC67" i="187"/>
  <c r="AC70" i="187"/>
  <c r="AC72" i="187" s="1"/>
  <c r="AA67" i="187"/>
  <c r="AA70" i="187"/>
  <c r="AA72" i="187" s="1"/>
  <c r="Z67" i="187"/>
  <c r="Z70" i="187"/>
  <c r="Y67" i="187"/>
  <c r="Y70" i="187"/>
  <c r="Y72" i="187" s="1"/>
  <c r="X67" i="187"/>
  <c r="X70" i="187"/>
  <c r="X72" i="187" s="1"/>
  <c r="W67" i="187"/>
  <c r="W70" i="187"/>
  <c r="W72" i="187" s="1"/>
  <c r="U67" i="187"/>
  <c r="U70" i="187"/>
  <c r="U72" i="187" s="1"/>
  <c r="T67" i="187"/>
  <c r="T70" i="187"/>
  <c r="T72" i="187" s="1"/>
  <c r="S67" i="187"/>
  <c r="S70" i="187"/>
  <c r="R72" i="187" s="1"/>
  <c r="R67" i="187"/>
  <c r="R70" i="187"/>
  <c r="Q72" i="187" s="1"/>
  <c r="Q67" i="187"/>
  <c r="Q70" i="187"/>
  <c r="P72" i="187" s="1"/>
  <c r="P67" i="187"/>
  <c r="P70" i="187"/>
  <c r="O72" i="187" s="1"/>
  <c r="O67" i="187"/>
  <c r="O70" i="187"/>
  <c r="N72" i="187" s="1"/>
  <c r="N67" i="187"/>
  <c r="N70" i="187"/>
  <c r="M67" i="187"/>
  <c r="M70" i="187"/>
  <c r="M72" i="187" s="1"/>
  <c r="L67" i="187"/>
  <c r="AG61" i="187"/>
  <c r="AF61" i="187"/>
  <c r="AD61" i="187"/>
  <c r="AC61" i="187"/>
  <c r="AA61" i="187"/>
  <c r="Z61" i="187"/>
  <c r="Y61" i="187"/>
  <c r="X61" i="187"/>
  <c r="W61" i="187"/>
  <c r="U61" i="187"/>
  <c r="T61" i="187"/>
  <c r="S61" i="187"/>
  <c r="R61" i="187"/>
  <c r="Q61" i="187"/>
  <c r="P61" i="187"/>
  <c r="O61" i="187"/>
  <c r="N61" i="187"/>
  <c r="M61" i="187"/>
  <c r="L61" i="187"/>
  <c r="AH60" i="187"/>
  <c r="AB60" i="187"/>
  <c r="AH59" i="187"/>
  <c r="AB59" i="187"/>
  <c r="AH58" i="187"/>
  <c r="AB58" i="187"/>
  <c r="AH57" i="187"/>
  <c r="AB57" i="187"/>
  <c r="AH56" i="187"/>
  <c r="AB56" i="187"/>
  <c r="L36" i="187"/>
  <c r="L38" i="187" s="1"/>
  <c r="G38" i="187"/>
  <c r="L53" i="187"/>
  <c r="L70" i="187"/>
  <c r="L72" i="187" s="1"/>
  <c r="G72" i="187"/>
  <c r="N84" i="187"/>
  <c r="N87" i="187"/>
  <c r="N78" i="187"/>
  <c r="L21" i="187"/>
  <c r="P85" i="205"/>
  <c r="P87" i="205" s="1"/>
  <c r="O85" i="205"/>
  <c r="O87" i="205" s="1"/>
  <c r="N85" i="205"/>
  <c r="N87" i="205" s="1"/>
  <c r="M85" i="205"/>
  <c r="M87" i="205" s="1"/>
  <c r="L85" i="205"/>
  <c r="L87" i="205" s="1"/>
  <c r="K85" i="205"/>
  <c r="K87" i="205" s="1"/>
  <c r="J85" i="205"/>
  <c r="J87" i="205" s="1"/>
  <c r="I85" i="205"/>
  <c r="I87" i="205" s="1"/>
  <c r="H85" i="205"/>
  <c r="H87" i="205" s="1"/>
  <c r="G85" i="205"/>
  <c r="G87" i="205" s="1"/>
  <c r="P73" i="205"/>
  <c r="P75" i="205" s="1"/>
  <c r="O73" i="205"/>
  <c r="O75" i="205" s="1"/>
  <c r="N73" i="205"/>
  <c r="M73" i="205"/>
  <c r="L73" i="205"/>
  <c r="L75" i="205" s="1"/>
  <c r="K73" i="205"/>
  <c r="K75" i="205" s="1"/>
  <c r="J73" i="205"/>
  <c r="I73" i="205"/>
  <c r="H73" i="205"/>
  <c r="H75" i="205" s="1"/>
  <c r="G73" i="205"/>
  <c r="G75" i="205" s="1"/>
  <c r="L19" i="205"/>
  <c r="L69" i="205"/>
  <c r="N91" i="205"/>
  <c r="N93" i="205" s="1"/>
  <c r="N55" i="205"/>
  <c r="N46" i="205"/>
  <c r="N37" i="205"/>
  <c r="M68" i="203"/>
  <c r="M69" i="203"/>
  <c r="M70" i="203"/>
  <c r="M101" i="203" s="1"/>
  <c r="M102" i="203" s="1"/>
  <c r="M80" i="203"/>
  <c r="M81" i="203"/>
  <c r="M82" i="203"/>
  <c r="M88" i="203"/>
  <c r="M89" i="203"/>
  <c r="M90" i="203"/>
  <c r="M92" i="203"/>
  <c r="M93" i="203"/>
  <c r="M94" i="203"/>
  <c r="M98" i="203"/>
  <c r="H62" i="203"/>
  <c r="R19" i="203"/>
  <c r="R20" i="203"/>
  <c r="R21" i="203"/>
  <c r="R39" i="203"/>
  <c r="R40" i="203"/>
  <c r="R41" i="203"/>
  <c r="R43" i="203"/>
  <c r="R44" i="203"/>
  <c r="R45" i="203"/>
  <c r="R49" i="203"/>
  <c r="H13" i="203"/>
  <c r="B2" i="203"/>
  <c r="J32" i="237"/>
  <c r="I32" i="237"/>
  <c r="H32" i="237"/>
  <c r="G32" i="237"/>
  <c r="F32" i="237"/>
  <c r="E32" i="237"/>
  <c r="L25" i="237"/>
  <c r="K25" i="237"/>
  <c r="J25" i="237"/>
  <c r="I25" i="237"/>
  <c r="H25" i="237"/>
  <c r="G25" i="237"/>
  <c r="F25" i="237"/>
  <c r="E25" i="237"/>
  <c r="D25" i="237"/>
  <c r="C25" i="237"/>
  <c r="I75" i="205"/>
  <c r="J75" i="205"/>
  <c r="N75" i="205"/>
  <c r="B1" i="203"/>
  <c r="I20" i="243"/>
  <c r="D15" i="237"/>
  <c r="Z59" i="242"/>
  <c r="Z239" i="242"/>
  <c r="Z21" i="242"/>
  <c r="E20" i="230"/>
  <c r="D42" i="234"/>
  <c r="O31" i="223"/>
  <c r="G305" i="206"/>
  <c r="G292" i="206"/>
  <c r="I36" i="224"/>
  <c r="I82" i="222"/>
  <c r="I22" i="222"/>
  <c r="I61" i="218"/>
  <c r="I41" i="221"/>
  <c r="I17" i="221"/>
  <c r="D49" i="217"/>
  <c r="I37" i="201"/>
  <c r="I72" i="201"/>
  <c r="O129" i="223"/>
  <c r="O60" i="223"/>
  <c r="I18" i="210"/>
  <c r="O91" i="223"/>
  <c r="I70" i="210"/>
  <c r="I42" i="210"/>
  <c r="M94" i="239"/>
  <c r="M20" i="235"/>
  <c r="M63" i="235"/>
  <c r="J242" i="206"/>
  <c r="J67" i="206"/>
  <c r="M89" i="238"/>
  <c r="J50" i="206"/>
  <c r="AD108" i="187"/>
  <c r="AD21" i="187"/>
  <c r="I62" i="203"/>
  <c r="M21" i="187"/>
  <c r="A57" i="233"/>
  <c r="M62" i="203"/>
  <c r="M13" i="203"/>
  <c r="D98" i="203"/>
  <c r="E98" i="203"/>
  <c r="F98" i="203"/>
  <c r="G98" i="203"/>
  <c r="H98" i="203"/>
  <c r="I98" i="203"/>
  <c r="J98" i="203"/>
  <c r="K98" i="203"/>
  <c r="L98" i="203"/>
  <c r="C98" i="203"/>
  <c r="D49" i="203"/>
  <c r="E49" i="203"/>
  <c r="F49" i="203"/>
  <c r="G49" i="203"/>
  <c r="H49" i="203"/>
  <c r="I49" i="203"/>
  <c r="J49" i="203"/>
  <c r="K49" i="203"/>
  <c r="M49" i="203"/>
  <c r="N49" i="203"/>
  <c r="O49" i="203"/>
  <c r="P49" i="203"/>
  <c r="Q49" i="203"/>
  <c r="C49" i="203"/>
  <c r="D96" i="203"/>
  <c r="E96" i="203"/>
  <c r="H96" i="203"/>
  <c r="K96" i="203"/>
  <c r="L96" i="203"/>
  <c r="D47" i="203"/>
  <c r="E47" i="203"/>
  <c r="F47" i="203"/>
  <c r="G47" i="203"/>
  <c r="H47" i="203"/>
  <c r="I47" i="203"/>
  <c r="J47" i="203"/>
  <c r="K47" i="203"/>
  <c r="M47" i="203"/>
  <c r="N47" i="203"/>
  <c r="O47" i="203"/>
  <c r="P47" i="203"/>
  <c r="Q47" i="203"/>
  <c r="C47" i="203"/>
  <c r="D32" i="203"/>
  <c r="E32" i="203"/>
  <c r="F32" i="203"/>
  <c r="G32" i="203"/>
  <c r="H32" i="203"/>
  <c r="I32" i="203"/>
  <c r="J32" i="203"/>
  <c r="K32" i="203"/>
  <c r="M32" i="203"/>
  <c r="N32" i="203"/>
  <c r="O32" i="203"/>
  <c r="P32" i="203"/>
  <c r="Q32" i="203"/>
  <c r="C32" i="203"/>
  <c r="D23" i="203"/>
  <c r="E23" i="203"/>
  <c r="F23" i="203"/>
  <c r="G23" i="203"/>
  <c r="C23" i="203"/>
  <c r="D19" i="203"/>
  <c r="E19" i="203"/>
  <c r="F19" i="203"/>
  <c r="G19" i="203"/>
  <c r="H19" i="203"/>
  <c r="I19" i="203"/>
  <c r="J19" i="203"/>
  <c r="K19" i="203"/>
  <c r="E20" i="203"/>
  <c r="F20" i="203"/>
  <c r="G20" i="203"/>
  <c r="H20" i="203"/>
  <c r="I20" i="203"/>
  <c r="J20" i="203"/>
  <c r="K20" i="203"/>
  <c r="C20" i="203"/>
  <c r="C19" i="203"/>
  <c r="D16" i="203"/>
  <c r="E16" i="203"/>
  <c r="E51" i="203" s="1"/>
  <c r="F16" i="203"/>
  <c r="G16" i="203"/>
  <c r="G51" i="203" s="1"/>
  <c r="H16" i="203"/>
  <c r="I16" i="203"/>
  <c r="J16" i="203"/>
  <c r="K16" i="203"/>
  <c r="K51" i="203" s="1"/>
  <c r="C16" i="203"/>
  <c r="F49" i="231"/>
  <c r="H49" i="231"/>
  <c r="I49" i="231"/>
  <c r="J49" i="231"/>
  <c r="K49" i="231"/>
  <c r="L49" i="231"/>
  <c r="M49" i="231"/>
  <c r="N49" i="231"/>
  <c r="O49" i="231"/>
  <c r="P49" i="231"/>
  <c r="Q49" i="231"/>
  <c r="R49" i="231"/>
  <c r="S49" i="231"/>
  <c r="T49" i="231"/>
  <c r="U49" i="231"/>
  <c r="V49" i="231"/>
  <c r="W49" i="231"/>
  <c r="X49" i="231"/>
  <c r="Y49" i="231"/>
  <c r="Z49" i="231"/>
  <c r="Z55" i="231" s="1"/>
  <c r="AA49" i="231"/>
  <c r="AB49" i="231"/>
  <c r="AC49" i="231"/>
  <c r="E49" i="231"/>
  <c r="K91" i="235"/>
  <c r="K93" i="235" s="1"/>
  <c r="J91" i="235"/>
  <c r="J93" i="235" s="1"/>
  <c r="I91" i="235"/>
  <c r="I93" i="235" s="1"/>
  <c r="H91" i="235"/>
  <c r="H93" i="235" s="1"/>
  <c r="G91" i="235"/>
  <c r="G93" i="235" s="1"/>
  <c r="P88" i="235"/>
  <c r="P91" i="235"/>
  <c r="P93" i="235" s="1"/>
  <c r="O88" i="235"/>
  <c r="O91" i="235"/>
  <c r="O93" i="235" s="1"/>
  <c r="N88" i="235"/>
  <c r="N91" i="235"/>
  <c r="N93" i="235" s="1"/>
  <c r="M88" i="235"/>
  <c r="M91" i="235"/>
  <c r="M93" i="235" s="1"/>
  <c r="K71" i="235"/>
  <c r="J71" i="235"/>
  <c r="J73" i="235" s="1"/>
  <c r="I71" i="235"/>
  <c r="H71" i="235"/>
  <c r="H73" i="235" s="1"/>
  <c r="G71" i="235"/>
  <c r="G73" i="235"/>
  <c r="P68" i="235"/>
  <c r="O68" i="235"/>
  <c r="N68" i="235"/>
  <c r="M68" i="235"/>
  <c r="K50" i="235"/>
  <c r="J50" i="235"/>
  <c r="H50" i="235"/>
  <c r="U45" i="235"/>
  <c r="T45" i="235"/>
  <c r="S45" i="235"/>
  <c r="S48" i="235" s="1"/>
  <c r="S50" i="235" s="1"/>
  <c r="R45" i="235"/>
  <c r="R48" i="235" s="1"/>
  <c r="R50" i="235" s="1"/>
  <c r="Q45" i="235"/>
  <c r="P45" i="235"/>
  <c r="O45" i="235"/>
  <c r="O48" i="235" s="1"/>
  <c r="O50" i="235" s="1"/>
  <c r="N45" i="235"/>
  <c r="N48" i="235" s="1"/>
  <c r="M45" i="235"/>
  <c r="K28" i="235"/>
  <c r="J28" i="235"/>
  <c r="J30" i="235" s="1"/>
  <c r="J56" i="235" s="1"/>
  <c r="I28" i="235"/>
  <c r="I30" i="235" s="1"/>
  <c r="H28" i="235"/>
  <c r="G28" i="235"/>
  <c r="U25" i="235"/>
  <c r="T25" i="235"/>
  <c r="S25" i="235"/>
  <c r="R25" i="235"/>
  <c r="Q25" i="235"/>
  <c r="P25" i="235"/>
  <c r="P51" i="235" s="1"/>
  <c r="O25" i="235"/>
  <c r="N25" i="235"/>
  <c r="M25" i="235"/>
  <c r="G30" i="235"/>
  <c r="K30" i="235"/>
  <c r="P48" i="235"/>
  <c r="P50" i="235" s="1"/>
  <c r="T48" i="235"/>
  <c r="T50" i="235" s="1"/>
  <c r="K73" i="235"/>
  <c r="G97" i="235"/>
  <c r="O28" i="235"/>
  <c r="Q28" i="235"/>
  <c r="Q30" i="235" s="1"/>
  <c r="S28" i="235"/>
  <c r="S30" i="235" s="1"/>
  <c r="U28" i="235"/>
  <c r="U30" i="235" s="1"/>
  <c r="O71" i="235"/>
  <c r="N28" i="235"/>
  <c r="N30" i="235" s="1"/>
  <c r="P28" i="235"/>
  <c r="R28" i="235"/>
  <c r="T28" i="235"/>
  <c r="N71" i="235"/>
  <c r="N73" i="235" s="1"/>
  <c r="P71" i="235"/>
  <c r="M28" i="235"/>
  <c r="M30" i="235" s="1"/>
  <c r="M71" i="235"/>
  <c r="P73" i="235"/>
  <c r="P30" i="235"/>
  <c r="R30" i="235"/>
  <c r="E232" i="206"/>
  <c r="F232" i="206"/>
  <c r="G232" i="206"/>
  <c r="G234" i="206" s="1"/>
  <c r="H232" i="206"/>
  <c r="I232" i="206"/>
  <c r="K232" i="206"/>
  <c r="L232" i="206"/>
  <c r="M232" i="206"/>
  <c r="N232" i="206"/>
  <c r="O232" i="206"/>
  <c r="P232" i="206"/>
  <c r="Q232" i="206"/>
  <c r="R232" i="206"/>
  <c r="D232" i="206"/>
  <c r="E196" i="206"/>
  <c r="E234" i="206" s="1"/>
  <c r="F196" i="206"/>
  <c r="G196" i="206"/>
  <c r="H196" i="206"/>
  <c r="I196" i="206"/>
  <c r="K196" i="206"/>
  <c r="L196" i="206"/>
  <c r="M196" i="206"/>
  <c r="N196" i="206"/>
  <c r="O196" i="206"/>
  <c r="P196" i="206"/>
  <c r="Q196" i="206"/>
  <c r="R196" i="206"/>
  <c r="D196" i="206"/>
  <c r="H154" i="206"/>
  <c r="G154" i="206"/>
  <c r="D154" i="206"/>
  <c r="M149" i="206"/>
  <c r="L149" i="206"/>
  <c r="L152" i="206" s="1"/>
  <c r="L154" i="206" s="1"/>
  <c r="K149" i="206"/>
  <c r="I149" i="206"/>
  <c r="I152" i="206" s="1"/>
  <c r="I154" i="206" s="1"/>
  <c r="H145" i="206"/>
  <c r="G145" i="206"/>
  <c r="E145" i="206"/>
  <c r="D145" i="206"/>
  <c r="M140" i="206"/>
  <c r="M143" i="206" s="1"/>
  <c r="M145" i="206" s="1"/>
  <c r="L140" i="206"/>
  <c r="L143" i="206" s="1"/>
  <c r="L145" i="206" s="1"/>
  <c r="K140" i="206"/>
  <c r="K143" i="206" s="1"/>
  <c r="K145" i="206" s="1"/>
  <c r="I140" i="206"/>
  <c r="I143" i="206" s="1"/>
  <c r="I145" i="206" s="1"/>
  <c r="F136" i="206"/>
  <c r="E136" i="206"/>
  <c r="M131" i="206"/>
  <c r="M134" i="206" s="1"/>
  <c r="M136" i="206" s="1"/>
  <c r="L131" i="206"/>
  <c r="L134" i="206" s="1"/>
  <c r="L136" i="206" s="1"/>
  <c r="K131" i="206"/>
  <c r="I131" i="206"/>
  <c r="I134" i="206" s="1"/>
  <c r="I136" i="206" s="1"/>
  <c r="K122" i="206"/>
  <c r="K125" i="206" s="1"/>
  <c r="K127" i="206" s="1"/>
  <c r="L122" i="206"/>
  <c r="L125" i="206" s="1"/>
  <c r="L127" i="206" s="1"/>
  <c r="M122" i="206"/>
  <c r="M125" i="206" s="1"/>
  <c r="M127" i="206" s="1"/>
  <c r="I122" i="206"/>
  <c r="I125" i="206" s="1"/>
  <c r="I127" i="206" s="1"/>
  <c r="D102" i="206"/>
  <c r="D55" i="206"/>
  <c r="D58" i="206" s="1"/>
  <c r="D60" i="206" s="1"/>
  <c r="D29" i="206"/>
  <c r="D26" i="206"/>
  <c r="K134" i="206"/>
  <c r="K136" i="206" s="1"/>
  <c r="K152" i="206"/>
  <c r="K154" i="206" s="1"/>
  <c r="M152" i="206"/>
  <c r="M154" i="206" s="1"/>
  <c r="C92" i="203"/>
  <c r="AH127" i="187"/>
  <c r="AH126" i="187"/>
  <c r="L137" i="187"/>
  <c r="L136" i="187"/>
  <c r="L134" i="187"/>
  <c r="L132" i="187"/>
  <c r="AB129" i="187"/>
  <c r="K130" i="187"/>
  <c r="J130" i="187"/>
  <c r="I130" i="187"/>
  <c r="H130" i="187"/>
  <c r="G130" i="187"/>
  <c r="AB127" i="187"/>
  <c r="AB126" i="187"/>
  <c r="AG130" i="187"/>
  <c r="AC130" i="187"/>
  <c r="AA125" i="187"/>
  <c r="AA130" i="187"/>
  <c r="Z125" i="187"/>
  <c r="Z130" i="187"/>
  <c r="Y125" i="187"/>
  <c r="Y130" i="187"/>
  <c r="X125" i="187"/>
  <c r="X130" i="187"/>
  <c r="W125" i="187"/>
  <c r="U125" i="187"/>
  <c r="T125" i="187"/>
  <c r="S125" i="187"/>
  <c r="R125" i="187"/>
  <c r="Q125" i="187"/>
  <c r="P125" i="187"/>
  <c r="O125" i="187"/>
  <c r="O130" i="187"/>
  <c r="M125" i="187"/>
  <c r="L125" i="187"/>
  <c r="AH120" i="187"/>
  <c r="AB120" i="187"/>
  <c r="L114" i="187"/>
  <c r="C33" i="203"/>
  <c r="W130" i="187"/>
  <c r="L139" i="187"/>
  <c r="L133" i="187"/>
  <c r="AB118" i="187"/>
  <c r="AB116" i="187"/>
  <c r="AB115" i="187"/>
  <c r="AH116" i="187"/>
  <c r="AH85" i="187"/>
  <c r="AC84" i="187"/>
  <c r="AC87" i="187"/>
  <c r="AC89" i="187" s="1"/>
  <c r="L84" i="187"/>
  <c r="AB73" i="187"/>
  <c r="AB91" i="187" s="1"/>
  <c r="AG84" i="187"/>
  <c r="AF84" i="187"/>
  <c r="AD84" i="187"/>
  <c r="AA84" i="187"/>
  <c r="AG78" i="187"/>
  <c r="AF78" i="187"/>
  <c r="AD78" i="187"/>
  <c r="AC78" i="187"/>
  <c r="M78" i="187"/>
  <c r="O78" i="187"/>
  <c r="P78" i="187"/>
  <c r="Q78" i="187"/>
  <c r="R78" i="187"/>
  <c r="S78" i="187"/>
  <c r="T78" i="187"/>
  <c r="U78" i="187"/>
  <c r="W78" i="187"/>
  <c r="X78" i="187"/>
  <c r="Y78" i="187"/>
  <c r="Z78" i="187"/>
  <c r="AA78" i="187"/>
  <c r="L78" i="187"/>
  <c r="P91" i="205"/>
  <c r="P93" i="205" s="1"/>
  <c r="O91" i="205"/>
  <c r="O93" i="205" s="1"/>
  <c r="M91" i="205"/>
  <c r="L91" i="205"/>
  <c r="L93" i="205" s="1"/>
  <c r="K91" i="205"/>
  <c r="K93" i="205" s="1"/>
  <c r="J91" i="205"/>
  <c r="J93" i="205" s="1"/>
  <c r="I91" i="205"/>
  <c r="I93" i="205" s="1"/>
  <c r="H91" i="205"/>
  <c r="H93" i="205" s="1"/>
  <c r="G91" i="205"/>
  <c r="G93" i="205" s="1"/>
  <c r="R23" i="205"/>
  <c r="R26" i="205" s="1"/>
  <c r="R28" i="205" s="1"/>
  <c r="L65" i="203"/>
  <c r="L100" i="203" s="1"/>
  <c r="K65" i="203"/>
  <c r="K100" i="203" s="1"/>
  <c r="J65" i="203"/>
  <c r="J100" i="203" s="1"/>
  <c r="I65" i="203"/>
  <c r="H65" i="203"/>
  <c r="H100" i="203" s="1"/>
  <c r="M16" i="203"/>
  <c r="M51" i="203" s="1"/>
  <c r="N16" i="203"/>
  <c r="N51" i="203" s="1"/>
  <c r="O16" i="203"/>
  <c r="P16" i="203"/>
  <c r="P51" i="203" s="1"/>
  <c r="Q16" i="203"/>
  <c r="Q51" i="203" s="1"/>
  <c r="M93" i="205"/>
  <c r="G28" i="205"/>
  <c r="R16" i="203"/>
  <c r="R51" i="203" s="1"/>
  <c r="C65" i="203"/>
  <c r="C100" i="203" s="1"/>
  <c r="Q55" i="205"/>
  <c r="M55" i="205"/>
  <c r="J55" i="205"/>
  <c r="I55" i="205"/>
  <c r="H55" i="205"/>
  <c r="V50" i="205"/>
  <c r="V53" i="205" s="1"/>
  <c r="V55" i="205" s="1"/>
  <c r="U50" i="205"/>
  <c r="T50" i="205"/>
  <c r="T53" i="205" s="1"/>
  <c r="T55" i="205" s="1"/>
  <c r="S50" i="205"/>
  <c r="S53" i="205" s="1"/>
  <c r="S55" i="205" s="1"/>
  <c r="R50" i="205"/>
  <c r="Q46" i="205"/>
  <c r="P46" i="205"/>
  <c r="O46" i="205"/>
  <c r="M46" i="205"/>
  <c r="L46" i="205"/>
  <c r="I46" i="205"/>
  <c r="H46" i="205"/>
  <c r="V41" i="205"/>
  <c r="V44" i="205" s="1"/>
  <c r="V46" i="205" s="1"/>
  <c r="U41" i="205"/>
  <c r="U44" i="205" s="1"/>
  <c r="U46" i="205" s="1"/>
  <c r="T41" i="205"/>
  <c r="T44" i="205" s="1"/>
  <c r="T46" i="205" s="1"/>
  <c r="S41" i="205"/>
  <c r="S44" i="205" s="1"/>
  <c r="R41" i="205"/>
  <c r="R44" i="205" s="1"/>
  <c r="R46" i="205" s="1"/>
  <c r="P37" i="205"/>
  <c r="O37" i="205"/>
  <c r="L37" i="205"/>
  <c r="K37" i="205"/>
  <c r="J37" i="205"/>
  <c r="H37" i="205"/>
  <c r="G37" i="205"/>
  <c r="V32" i="205"/>
  <c r="V35" i="205" s="1"/>
  <c r="V37" i="205" s="1"/>
  <c r="U32" i="205"/>
  <c r="U35" i="205" s="1"/>
  <c r="T32" i="205"/>
  <c r="S32" i="205"/>
  <c r="S35" i="205" s="1"/>
  <c r="S37" i="205" s="1"/>
  <c r="R32" i="205"/>
  <c r="R35" i="205" s="1"/>
  <c r="S23" i="205"/>
  <c r="S26" i="205" s="1"/>
  <c r="S28" i="205" s="1"/>
  <c r="T23" i="205"/>
  <c r="T26" i="205" s="1"/>
  <c r="U23" i="205"/>
  <c r="U26" i="205" s="1"/>
  <c r="U28" i="205" s="1"/>
  <c r="V23" i="205"/>
  <c r="V26" i="205" s="1"/>
  <c r="L28" i="205"/>
  <c r="M28" i="205"/>
  <c r="O28" i="205"/>
  <c r="P28" i="205"/>
  <c r="Q28" i="205"/>
  <c r="Q62" i="205" s="1"/>
  <c r="T35" i="205"/>
  <c r="T37" i="205" s="1"/>
  <c r="R53" i="205"/>
  <c r="R55" i="205" s="1"/>
  <c r="U53" i="205"/>
  <c r="U55" i="205" s="1"/>
  <c r="I89" i="203"/>
  <c r="H90" i="203"/>
  <c r="L89" i="203"/>
  <c r="N40" i="203"/>
  <c r="P40" i="203"/>
  <c r="Q40" i="203"/>
  <c r="O40" i="203"/>
  <c r="M40" i="203"/>
  <c r="M41" i="203"/>
  <c r="O41" i="203"/>
  <c r="Q41" i="203"/>
  <c r="K89" i="203"/>
  <c r="L64" i="203"/>
  <c r="I64" i="203"/>
  <c r="I99" i="203" s="1"/>
  <c r="K64" i="203"/>
  <c r="K99" i="203" s="1"/>
  <c r="H64" i="203"/>
  <c r="J64" i="203"/>
  <c r="J99" i="203" s="1"/>
  <c r="I90" i="203"/>
  <c r="J89" i="203"/>
  <c r="H89" i="203"/>
  <c r="J90" i="203"/>
  <c r="L90" i="203"/>
  <c r="K90" i="203"/>
  <c r="J66" i="203"/>
  <c r="H66" i="203"/>
  <c r="K66" i="203"/>
  <c r="K101" i="203" s="1"/>
  <c r="I66" i="203"/>
  <c r="I101" i="203" s="1"/>
  <c r="I102" i="203" s="1"/>
  <c r="L66" i="203"/>
  <c r="N41" i="203"/>
  <c r="P41" i="203"/>
  <c r="D86" i="222"/>
  <c r="E86" i="222"/>
  <c r="F86" i="222"/>
  <c r="G86" i="222"/>
  <c r="H86" i="222"/>
  <c r="I86" i="222"/>
  <c r="J86" i="222"/>
  <c r="L86" i="222"/>
  <c r="M86" i="222"/>
  <c r="N86" i="222"/>
  <c r="O86" i="222"/>
  <c r="P86" i="222"/>
  <c r="Q86" i="222"/>
  <c r="C86" i="222"/>
  <c r="Y49" i="216"/>
  <c r="X49" i="216"/>
  <c r="W49" i="216"/>
  <c r="V49" i="216"/>
  <c r="U49" i="216"/>
  <c r="R54" i="231"/>
  <c r="Q54" i="231"/>
  <c r="P54" i="231"/>
  <c r="O54" i="231"/>
  <c r="N54" i="231"/>
  <c r="M54" i="231"/>
  <c r="L54" i="231"/>
  <c r="K54" i="231"/>
  <c r="J54" i="231"/>
  <c r="I54" i="231"/>
  <c r="H54" i="231"/>
  <c r="F54" i="231"/>
  <c r="E54" i="231"/>
  <c r="D48" i="230"/>
  <c r="AB46" i="230"/>
  <c r="AB48" i="230" s="1"/>
  <c r="AA46" i="230"/>
  <c r="AA48" i="230" s="1"/>
  <c r="Z46" i="230"/>
  <c r="Z48" i="230" s="1"/>
  <c r="Y46" i="230"/>
  <c r="Y48" i="230" s="1"/>
  <c r="X46" i="230"/>
  <c r="X48" i="230" s="1"/>
  <c r="W46" i="230"/>
  <c r="W48" i="230" s="1"/>
  <c r="V46" i="230"/>
  <c r="V48" i="230" s="1"/>
  <c r="U46" i="230"/>
  <c r="U48" i="230" s="1"/>
  <c r="T46" i="230"/>
  <c r="T48" i="230" s="1"/>
  <c r="S46" i="230"/>
  <c r="S48" i="230" s="1"/>
  <c r="R46" i="230"/>
  <c r="R48" i="230" s="1"/>
  <c r="Q46" i="230"/>
  <c r="Q48" i="230" s="1"/>
  <c r="P46" i="230"/>
  <c r="P48" i="230" s="1"/>
  <c r="O46" i="230"/>
  <c r="O48" i="230" s="1"/>
  <c r="N46" i="230"/>
  <c r="N48" i="230" s="1"/>
  <c r="M46" i="230"/>
  <c r="M48" i="230" s="1"/>
  <c r="L46" i="230"/>
  <c r="L48" i="230" s="1"/>
  <c r="K46" i="230"/>
  <c r="K48" i="230" s="1"/>
  <c r="J46" i="230"/>
  <c r="J48" i="230" s="1"/>
  <c r="H46" i="230"/>
  <c r="H48" i="230" s="1"/>
  <c r="F46" i="230"/>
  <c r="F48" i="230" s="1"/>
  <c r="E46" i="230"/>
  <c r="E48" i="230" s="1"/>
  <c r="D25" i="230"/>
  <c r="N23" i="230"/>
  <c r="M23" i="230"/>
  <c r="L23" i="230"/>
  <c r="K23" i="230"/>
  <c r="J23" i="230"/>
  <c r="H23" i="230"/>
  <c r="F23" i="230"/>
  <c r="F28" i="230" s="1"/>
  <c r="E23" i="230"/>
  <c r="AA65" i="234"/>
  <c r="Z65" i="234"/>
  <c r="Y65" i="234"/>
  <c r="X65" i="234"/>
  <c r="W65" i="234"/>
  <c r="V65" i="234"/>
  <c r="U65" i="234"/>
  <c r="T65" i="234"/>
  <c r="S65" i="234"/>
  <c r="R65" i="234"/>
  <c r="Q65" i="234"/>
  <c r="P65" i="234"/>
  <c r="O65" i="234"/>
  <c r="N65" i="234"/>
  <c r="M65" i="234"/>
  <c r="L65" i="234"/>
  <c r="K65" i="234"/>
  <c r="J65" i="234"/>
  <c r="I65" i="234"/>
  <c r="H65" i="234"/>
  <c r="G65" i="234"/>
  <c r="E65" i="234"/>
  <c r="D65" i="234"/>
  <c r="C65" i="234"/>
  <c r="AA62" i="234"/>
  <c r="AA66" i="234" s="1"/>
  <c r="Z62" i="234"/>
  <c r="Z66" i="234" s="1"/>
  <c r="Y62" i="234"/>
  <c r="X62" i="234"/>
  <c r="X66" i="234" s="1"/>
  <c r="W62" i="234"/>
  <c r="W66" i="234" s="1"/>
  <c r="V62" i="234"/>
  <c r="V66" i="234" s="1"/>
  <c r="U62" i="234"/>
  <c r="U66" i="234" s="1"/>
  <c r="T62" i="234"/>
  <c r="T66" i="234" s="1"/>
  <c r="S62" i="234"/>
  <c r="S66" i="234" s="1"/>
  <c r="R62" i="234"/>
  <c r="R66" i="234" s="1"/>
  <c r="Q62" i="234"/>
  <c r="Q66" i="234" s="1"/>
  <c r="P62" i="234"/>
  <c r="P66" i="234" s="1"/>
  <c r="O62" i="234"/>
  <c r="N62" i="234"/>
  <c r="N66" i="234" s="1"/>
  <c r="M62" i="234"/>
  <c r="L62" i="234"/>
  <c r="L66" i="234" s="1"/>
  <c r="K62" i="234"/>
  <c r="K66" i="234" s="1"/>
  <c r="J62" i="234"/>
  <c r="J66" i="234" s="1"/>
  <c r="I62" i="234"/>
  <c r="I66" i="234" s="1"/>
  <c r="H62" i="234"/>
  <c r="H66" i="234" s="1"/>
  <c r="G62" i="234"/>
  <c r="E62" i="234"/>
  <c r="E66" i="234" s="1"/>
  <c r="D62" i="234"/>
  <c r="D66" i="234" s="1"/>
  <c r="C62" i="234"/>
  <c r="C66" i="234" s="1"/>
  <c r="AA34" i="234"/>
  <c r="Z34" i="234"/>
  <c r="Y34" i="234"/>
  <c r="X34" i="234"/>
  <c r="W34" i="234"/>
  <c r="V34" i="234"/>
  <c r="U34" i="234"/>
  <c r="T34" i="234"/>
  <c r="S34" i="234"/>
  <c r="R34" i="234"/>
  <c r="Q34" i="234"/>
  <c r="P34" i="234"/>
  <c r="O34" i="234"/>
  <c r="N34" i="234"/>
  <c r="M34" i="234"/>
  <c r="L34" i="234"/>
  <c r="K34" i="234"/>
  <c r="J34" i="234"/>
  <c r="I34" i="234"/>
  <c r="H34" i="234"/>
  <c r="G34" i="234"/>
  <c r="E34" i="234"/>
  <c r="D34" i="234"/>
  <c r="C34" i="234"/>
  <c r="G66" i="234"/>
  <c r="M66" i="234"/>
  <c r="O66" i="234"/>
  <c r="Y66" i="234"/>
  <c r="G35" i="216"/>
  <c r="P49" i="216" s="1"/>
  <c r="G23" i="216"/>
  <c r="G24" i="216"/>
  <c r="E49" i="216" s="1"/>
  <c r="G25" i="216"/>
  <c r="F49" i="216" s="1"/>
  <c r="G26" i="216"/>
  <c r="G49" i="216" s="1"/>
  <c r="G27" i="216"/>
  <c r="H49" i="216" s="1"/>
  <c r="G28" i="216"/>
  <c r="I49" i="216" s="1"/>
  <c r="G29" i="216"/>
  <c r="J49" i="216" s="1"/>
  <c r="G30" i="216"/>
  <c r="K49" i="216" s="1"/>
  <c r="G31" i="216"/>
  <c r="G32" i="216"/>
  <c r="M49" i="216" s="1"/>
  <c r="G33" i="216"/>
  <c r="N49" i="216" s="1"/>
  <c r="G34" i="216"/>
  <c r="O49" i="216" s="1"/>
  <c r="G36" i="216"/>
  <c r="G38" i="216"/>
  <c r="S49" i="216" s="1"/>
  <c r="S50" i="216" s="1"/>
  <c r="R247" i="206"/>
  <c r="R250" i="206" s="1"/>
  <c r="Q247" i="206"/>
  <c r="Q250" i="206" s="1"/>
  <c r="Q252" i="206" s="1"/>
  <c r="P247" i="206"/>
  <c r="P250" i="206" s="1"/>
  <c r="P252" i="206" s="1"/>
  <c r="O247" i="206"/>
  <c r="O250" i="206" s="1"/>
  <c r="O252" i="206" s="1"/>
  <c r="N247" i="206"/>
  <c r="N250" i="206" s="1"/>
  <c r="N252" i="206" s="1"/>
  <c r="M247" i="206"/>
  <c r="M250" i="206" s="1"/>
  <c r="M252" i="206" s="1"/>
  <c r="L247" i="206"/>
  <c r="L250" i="206" s="1"/>
  <c r="L252" i="206" s="1"/>
  <c r="K247" i="206"/>
  <c r="K250" i="206" s="1"/>
  <c r="K252" i="206" s="1"/>
  <c r="I247" i="206"/>
  <c r="I250" i="206" s="1"/>
  <c r="I252" i="206" s="1"/>
  <c r="H247" i="206"/>
  <c r="H250" i="206" s="1"/>
  <c r="H252" i="206" s="1"/>
  <c r="G247" i="206"/>
  <c r="G250" i="206" s="1"/>
  <c r="G252" i="206" s="1"/>
  <c r="F247" i="206"/>
  <c r="F250" i="206" s="1"/>
  <c r="F252" i="206" s="1"/>
  <c r="E247" i="206"/>
  <c r="E250" i="206" s="1"/>
  <c r="E252" i="206" s="1"/>
  <c r="D247" i="206"/>
  <c r="D250" i="206" s="1"/>
  <c r="D252" i="206" s="1"/>
  <c r="R203" i="206"/>
  <c r="R206" i="206" s="1"/>
  <c r="R208" i="206" s="1"/>
  <c r="R209" i="206" s="1"/>
  <c r="Q203" i="206"/>
  <c r="Q206" i="206" s="1"/>
  <c r="Q208" i="206" s="1"/>
  <c r="Q209" i="206" s="1"/>
  <c r="P203" i="206"/>
  <c r="P206" i="206" s="1"/>
  <c r="P208" i="206" s="1"/>
  <c r="P209" i="206" s="1"/>
  <c r="O203" i="206"/>
  <c r="O206" i="206" s="1"/>
  <c r="O233" i="206" s="1"/>
  <c r="N203" i="206"/>
  <c r="N206" i="206" s="1"/>
  <c r="N208" i="206" s="1"/>
  <c r="N209" i="206" s="1"/>
  <c r="M203" i="206"/>
  <c r="M206" i="206" s="1"/>
  <c r="M208" i="206" s="1"/>
  <c r="M209" i="206" s="1"/>
  <c r="L203" i="206"/>
  <c r="L206" i="206" s="1"/>
  <c r="L208" i="206" s="1"/>
  <c r="L209" i="206" s="1"/>
  <c r="K203" i="206"/>
  <c r="K206" i="206" s="1"/>
  <c r="K208" i="206" s="1"/>
  <c r="K209" i="206" s="1"/>
  <c r="I203" i="206"/>
  <c r="I206" i="206" s="1"/>
  <c r="I208" i="206" s="1"/>
  <c r="I209" i="206" s="1"/>
  <c r="H203" i="206"/>
  <c r="H206" i="206" s="1"/>
  <c r="H208" i="206" s="1"/>
  <c r="G203" i="206"/>
  <c r="G206" i="206" s="1"/>
  <c r="G208" i="206" s="1"/>
  <c r="G209" i="206" s="1"/>
  <c r="F203" i="206"/>
  <c r="F206" i="206" s="1"/>
  <c r="F208" i="206" s="1"/>
  <c r="F209" i="206" s="1"/>
  <c r="E203" i="206"/>
  <c r="E206" i="206"/>
  <c r="E208" i="206" s="1"/>
  <c r="E209" i="206" s="1"/>
  <c r="D203" i="206"/>
  <c r="D206" i="206" s="1"/>
  <c r="D208" i="206" s="1"/>
  <c r="R176" i="206"/>
  <c r="R178" i="206" s="1"/>
  <c r="P176" i="206"/>
  <c r="N176" i="206"/>
  <c r="M176" i="206"/>
  <c r="M178" i="206" s="1"/>
  <c r="L176" i="206"/>
  <c r="L178" i="206" s="1"/>
  <c r="K176" i="206"/>
  <c r="K178" i="206" s="1"/>
  <c r="I176" i="206"/>
  <c r="I197" i="206" s="1"/>
  <c r="H176" i="206"/>
  <c r="G176" i="206"/>
  <c r="G178" i="206" s="1"/>
  <c r="F176" i="206"/>
  <c r="F178" i="206" s="1"/>
  <c r="E176" i="206"/>
  <c r="D176" i="206"/>
  <c r="E55" i="206"/>
  <c r="D31" i="203" s="1"/>
  <c r="F55" i="206"/>
  <c r="F58" i="206" s="1"/>
  <c r="F60" i="206" s="1"/>
  <c r="G55" i="206"/>
  <c r="G58" i="206" s="1"/>
  <c r="G60" i="206" s="1"/>
  <c r="H55" i="206"/>
  <c r="H58" i="206" s="1"/>
  <c r="H60" i="206" s="1"/>
  <c r="M55" i="206"/>
  <c r="M58" i="206" s="1"/>
  <c r="M60" i="206" s="1"/>
  <c r="L55" i="206"/>
  <c r="L58" i="206" s="1"/>
  <c r="L60" i="206" s="1"/>
  <c r="K55" i="206"/>
  <c r="I31" i="203" s="1"/>
  <c r="I55" i="206"/>
  <c r="I58" i="206" s="1"/>
  <c r="I60" i="206" s="1"/>
  <c r="N55" i="206"/>
  <c r="N58" i="206" s="1"/>
  <c r="N60" i="206" s="1"/>
  <c r="O55" i="206"/>
  <c r="O58" i="206" s="1"/>
  <c r="O60" i="206" s="1"/>
  <c r="P55" i="206"/>
  <c r="O31" i="203" s="1"/>
  <c r="Q55" i="206"/>
  <c r="Q58" i="206" s="1"/>
  <c r="R55" i="206"/>
  <c r="Q31" i="203" s="1"/>
  <c r="O179" i="206"/>
  <c r="O176" i="206"/>
  <c r="Q179" i="206"/>
  <c r="Q176" i="206"/>
  <c r="N31" i="203"/>
  <c r="E179" i="206"/>
  <c r="M33" i="203"/>
  <c r="I33" i="203"/>
  <c r="K33" i="203"/>
  <c r="E31" i="203"/>
  <c r="H33" i="203"/>
  <c r="H31" i="203"/>
  <c r="J33" i="203"/>
  <c r="J31" i="203"/>
  <c r="D178" i="206"/>
  <c r="H178" i="206"/>
  <c r="I179" i="206"/>
  <c r="L179" i="206"/>
  <c r="G179" i="206"/>
  <c r="R179" i="206"/>
  <c r="P179" i="206"/>
  <c r="N179" i="206"/>
  <c r="M179" i="206"/>
  <c r="K179" i="206"/>
  <c r="H179" i="206"/>
  <c r="F179" i="206"/>
  <c r="D179" i="206"/>
  <c r="G87" i="187"/>
  <c r="Q84" i="187"/>
  <c r="G33" i="203"/>
  <c r="D33" i="203"/>
  <c r="F33" i="203"/>
  <c r="E33" i="203"/>
  <c r="I178" i="206"/>
  <c r="L87" i="187"/>
  <c r="Q49" i="216"/>
  <c r="L49" i="216"/>
  <c r="G37" i="216"/>
  <c r="R49" i="216" s="1"/>
  <c r="C30" i="211"/>
  <c r="C86" i="233"/>
  <c r="C83" i="233"/>
  <c r="C80" i="233"/>
  <c r="C77" i="233"/>
  <c r="C70" i="233"/>
  <c r="C67" i="233"/>
  <c r="C64" i="233"/>
  <c r="C61" i="233"/>
  <c r="C58" i="233"/>
  <c r="H49" i="233"/>
  <c r="G49" i="233"/>
  <c r="F49" i="233"/>
  <c r="E49" i="233"/>
  <c r="D49" i="233"/>
  <c r="D52" i="233" s="1"/>
  <c r="E61" i="233" s="1"/>
  <c r="E62" i="233" s="1"/>
  <c r="H48" i="233"/>
  <c r="H51" i="233" s="1"/>
  <c r="G48" i="233"/>
  <c r="F48" i="233"/>
  <c r="G51" i="233" s="1"/>
  <c r="E48" i="233"/>
  <c r="D48" i="233"/>
  <c r="G127" i="206"/>
  <c r="F127" i="206"/>
  <c r="N33" i="203"/>
  <c r="E82" i="203"/>
  <c r="H82" i="203"/>
  <c r="F81" i="203"/>
  <c r="I81" i="203"/>
  <c r="G82" i="203"/>
  <c r="J82" i="203"/>
  <c r="L80" i="203"/>
  <c r="J81" i="203"/>
  <c r="I82" i="203"/>
  <c r="E81" i="203"/>
  <c r="D82" i="203"/>
  <c r="L82" i="203"/>
  <c r="H81" i="203"/>
  <c r="C82" i="203"/>
  <c r="K81" i="203"/>
  <c r="C81" i="203"/>
  <c r="D81" i="203"/>
  <c r="L81" i="203"/>
  <c r="K82" i="203"/>
  <c r="G81" i="203"/>
  <c r="F82" i="203"/>
  <c r="O33" i="203"/>
  <c r="P33" i="203"/>
  <c r="Q34" i="221"/>
  <c r="P34" i="221"/>
  <c r="O34" i="221"/>
  <c r="N34" i="221"/>
  <c r="M34" i="221"/>
  <c r="L34" i="221"/>
  <c r="J34" i="221"/>
  <c r="I34" i="221"/>
  <c r="H34" i="221"/>
  <c r="G34" i="221"/>
  <c r="F34" i="221"/>
  <c r="E34" i="221"/>
  <c r="D34" i="221"/>
  <c r="C34" i="221"/>
  <c r="Q22" i="221"/>
  <c r="P22" i="221"/>
  <c r="O22" i="221"/>
  <c r="N22" i="221"/>
  <c r="M22" i="221"/>
  <c r="L22" i="221"/>
  <c r="J22" i="221"/>
  <c r="I22" i="221"/>
  <c r="H22" i="221"/>
  <c r="G22" i="221"/>
  <c r="F22" i="221"/>
  <c r="E22" i="221"/>
  <c r="D22" i="221"/>
  <c r="C22" i="221"/>
  <c r="Q33" i="203"/>
  <c r="P178" i="206"/>
  <c r="P197" i="206"/>
  <c r="Q60" i="206"/>
  <c r="Q178" i="206"/>
  <c r="C43" i="203"/>
  <c r="C54" i="218"/>
  <c r="C55" i="218" s="1"/>
  <c r="AD134" i="187"/>
  <c r="AE134" i="187"/>
  <c r="AG134" i="187"/>
  <c r="AC132" i="187"/>
  <c r="L45" i="224"/>
  <c r="K45" i="224"/>
  <c r="I45" i="224"/>
  <c r="H45" i="224"/>
  <c r="G45" i="224"/>
  <c r="F45" i="224"/>
  <c r="E45" i="224"/>
  <c r="D45" i="224"/>
  <c r="C45" i="224"/>
  <c r="L29" i="224"/>
  <c r="K29" i="224"/>
  <c r="I29" i="224"/>
  <c r="H29" i="224"/>
  <c r="G29" i="224"/>
  <c r="F29" i="224"/>
  <c r="E29" i="224"/>
  <c r="D29" i="224"/>
  <c r="C29" i="224"/>
  <c r="R110" i="206"/>
  <c r="Q110" i="206"/>
  <c r="P110" i="206"/>
  <c r="O110" i="206"/>
  <c r="N110" i="206"/>
  <c r="M110" i="206"/>
  <c r="L110" i="206"/>
  <c r="K110" i="206"/>
  <c r="I110" i="206"/>
  <c r="H110" i="206"/>
  <c r="G110" i="206"/>
  <c r="F110" i="206"/>
  <c r="E110" i="206"/>
  <c r="D110" i="206"/>
  <c r="H108" i="206"/>
  <c r="G108" i="206"/>
  <c r="F108" i="206"/>
  <c r="E108" i="206"/>
  <c r="D108" i="206"/>
  <c r="H107" i="206"/>
  <c r="G107" i="206"/>
  <c r="F107" i="206"/>
  <c r="E107" i="206"/>
  <c r="D107" i="206"/>
  <c r="R105" i="206"/>
  <c r="Q105" i="206"/>
  <c r="P105" i="206"/>
  <c r="O105" i="206"/>
  <c r="N105" i="206"/>
  <c r="M105" i="206"/>
  <c r="L105" i="206"/>
  <c r="K105" i="206"/>
  <c r="I105" i="206"/>
  <c r="H105" i="206"/>
  <c r="G105" i="206"/>
  <c r="F105" i="206"/>
  <c r="E105" i="206"/>
  <c r="D105" i="206"/>
  <c r="R104" i="206"/>
  <c r="Q104" i="206"/>
  <c r="P104" i="206"/>
  <c r="O104" i="206"/>
  <c r="N104" i="206"/>
  <c r="M104" i="206"/>
  <c r="L104" i="206"/>
  <c r="K104" i="206"/>
  <c r="I104" i="206"/>
  <c r="H104" i="206"/>
  <c r="G104" i="206"/>
  <c r="F104" i="206"/>
  <c r="E104" i="206"/>
  <c r="D104" i="206"/>
  <c r="R103" i="206"/>
  <c r="Q103" i="206"/>
  <c r="P103" i="206"/>
  <c r="O103" i="206"/>
  <c r="N103" i="206"/>
  <c r="M103" i="206"/>
  <c r="L103" i="206"/>
  <c r="K103" i="206"/>
  <c r="I103" i="206"/>
  <c r="H103" i="206"/>
  <c r="G103" i="206"/>
  <c r="F103" i="206"/>
  <c r="E103" i="206"/>
  <c r="D103" i="206"/>
  <c r="R102" i="206"/>
  <c r="Q102" i="206"/>
  <c r="P102" i="206"/>
  <c r="O102" i="206"/>
  <c r="N102" i="206"/>
  <c r="M102" i="206"/>
  <c r="L102" i="206"/>
  <c r="K102" i="206"/>
  <c r="I102" i="206"/>
  <c r="H102" i="206"/>
  <c r="G102" i="206"/>
  <c r="F102" i="206"/>
  <c r="E102" i="206"/>
  <c r="R95" i="206"/>
  <c r="R98" i="206" s="1"/>
  <c r="R100" i="206" s="1"/>
  <c r="Q95" i="206"/>
  <c r="Q98" i="206" s="1"/>
  <c r="Q100" i="206" s="1"/>
  <c r="P95" i="206"/>
  <c r="P98" i="206" s="1"/>
  <c r="P100" i="206" s="1"/>
  <c r="O95" i="206"/>
  <c r="O98" i="206" s="1"/>
  <c r="O100" i="206" s="1"/>
  <c r="N95" i="206"/>
  <c r="N98" i="206" s="1"/>
  <c r="M95" i="206"/>
  <c r="M98" i="206" s="1"/>
  <c r="M100" i="206" s="1"/>
  <c r="L95" i="206"/>
  <c r="L98" i="206" s="1"/>
  <c r="L100" i="206" s="1"/>
  <c r="K95" i="206"/>
  <c r="K98" i="206" s="1"/>
  <c r="K100" i="206" s="1"/>
  <c r="I95" i="206"/>
  <c r="I98" i="206" s="1"/>
  <c r="I100" i="206" s="1"/>
  <c r="H95" i="206"/>
  <c r="H98" i="206" s="1"/>
  <c r="H100" i="206" s="1"/>
  <c r="G95" i="206"/>
  <c r="G98" i="206" s="1"/>
  <c r="G100" i="206" s="1"/>
  <c r="F95" i="206"/>
  <c r="F98" i="206" s="1"/>
  <c r="F100" i="206" s="1"/>
  <c r="E95" i="206"/>
  <c r="E98" i="206" s="1"/>
  <c r="D95" i="206"/>
  <c r="D98" i="206" s="1"/>
  <c r="D100" i="206" s="1"/>
  <c r="R84" i="206"/>
  <c r="R87" i="206" s="1"/>
  <c r="R89" i="206" s="1"/>
  <c r="Q84" i="206"/>
  <c r="Q87" i="206" s="1"/>
  <c r="Q89" i="206" s="1"/>
  <c r="P84" i="206"/>
  <c r="P87" i="206" s="1"/>
  <c r="P89" i="206" s="1"/>
  <c r="O84" i="206"/>
  <c r="O87" i="206" s="1"/>
  <c r="N84" i="206"/>
  <c r="N87" i="206" s="1"/>
  <c r="N89" i="206" s="1"/>
  <c r="M84" i="206"/>
  <c r="M87" i="206" s="1"/>
  <c r="M89" i="206" s="1"/>
  <c r="L84" i="206"/>
  <c r="L87" i="206" s="1"/>
  <c r="K84" i="206"/>
  <c r="K87" i="206" s="1"/>
  <c r="K89" i="206" s="1"/>
  <c r="I84" i="206"/>
  <c r="I87" i="206" s="1"/>
  <c r="H84" i="206"/>
  <c r="H87" i="206" s="1"/>
  <c r="H89" i="206" s="1"/>
  <c r="G84" i="206"/>
  <c r="G87" i="206" s="1"/>
  <c r="G89" i="206" s="1"/>
  <c r="F84" i="206"/>
  <c r="F87" i="206" s="1"/>
  <c r="F89" i="206" s="1"/>
  <c r="E84" i="206"/>
  <c r="E87" i="206" s="1"/>
  <c r="D84" i="206"/>
  <c r="D87" i="206" s="1"/>
  <c r="D89" i="206" s="1"/>
  <c r="R73" i="206"/>
  <c r="R76" i="206" s="1"/>
  <c r="R78" i="206" s="1"/>
  <c r="Q73" i="206"/>
  <c r="Q106" i="206" s="1"/>
  <c r="P73" i="206"/>
  <c r="P76" i="206" s="1"/>
  <c r="O73" i="206"/>
  <c r="O76" i="206" s="1"/>
  <c r="O78" i="206" s="1"/>
  <c r="N73" i="206"/>
  <c r="N76" i="206" s="1"/>
  <c r="M73" i="206"/>
  <c r="M76" i="206" s="1"/>
  <c r="M78" i="206" s="1"/>
  <c r="L73" i="206"/>
  <c r="L76" i="206" s="1"/>
  <c r="L78" i="206" s="1"/>
  <c r="K73" i="206"/>
  <c r="K76" i="206" s="1"/>
  <c r="I73" i="206"/>
  <c r="I76" i="206" s="1"/>
  <c r="I78" i="206" s="1"/>
  <c r="H73" i="206"/>
  <c r="H76" i="206" s="1"/>
  <c r="H78" i="206" s="1"/>
  <c r="G73" i="206"/>
  <c r="G76" i="206" s="1"/>
  <c r="G78" i="206" s="1"/>
  <c r="F73" i="206"/>
  <c r="F76" i="206" s="1"/>
  <c r="E73" i="206"/>
  <c r="E76" i="206" s="1"/>
  <c r="E109" i="206" s="1"/>
  <c r="D73" i="206"/>
  <c r="D76" i="206" s="1"/>
  <c r="D78" i="206" s="1"/>
  <c r="AE135" i="187"/>
  <c r="AG135" i="187"/>
  <c r="AD135" i="187"/>
  <c r="AC135" i="187"/>
  <c r="O106" i="206"/>
  <c r="R108" i="206"/>
  <c r="P108" i="206"/>
  <c r="R107" i="206"/>
  <c r="P107" i="206"/>
  <c r="N107" i="206"/>
  <c r="K108" i="206"/>
  <c r="Q108" i="206"/>
  <c r="O107" i="206"/>
  <c r="L107" i="206"/>
  <c r="I107" i="206"/>
  <c r="M108" i="206"/>
  <c r="N108" i="206"/>
  <c r="M107" i="206"/>
  <c r="K107" i="206"/>
  <c r="Q107" i="206"/>
  <c r="O108" i="206"/>
  <c r="L108" i="206"/>
  <c r="I108" i="206"/>
  <c r="E100" i="206"/>
  <c r="P78" i="206"/>
  <c r="E89" i="206"/>
  <c r="I89" i="206"/>
  <c r="L89" i="206"/>
  <c r="N100" i="206"/>
  <c r="C34" i="210"/>
  <c r="C45" i="210" s="1"/>
  <c r="C44" i="210" s="1"/>
  <c r="I234" i="206"/>
  <c r="C65" i="217"/>
  <c r="D59" i="217" s="1"/>
  <c r="D65" i="217" s="1"/>
  <c r="F59" i="217" s="1"/>
  <c r="F65" i="217" s="1"/>
  <c r="G59" i="217" s="1"/>
  <c r="G65" i="217" s="1"/>
  <c r="P234" i="206"/>
  <c r="R234" i="206"/>
  <c r="L234" i="206"/>
  <c r="H288" i="206"/>
  <c r="H287" i="206"/>
  <c r="H286" i="206"/>
  <c r="H285" i="206"/>
  <c r="H284" i="206"/>
  <c r="H283" i="206"/>
  <c r="H282" i="206"/>
  <c r="R41" i="206"/>
  <c r="Q41" i="206"/>
  <c r="P41" i="206"/>
  <c r="O41" i="206"/>
  <c r="N41" i="206"/>
  <c r="M41" i="206"/>
  <c r="L41" i="206"/>
  <c r="K41" i="206"/>
  <c r="I41" i="206"/>
  <c r="H41" i="206"/>
  <c r="G41" i="206"/>
  <c r="F41" i="206"/>
  <c r="E41" i="206"/>
  <c r="D41" i="206"/>
  <c r="R38" i="206"/>
  <c r="Q38" i="206"/>
  <c r="P38" i="206"/>
  <c r="O38" i="206"/>
  <c r="N38" i="206"/>
  <c r="M38" i="206"/>
  <c r="L38" i="206"/>
  <c r="K38" i="206"/>
  <c r="I38" i="206"/>
  <c r="H38" i="206"/>
  <c r="G38" i="206"/>
  <c r="F38" i="206"/>
  <c r="E38" i="206"/>
  <c r="D38" i="206"/>
  <c r="R35" i="206"/>
  <c r="Q35" i="206"/>
  <c r="P35" i="206"/>
  <c r="O35" i="206"/>
  <c r="N35" i="206"/>
  <c r="M35" i="206"/>
  <c r="L35" i="206"/>
  <c r="K35" i="206"/>
  <c r="I35" i="206"/>
  <c r="H35" i="206"/>
  <c r="G35" i="206"/>
  <c r="F35" i="206"/>
  <c r="E35" i="206"/>
  <c r="D35" i="206"/>
  <c r="R32" i="206"/>
  <c r="Q32" i="206"/>
  <c r="P32" i="206"/>
  <c r="O32" i="206"/>
  <c r="N32" i="206"/>
  <c r="M32" i="206"/>
  <c r="L32" i="206"/>
  <c r="K32" i="206"/>
  <c r="I32" i="206"/>
  <c r="H32" i="206"/>
  <c r="G32" i="206"/>
  <c r="F32" i="206"/>
  <c r="E32" i="206"/>
  <c r="R29" i="206"/>
  <c r="Q29" i="206"/>
  <c r="P29" i="206"/>
  <c r="O29" i="206"/>
  <c r="N29" i="206"/>
  <c r="M29" i="206"/>
  <c r="L29" i="206"/>
  <c r="K29" i="206"/>
  <c r="I29" i="206"/>
  <c r="H29" i="206"/>
  <c r="G29" i="206"/>
  <c r="F29" i="206"/>
  <c r="E29" i="206"/>
  <c r="R26" i="206"/>
  <c r="Q26" i="206"/>
  <c r="P26" i="206"/>
  <c r="O26" i="206"/>
  <c r="N26" i="206"/>
  <c r="M26" i="206"/>
  <c r="L26" i="206"/>
  <c r="K26" i="206"/>
  <c r="I26" i="206"/>
  <c r="H26" i="206"/>
  <c r="G26" i="206"/>
  <c r="F26" i="206"/>
  <c r="E26" i="206"/>
  <c r="H209" i="206"/>
  <c r="D209" i="206"/>
  <c r="D34" i="210"/>
  <c r="D45" i="210" s="1"/>
  <c r="D44" i="210" s="1"/>
  <c r="E34" i="210"/>
  <c r="E45" i="210" s="1"/>
  <c r="E44" i="210" s="1"/>
  <c r="F34" i="210"/>
  <c r="F45" i="210" s="1"/>
  <c r="F44" i="210" s="1"/>
  <c r="G34" i="210"/>
  <c r="G45" i="210" s="1"/>
  <c r="G44" i="210" s="1"/>
  <c r="H34" i="210"/>
  <c r="I45" i="210" s="1"/>
  <c r="I44" i="210" s="1"/>
  <c r="I34" i="210"/>
  <c r="J45" i="210" s="1"/>
  <c r="J44" i="210" s="1"/>
  <c r="J34" i="210"/>
  <c r="K45" i="210" s="1"/>
  <c r="K44" i="210" s="1"/>
  <c r="K34" i="210"/>
  <c r="L45" i="210" s="1"/>
  <c r="L44" i="210" s="1"/>
  <c r="L34" i="210"/>
  <c r="M45" i="210" s="1"/>
  <c r="M44" i="210" s="1"/>
  <c r="M34" i="210"/>
  <c r="N45" i="210" s="1"/>
  <c r="N44" i="210" s="1"/>
  <c r="N34" i="210"/>
  <c r="O45" i="210" s="1"/>
  <c r="O44" i="210" s="1"/>
  <c r="O34" i="210"/>
  <c r="P45" i="210" s="1"/>
  <c r="P44" i="210" s="1"/>
  <c r="P34" i="210"/>
  <c r="Q45" i="210" s="1"/>
  <c r="Q44" i="210" s="1"/>
  <c r="H28" i="205"/>
  <c r="I28" i="205"/>
  <c r="M21" i="203"/>
  <c r="M20" i="203"/>
  <c r="D65" i="203"/>
  <c r="D100" i="203" s="1"/>
  <c r="E65" i="203"/>
  <c r="E100" i="203" s="1"/>
  <c r="F65" i="203"/>
  <c r="G65" i="203"/>
  <c r="G100" i="203" s="1"/>
  <c r="L88" i="203"/>
  <c r="F89" i="203"/>
  <c r="E88" i="203"/>
  <c r="D88" i="203"/>
  <c r="C88" i="203"/>
  <c r="F90" i="203"/>
  <c r="F88" i="203"/>
  <c r="E89" i="203"/>
  <c r="D89" i="203"/>
  <c r="E90" i="203"/>
  <c r="D90" i="203"/>
  <c r="G90" i="203"/>
  <c r="C90" i="203"/>
  <c r="G89" i="203"/>
  <c r="C89" i="203"/>
  <c r="M132" i="187"/>
  <c r="O132" i="187"/>
  <c r="P132" i="187"/>
  <c r="Q132" i="187"/>
  <c r="R132" i="187"/>
  <c r="S132" i="187"/>
  <c r="T132" i="187"/>
  <c r="U132" i="187"/>
  <c r="W132" i="187"/>
  <c r="X132" i="187"/>
  <c r="Y132" i="187"/>
  <c r="Z132" i="187"/>
  <c r="AA132" i="187"/>
  <c r="AD132" i="187"/>
  <c r="AE132" i="187"/>
  <c r="AG132" i="187"/>
  <c r="M133" i="187"/>
  <c r="O133" i="187"/>
  <c r="P133" i="187"/>
  <c r="Q133" i="187"/>
  <c r="R133" i="187"/>
  <c r="S133" i="187"/>
  <c r="T133" i="187"/>
  <c r="U133" i="187"/>
  <c r="W133" i="187"/>
  <c r="X133" i="187"/>
  <c r="Y133" i="187"/>
  <c r="Z133" i="187"/>
  <c r="AA133" i="187"/>
  <c r="AC133" i="187"/>
  <c r="AD133" i="187"/>
  <c r="AE133" i="187"/>
  <c r="AG133" i="187"/>
  <c r="M134" i="187"/>
  <c r="O134" i="187"/>
  <c r="P134" i="187"/>
  <c r="Q134" i="187"/>
  <c r="R134" i="187"/>
  <c r="S134" i="187"/>
  <c r="T134" i="187"/>
  <c r="U134" i="187"/>
  <c r="W134" i="187"/>
  <c r="X134" i="187"/>
  <c r="Y134" i="187"/>
  <c r="Z134" i="187"/>
  <c r="AA134" i="187"/>
  <c r="AC134" i="187"/>
  <c r="H136" i="187"/>
  <c r="I136" i="187"/>
  <c r="J136" i="187"/>
  <c r="K136" i="187"/>
  <c r="W136" i="187"/>
  <c r="X136" i="187"/>
  <c r="Y136" i="187"/>
  <c r="Z136" i="187"/>
  <c r="AA136" i="187"/>
  <c r="G136" i="187"/>
  <c r="G119" i="187"/>
  <c r="AA114" i="187"/>
  <c r="AA135" i="187" s="1"/>
  <c r="Z114" i="187"/>
  <c r="Y114" i="187"/>
  <c r="Y135" i="187" s="1"/>
  <c r="X114" i="187"/>
  <c r="X135" i="187" s="1"/>
  <c r="W114" i="187"/>
  <c r="U114" i="187"/>
  <c r="U135" i="187" s="1"/>
  <c r="T114" i="187"/>
  <c r="S114" i="187"/>
  <c r="S135" i="187" s="1"/>
  <c r="R114" i="187"/>
  <c r="R135" i="187" s="1"/>
  <c r="Q114" i="187"/>
  <c r="Q135" i="187" s="1"/>
  <c r="P114" i="187"/>
  <c r="O114" i="187"/>
  <c r="O135" i="187" s="1"/>
  <c r="M114" i="187"/>
  <c r="W135" i="187"/>
  <c r="P135" i="187"/>
  <c r="C15" i="203"/>
  <c r="C50" i="203" s="1"/>
  <c r="C54" i="203" s="1"/>
  <c r="AH144" i="187"/>
  <c r="G138" i="187"/>
  <c r="M136" i="187"/>
  <c r="M137" i="187"/>
  <c r="O137" i="187"/>
  <c r="O136" i="187"/>
  <c r="AC119" i="187"/>
  <c r="N15" i="203"/>
  <c r="N50" i="203" s="1"/>
  <c r="N54" i="203" s="1"/>
  <c r="O15" i="203"/>
  <c r="P15" i="203"/>
  <c r="P50" i="203" s="1"/>
  <c r="P54" i="203" s="1"/>
  <c r="M15" i="203"/>
  <c r="Q15" i="203"/>
  <c r="Q75" i="222"/>
  <c r="P75" i="222"/>
  <c r="O75" i="222"/>
  <c r="N75" i="222"/>
  <c r="M75" i="222"/>
  <c r="L75" i="222"/>
  <c r="J75" i="222"/>
  <c r="I75" i="222"/>
  <c r="H75" i="222"/>
  <c r="G75" i="222"/>
  <c r="F75" i="222"/>
  <c r="E75" i="222"/>
  <c r="D75" i="222"/>
  <c r="C75" i="222"/>
  <c r="Q63" i="222"/>
  <c r="P63" i="222"/>
  <c r="O63" i="222"/>
  <c r="N63" i="222"/>
  <c r="M63" i="222"/>
  <c r="L63" i="222"/>
  <c r="J63" i="222"/>
  <c r="I63" i="222"/>
  <c r="H63" i="222"/>
  <c r="G63" i="222"/>
  <c r="F63" i="222"/>
  <c r="E63" i="222"/>
  <c r="D63" i="222"/>
  <c r="C63" i="222"/>
  <c r="Q24" i="220"/>
  <c r="P24" i="220"/>
  <c r="O24" i="220"/>
  <c r="N24" i="220"/>
  <c r="M24" i="220"/>
  <c r="L24" i="220"/>
  <c r="K24" i="220"/>
  <c r="I24" i="220"/>
  <c r="H24" i="220"/>
  <c r="G24" i="220"/>
  <c r="F24" i="220"/>
  <c r="E24" i="220"/>
  <c r="D24" i="220"/>
  <c r="C24" i="220"/>
  <c r="Q54" i="218"/>
  <c r="P54" i="218"/>
  <c r="O54" i="218"/>
  <c r="N54" i="218"/>
  <c r="M54" i="218"/>
  <c r="L54" i="218"/>
  <c r="K54" i="218"/>
  <c r="I54" i="218"/>
  <c r="H54" i="218"/>
  <c r="G54" i="218"/>
  <c r="F54" i="218"/>
  <c r="E54" i="218"/>
  <c r="D54" i="218"/>
  <c r="C57" i="217"/>
  <c r="AH73" i="187"/>
  <c r="AB74" i="187"/>
  <c r="AH74" i="187"/>
  <c r="AB75" i="187"/>
  <c r="AH75" i="187"/>
  <c r="AB76" i="187"/>
  <c r="AH76" i="187"/>
  <c r="AB77" i="187"/>
  <c r="AH77" i="187"/>
  <c r="M84" i="187"/>
  <c r="O84" i="187"/>
  <c r="O87" i="187"/>
  <c r="P84" i="187"/>
  <c r="R84" i="187"/>
  <c r="S84" i="187"/>
  <c r="T84" i="187"/>
  <c r="U84" i="187"/>
  <c r="W84" i="187"/>
  <c r="X84" i="187"/>
  <c r="Y84" i="187"/>
  <c r="Z84" i="187"/>
  <c r="AB85" i="187"/>
  <c r="AB109" i="187"/>
  <c r="AH109" i="187"/>
  <c r="D15" i="203"/>
  <c r="D50" i="203" s="1"/>
  <c r="D54" i="203" s="1"/>
  <c r="D66" i="203"/>
  <c r="D101" i="203" s="1"/>
  <c r="D102" i="203" s="1"/>
  <c r="D64" i="203"/>
  <c r="K15" i="203"/>
  <c r="G17" i="203"/>
  <c r="G52" i="203" s="1"/>
  <c r="G55" i="203" s="1"/>
  <c r="G15" i="203"/>
  <c r="G50" i="203" s="1"/>
  <c r="G54" i="203" s="1"/>
  <c r="G64" i="203"/>
  <c r="F66" i="203"/>
  <c r="F101" i="203" s="1"/>
  <c r="F102" i="203" s="1"/>
  <c r="F103" i="203" s="1"/>
  <c r="F105" i="203" s="1"/>
  <c r="F64" i="203"/>
  <c r="F99" i="203" s="1"/>
  <c r="I15" i="203"/>
  <c r="I50" i="203" s="1"/>
  <c r="I54" i="203" s="1"/>
  <c r="E17" i="203"/>
  <c r="E52" i="203" s="1"/>
  <c r="E55" i="203" s="1"/>
  <c r="E15" i="203"/>
  <c r="E66" i="203"/>
  <c r="E101" i="203" s="1"/>
  <c r="E102" i="203" s="1"/>
  <c r="E103" i="203" s="1"/>
  <c r="E105" i="203" s="1"/>
  <c r="E64" i="203"/>
  <c r="E99" i="203" s="1"/>
  <c r="H15" i="203"/>
  <c r="H50" i="203" s="1"/>
  <c r="H54" i="203" s="1"/>
  <c r="R15" i="203"/>
  <c r="C64" i="203"/>
  <c r="C99" i="203" s="1"/>
  <c r="J15" i="203"/>
  <c r="J50" i="203" s="1"/>
  <c r="J54" i="203" s="1"/>
  <c r="F17" i="203"/>
  <c r="F15" i="203"/>
  <c r="C17" i="203"/>
  <c r="C52" i="203" s="1"/>
  <c r="C55" i="203" s="1"/>
  <c r="O138" i="187"/>
  <c r="Z119" i="187"/>
  <c r="J138" i="187"/>
  <c r="J119" i="187"/>
  <c r="W138" i="187"/>
  <c r="W119" i="187"/>
  <c r="Y119" i="187"/>
  <c r="AA138" i="187"/>
  <c r="AA119" i="187"/>
  <c r="K138" i="187"/>
  <c r="K119" i="187"/>
  <c r="P136" i="187"/>
  <c r="H138" i="187"/>
  <c r="H119" i="187"/>
  <c r="X138" i="187"/>
  <c r="X119" i="187"/>
  <c r="P137" i="187"/>
  <c r="M119" i="187"/>
  <c r="AD136" i="187"/>
  <c r="AG136" i="187"/>
  <c r="AE136" i="187"/>
  <c r="D51" i="217"/>
  <c r="D57" i="217" s="1"/>
  <c r="O119" i="187"/>
  <c r="N17" i="203"/>
  <c r="N52" i="203" s="1"/>
  <c r="N55" i="203" s="1"/>
  <c r="Q17" i="203"/>
  <c r="Q52" i="203" s="1"/>
  <c r="Q55" i="203" s="1"/>
  <c r="J17" i="203"/>
  <c r="P17" i="203"/>
  <c r="P52" i="203" s="1"/>
  <c r="P55" i="203" s="1"/>
  <c r="M17" i="203"/>
  <c r="M52" i="203" s="1"/>
  <c r="M55" i="203" s="1"/>
  <c r="O17" i="203"/>
  <c r="R17" i="203"/>
  <c r="R52" i="203" s="1"/>
  <c r="R55" i="203" s="1"/>
  <c r="C66" i="203"/>
  <c r="C101" i="203" s="1"/>
  <c r="H17" i="203"/>
  <c r="H52" i="203" s="1"/>
  <c r="H55" i="203" s="1"/>
  <c r="I17" i="203"/>
  <c r="I52" i="203" s="1"/>
  <c r="I55" i="203" s="1"/>
  <c r="G66" i="203"/>
  <c r="G101" i="203" s="1"/>
  <c r="G102" i="203" s="1"/>
  <c r="K17" i="203"/>
  <c r="K52" i="203" s="1"/>
  <c r="K55" i="203" s="1"/>
  <c r="D17" i="203"/>
  <c r="D52" i="203" s="1"/>
  <c r="D55" i="203" s="1"/>
  <c r="L119" i="187"/>
  <c r="P138" i="187"/>
  <c r="AC136" i="187"/>
  <c r="AH115" i="187"/>
  <c r="T54" i="216"/>
  <c r="I87" i="187"/>
  <c r="I89" i="187" s="1"/>
  <c r="M87" i="187"/>
  <c r="M89" i="187" s="1"/>
  <c r="Q87" i="187"/>
  <c r="P89" i="187" s="1"/>
  <c r="U87" i="187"/>
  <c r="U89" i="187" s="1"/>
  <c r="Z87" i="187"/>
  <c r="Z89" i="187" s="1"/>
  <c r="L89" i="187"/>
  <c r="T87" i="187"/>
  <c r="T89" i="187" s="1"/>
  <c r="Y87" i="187"/>
  <c r="Y89" i="187" s="1"/>
  <c r="K87" i="187"/>
  <c r="K89" i="187" s="1"/>
  <c r="S87" i="187"/>
  <c r="S89" i="187" s="1"/>
  <c r="X87" i="187"/>
  <c r="X89" i="187" s="1"/>
  <c r="J87" i="187"/>
  <c r="J89" i="187" s="1"/>
  <c r="N89" i="187"/>
  <c r="R87" i="187"/>
  <c r="Q89" i="187" s="1"/>
  <c r="W87" i="187"/>
  <c r="W89" i="187" s="1"/>
  <c r="AA87" i="187"/>
  <c r="AA89" i="187" s="1"/>
  <c r="H87" i="187"/>
  <c r="AG87" i="187"/>
  <c r="AG89" i="187" s="1"/>
  <c r="AF87" i="187"/>
  <c r="AF89" i="187" s="1"/>
  <c r="H89" i="187"/>
  <c r="P87" i="187"/>
  <c r="R89" i="187"/>
  <c r="U54" i="216"/>
  <c r="O89" i="187"/>
  <c r="Q20" i="203"/>
  <c r="O20" i="203"/>
  <c r="N20" i="203"/>
  <c r="Q21" i="203"/>
  <c r="P20" i="203"/>
  <c r="O21" i="203"/>
  <c r="P21" i="203"/>
  <c r="N21" i="203"/>
  <c r="E93" i="203"/>
  <c r="G94" i="203"/>
  <c r="G93" i="203"/>
  <c r="C94" i="203"/>
  <c r="F94" i="203"/>
  <c r="E94" i="203"/>
  <c r="D93" i="203"/>
  <c r="D92" i="203"/>
  <c r="E92" i="203"/>
  <c r="F93" i="203"/>
  <c r="G92" i="203"/>
  <c r="F92" i="203"/>
  <c r="D94" i="203"/>
  <c r="D70" i="203"/>
  <c r="F69" i="203"/>
  <c r="E70" i="203"/>
  <c r="E69" i="203"/>
  <c r="G69" i="203"/>
  <c r="F70" i="203"/>
  <c r="C21" i="203"/>
  <c r="H21" i="203"/>
  <c r="G21" i="203"/>
  <c r="F21" i="203"/>
  <c r="E21" i="203"/>
  <c r="J21" i="203"/>
  <c r="I21" i="203"/>
  <c r="G70" i="203"/>
  <c r="D69" i="203"/>
  <c r="C70" i="203"/>
  <c r="K21" i="203"/>
  <c r="D21" i="203"/>
  <c r="H93" i="203"/>
  <c r="L92" i="203"/>
  <c r="J92" i="203"/>
  <c r="J94" i="203"/>
  <c r="L93" i="203"/>
  <c r="K94" i="203"/>
  <c r="I92" i="203"/>
  <c r="I93" i="203"/>
  <c r="I94" i="203"/>
  <c r="H92" i="203"/>
  <c r="J93" i="203"/>
  <c r="L94" i="203"/>
  <c r="K92" i="203"/>
  <c r="K93" i="203"/>
  <c r="H94" i="203"/>
  <c r="C93" i="203"/>
  <c r="C69" i="203"/>
  <c r="M100" i="203"/>
  <c r="AD87" i="187"/>
  <c r="I69" i="203"/>
  <c r="H70" i="203"/>
  <c r="J70" i="203"/>
  <c r="L70" i="203"/>
  <c r="L69" i="203"/>
  <c r="K70" i="203"/>
  <c r="H69" i="203"/>
  <c r="I70" i="203"/>
  <c r="L68" i="203"/>
  <c r="K69" i="203"/>
  <c r="J69" i="203"/>
  <c r="L72" i="203"/>
  <c r="L99" i="203"/>
  <c r="G99" i="203"/>
  <c r="D99" i="203"/>
  <c r="H99" i="203"/>
  <c r="E73" i="203"/>
  <c r="D73" i="203"/>
  <c r="I73" i="203"/>
  <c r="I100" i="203"/>
  <c r="H73" i="203"/>
  <c r="R24" i="203"/>
  <c r="D24" i="203"/>
  <c r="N24" i="203"/>
  <c r="J73" i="203"/>
  <c r="G73" i="203"/>
  <c r="K73" i="203"/>
  <c r="Q24" i="203"/>
  <c r="F73" i="203"/>
  <c r="F100" i="203"/>
  <c r="L73" i="203"/>
  <c r="H24" i="203"/>
  <c r="E24" i="203"/>
  <c r="C24" i="203"/>
  <c r="K24" i="203"/>
  <c r="O24" i="203"/>
  <c r="P24" i="203"/>
  <c r="I24" i="203"/>
  <c r="F24" i="203"/>
  <c r="M24" i="203"/>
  <c r="J24" i="203"/>
  <c r="G24" i="203"/>
  <c r="J101" i="203"/>
  <c r="H101" i="203"/>
  <c r="H102" i="203" s="1"/>
  <c r="L74" i="203"/>
  <c r="L101" i="203"/>
  <c r="L102" i="203" s="1"/>
  <c r="M139" i="187"/>
  <c r="J137" i="187"/>
  <c r="K137" i="187"/>
  <c r="W139" i="187"/>
  <c r="I137" i="187"/>
  <c r="S137" i="187"/>
  <c r="U137" i="187"/>
  <c r="R137" i="187"/>
  <c r="I139" i="187"/>
  <c r="O139" i="187"/>
  <c r="J139" i="187"/>
  <c r="AC137" i="187"/>
  <c r="H137" i="187"/>
  <c r="R50" i="203"/>
  <c r="R54" i="203" s="1"/>
  <c r="C73" i="203"/>
  <c r="G137" i="187"/>
  <c r="K139" i="187"/>
  <c r="T137" i="187"/>
  <c r="Q137" i="187"/>
  <c r="T136" i="187"/>
  <c r="U136" i="187"/>
  <c r="R136" i="187"/>
  <c r="S136" i="187"/>
  <c r="Q136" i="187"/>
  <c r="AE137" i="187"/>
  <c r="AC138" i="187"/>
  <c r="AG137" i="187"/>
  <c r="AD137" i="187"/>
  <c r="AH117" i="187"/>
  <c r="S138" i="187"/>
  <c r="R138" i="187"/>
  <c r="AD119" i="187"/>
  <c r="AG119" i="187"/>
  <c r="AG138" i="187"/>
  <c r="D40" i="203"/>
  <c r="D39" i="203"/>
  <c r="G40" i="203"/>
  <c r="E40" i="203"/>
  <c r="G39" i="203"/>
  <c r="F39" i="203"/>
  <c r="C39" i="203"/>
  <c r="F40" i="203"/>
  <c r="H41" i="203"/>
  <c r="K39" i="203"/>
  <c r="K41" i="203"/>
  <c r="G41" i="203"/>
  <c r="D41" i="203"/>
  <c r="I41" i="203"/>
  <c r="J40" i="203"/>
  <c r="I40" i="203"/>
  <c r="C41" i="203"/>
  <c r="F41" i="203"/>
  <c r="J41" i="203"/>
  <c r="K40" i="203"/>
  <c r="H40" i="203"/>
  <c r="E41" i="203"/>
  <c r="F44" i="203"/>
  <c r="D43" i="203"/>
  <c r="E44" i="203"/>
  <c r="G43" i="203"/>
  <c r="E43" i="203"/>
  <c r="D44" i="203"/>
  <c r="F43" i="203"/>
  <c r="G44" i="203"/>
  <c r="G45" i="203"/>
  <c r="D45" i="203"/>
  <c r="F45" i="203"/>
  <c r="O44" i="203"/>
  <c r="O51" i="203"/>
  <c r="P45" i="203"/>
  <c r="N44" i="203"/>
  <c r="I45" i="203"/>
  <c r="H45" i="203"/>
  <c r="M45" i="203"/>
  <c r="Q44" i="203"/>
  <c r="N45" i="203"/>
  <c r="E45" i="203"/>
  <c r="C45" i="203"/>
  <c r="Q45" i="203"/>
  <c r="M44" i="203"/>
  <c r="Q43" i="203"/>
  <c r="J45" i="203"/>
  <c r="O43" i="203"/>
  <c r="O45" i="203"/>
  <c r="O52" i="203"/>
  <c r="O55" i="203" s="1"/>
  <c r="K45" i="203"/>
  <c r="N43" i="203"/>
  <c r="P44" i="203"/>
  <c r="P43" i="203"/>
  <c r="M43" i="203"/>
  <c r="J52" i="203"/>
  <c r="J55" i="203" s="1"/>
  <c r="Q50" i="203"/>
  <c r="Q54" i="203" s="1"/>
  <c r="E50" i="203"/>
  <c r="E54" i="203" s="1"/>
  <c r="F52" i="203"/>
  <c r="F55" i="203" s="1"/>
  <c r="O50" i="203"/>
  <c r="O54" i="203" s="1"/>
  <c r="M50" i="203"/>
  <c r="M54" i="203" s="1"/>
  <c r="F51" i="203"/>
  <c r="F50" i="203"/>
  <c r="F54" i="203" s="1"/>
  <c r="D51" i="203"/>
  <c r="K43" i="203"/>
  <c r="K50" i="203"/>
  <c r="K54" i="203" s="1"/>
  <c r="H43" i="203"/>
  <c r="H44" i="203"/>
  <c r="H51" i="203"/>
  <c r="J44" i="203"/>
  <c r="J51" i="203"/>
  <c r="I44" i="203"/>
  <c r="I51" i="203"/>
  <c r="I43" i="203"/>
  <c r="J43" i="203"/>
  <c r="K44" i="203"/>
  <c r="C44" i="203"/>
  <c r="C40" i="203"/>
  <c r="C51" i="203"/>
  <c r="N268" i="242" l="1"/>
  <c r="S103" i="242"/>
  <c r="S106" i="242" s="1"/>
  <c r="S108" i="242" s="1"/>
  <c r="M132" i="242"/>
  <c r="M135" i="242" s="1"/>
  <c r="M137" i="242" s="1"/>
  <c r="AD131" i="242"/>
  <c r="H219" i="242"/>
  <c r="H222" i="242" s="1"/>
  <c r="H224" i="242" s="1"/>
  <c r="I140" i="187"/>
  <c r="P60" i="205"/>
  <c r="AH84" i="187"/>
  <c r="AB125" i="187"/>
  <c r="E103" i="242"/>
  <c r="V103" i="242"/>
  <c r="AD129" i="242"/>
  <c r="V161" i="242"/>
  <c r="V164" i="242" s="1"/>
  <c r="V166" i="242" s="1"/>
  <c r="L190" i="242"/>
  <c r="L193" i="242" s="1"/>
  <c r="L195" i="242" s="1"/>
  <c r="C219" i="242"/>
  <c r="C222" i="242" s="1"/>
  <c r="C224" i="242" s="1"/>
  <c r="AM119" i="187"/>
  <c r="AG51" i="235"/>
  <c r="AJ219" i="242"/>
  <c r="AJ222" i="242" s="1"/>
  <c r="AJ224" i="242" s="1"/>
  <c r="AE138" i="187"/>
  <c r="AD138" i="187"/>
  <c r="I119" i="187"/>
  <c r="AB119" i="187" s="1"/>
  <c r="AB117" i="187"/>
  <c r="P55" i="205"/>
  <c r="N234" i="206"/>
  <c r="N51" i="235"/>
  <c r="I39" i="203" s="1"/>
  <c r="P94" i="235"/>
  <c r="K88" i="203" s="1"/>
  <c r="AB55" i="231"/>
  <c r="X55" i="231"/>
  <c r="T55" i="231"/>
  <c r="O268" i="242"/>
  <c r="P268" i="242"/>
  <c r="K85" i="239"/>
  <c r="F273" i="206"/>
  <c r="M82" i="239"/>
  <c r="Q82" i="239"/>
  <c r="AC54" i="235"/>
  <c r="AA197" i="206"/>
  <c r="AC85" i="239"/>
  <c r="AG85" i="239"/>
  <c r="L138" i="187"/>
  <c r="L140" i="187" s="1"/>
  <c r="AB134" i="187"/>
  <c r="AH134" i="187"/>
  <c r="N197" i="206"/>
  <c r="O234" i="206"/>
  <c r="F234" i="206"/>
  <c r="R56" i="235"/>
  <c r="O51" i="235"/>
  <c r="J39" i="203" s="1"/>
  <c r="H54" i="235"/>
  <c r="J99" i="235"/>
  <c r="R55" i="187"/>
  <c r="AB50" i="187"/>
  <c r="L94" i="235"/>
  <c r="F103" i="242"/>
  <c r="N103" i="242"/>
  <c r="N106" i="242" s="1"/>
  <c r="N108" i="242" s="1"/>
  <c r="W103" i="242"/>
  <c r="W106" i="242" s="1"/>
  <c r="W108" i="242" s="1"/>
  <c r="AB103" i="242"/>
  <c r="AB106" i="242" s="1"/>
  <c r="AB108" i="242" s="1"/>
  <c r="H103" i="242"/>
  <c r="H132" i="242"/>
  <c r="H135" i="242" s="1"/>
  <c r="H137" i="242" s="1"/>
  <c r="L132" i="242"/>
  <c r="L135" i="242" s="1"/>
  <c r="L137" i="242" s="1"/>
  <c r="P132" i="242"/>
  <c r="P135" i="242" s="1"/>
  <c r="P137" i="242" s="1"/>
  <c r="U132" i="242"/>
  <c r="Z132" i="242"/>
  <c r="Z135" i="242" s="1"/>
  <c r="Z137" i="242" s="1"/>
  <c r="AD151" i="242"/>
  <c r="J161" i="242"/>
  <c r="J164" i="242" s="1"/>
  <c r="J166" i="242" s="1"/>
  <c r="W161" i="242"/>
  <c r="H161" i="242"/>
  <c r="E190" i="242"/>
  <c r="E193" i="242" s="1"/>
  <c r="E195" i="242" s="1"/>
  <c r="I190" i="242"/>
  <c r="I193" i="242" s="1"/>
  <c r="I195" i="242" s="1"/>
  <c r="M190" i="242"/>
  <c r="M193" i="242" s="1"/>
  <c r="M195" i="242" s="1"/>
  <c r="Q190" i="242"/>
  <c r="Q193" i="242" s="1"/>
  <c r="Q195" i="242" s="1"/>
  <c r="V190" i="242"/>
  <c r="V193" i="242" s="1"/>
  <c r="V195" i="242" s="1"/>
  <c r="AA190" i="242"/>
  <c r="AA193" i="242" s="1"/>
  <c r="AA195" i="242" s="1"/>
  <c r="AC190" i="242"/>
  <c r="AC193" i="242" s="1"/>
  <c r="AC195" i="242" s="1"/>
  <c r="AD204" i="242"/>
  <c r="D219" i="242"/>
  <c r="D222" i="242" s="1"/>
  <c r="D224" i="242" s="1"/>
  <c r="L219" i="242"/>
  <c r="L222" i="242" s="1"/>
  <c r="L224" i="242" s="1"/>
  <c r="P219" i="242"/>
  <c r="P222" i="242" s="1"/>
  <c r="P224" i="242" s="1"/>
  <c r="U219" i="242"/>
  <c r="U222" i="242" s="1"/>
  <c r="U224" i="242" s="1"/>
  <c r="Z219" i="242"/>
  <c r="Z222" i="242" s="1"/>
  <c r="Z224" i="242" s="1"/>
  <c r="J219" i="242"/>
  <c r="J222" i="242" s="1"/>
  <c r="J224" i="242" s="1"/>
  <c r="AD229" i="242"/>
  <c r="M266" i="242"/>
  <c r="H60" i="205"/>
  <c r="AA106" i="206"/>
  <c r="Z85" i="239"/>
  <c r="N99" i="235"/>
  <c r="J102" i="203"/>
  <c r="J103" i="203" s="1"/>
  <c r="J105" i="203" s="1"/>
  <c r="I62" i="205"/>
  <c r="I55" i="231"/>
  <c r="I103" i="203"/>
  <c r="I105" i="203" s="1"/>
  <c r="T135" i="187"/>
  <c r="C31" i="203"/>
  <c r="J97" i="235"/>
  <c r="T51" i="235"/>
  <c r="P39" i="203" s="1"/>
  <c r="M99" i="203"/>
  <c r="O265" i="242"/>
  <c r="O270" i="242" s="1"/>
  <c r="X76" i="206"/>
  <c r="W106" i="206"/>
  <c r="AC197" i="206"/>
  <c r="V234" i="206"/>
  <c r="Z234" i="206"/>
  <c r="M104" i="239"/>
  <c r="M118" i="239"/>
  <c r="AB138" i="187"/>
  <c r="AB87" i="187"/>
  <c r="Z135" i="187"/>
  <c r="G89" i="187"/>
  <c r="AB89" i="187" s="1"/>
  <c r="R58" i="206"/>
  <c r="R60" i="206" s="1"/>
  <c r="Q234" i="206"/>
  <c r="M234" i="206"/>
  <c r="H234" i="206"/>
  <c r="K234" i="206"/>
  <c r="P54" i="235"/>
  <c r="S51" i="235"/>
  <c r="O39" i="203" s="1"/>
  <c r="AC55" i="231"/>
  <c r="Y55" i="231"/>
  <c r="U55" i="231"/>
  <c r="S72" i="187"/>
  <c r="J234" i="206"/>
  <c r="M115" i="239"/>
  <c r="X88" i="242"/>
  <c r="AD93" i="242"/>
  <c r="J103" i="242"/>
  <c r="J106" i="242" s="1"/>
  <c r="J108" i="242" s="1"/>
  <c r="D132" i="242"/>
  <c r="D135" i="242" s="1"/>
  <c r="D137" i="242" s="1"/>
  <c r="F161" i="242"/>
  <c r="F164" i="242" s="1"/>
  <c r="F166" i="242" s="1"/>
  <c r="S161" i="242"/>
  <c r="S164" i="242" s="1"/>
  <c r="S166" i="242" s="1"/>
  <c r="AB161" i="242"/>
  <c r="AB164" i="242" s="1"/>
  <c r="AB166" i="242" s="1"/>
  <c r="O82" i="239"/>
  <c r="S82" i="239"/>
  <c r="W197" i="206"/>
  <c r="AB233" i="206"/>
  <c r="Z56" i="235"/>
  <c r="AE87" i="239"/>
  <c r="AC87" i="239"/>
  <c r="AH87" i="187"/>
  <c r="C102" i="203"/>
  <c r="J140" i="187"/>
  <c r="O140" i="187"/>
  <c r="G42" i="206"/>
  <c r="R111" i="206"/>
  <c r="P58" i="206"/>
  <c r="P60" i="206" s="1"/>
  <c r="AB78" i="187"/>
  <c r="P56" i="235"/>
  <c r="K97" i="235"/>
  <c r="N94" i="235"/>
  <c r="I88" i="203" s="1"/>
  <c r="AH70" i="187"/>
  <c r="F66" i="234"/>
  <c r="G55" i="231"/>
  <c r="Q267" i="242"/>
  <c r="L269" i="242"/>
  <c r="AD269" i="242" s="1"/>
  <c r="AB128" i="187"/>
  <c r="L85" i="239"/>
  <c r="K87" i="239"/>
  <c r="X234" i="206"/>
  <c r="AB234" i="206"/>
  <c r="T60" i="205"/>
  <c r="AH132" i="187"/>
  <c r="G273" i="206"/>
  <c r="O94" i="235"/>
  <c r="J88" i="203" s="1"/>
  <c r="AS135" i="187"/>
  <c r="Y197" i="206"/>
  <c r="AG82" i="239"/>
  <c r="AB67" i="187"/>
  <c r="M140" i="187"/>
  <c r="M42" i="206"/>
  <c r="Q42" i="206"/>
  <c r="K106" i="206"/>
  <c r="N178" i="206"/>
  <c r="H62" i="205"/>
  <c r="AH78" i="187"/>
  <c r="AH137" i="187"/>
  <c r="G56" i="235"/>
  <c r="F190" i="242"/>
  <c r="F193" i="242" s="1"/>
  <c r="F195" i="242" s="1"/>
  <c r="N82" i="239"/>
  <c r="R82" i="239"/>
  <c r="Y273" i="206"/>
  <c r="M45" i="238"/>
  <c r="T41" i="238"/>
  <c r="O114" i="239"/>
  <c r="O120" i="239" s="1"/>
  <c r="O118" i="239"/>
  <c r="O89" i="206"/>
  <c r="O111" i="206" s="1"/>
  <c r="O109" i="206"/>
  <c r="R273" i="206"/>
  <c r="R252" i="206"/>
  <c r="R50" i="216"/>
  <c r="S54" i="216"/>
  <c r="AH44" i="238"/>
  <c r="U44" i="238"/>
  <c r="O44" i="238"/>
  <c r="AD89" i="187"/>
  <c r="K140" i="187"/>
  <c r="AH133" i="187"/>
  <c r="AF42" i="238"/>
  <c r="L118" i="239"/>
  <c r="L104" i="239"/>
  <c r="L120" i="239" s="1"/>
  <c r="AF60" i="205"/>
  <c r="AF28" i="205"/>
  <c r="M91" i="217"/>
  <c r="M97" i="217" s="1"/>
  <c r="L91" i="217"/>
  <c r="L97" i="217" s="1"/>
  <c r="P99" i="235"/>
  <c r="E233" i="206"/>
  <c r="E231" i="206"/>
  <c r="N233" i="206"/>
  <c r="N235" i="206" s="1"/>
  <c r="N231" i="206"/>
  <c r="N273" i="206"/>
  <c r="AA40" i="239"/>
  <c r="AA87" i="239" s="1"/>
  <c r="AA85" i="239"/>
  <c r="AH89" i="187"/>
  <c r="AB84" i="187"/>
  <c r="AB136" i="187"/>
  <c r="E42" i="206"/>
  <c r="R42" i="206"/>
  <c r="D42" i="206"/>
  <c r="H42" i="206"/>
  <c r="F42" i="206"/>
  <c r="K42" i="206"/>
  <c r="O42" i="206"/>
  <c r="L109" i="206"/>
  <c r="L106" i="206"/>
  <c r="H106" i="206"/>
  <c r="N109" i="206"/>
  <c r="Q76" i="206"/>
  <c r="G109" i="206"/>
  <c r="P111" i="206"/>
  <c r="I111" i="206"/>
  <c r="R233" i="206"/>
  <c r="F31" i="203"/>
  <c r="G31" i="203"/>
  <c r="R60" i="205"/>
  <c r="P62" i="205"/>
  <c r="AB130" i="187"/>
  <c r="N97" i="235"/>
  <c r="J54" i="235"/>
  <c r="AB33" i="187"/>
  <c r="L44" i="238"/>
  <c r="AA43" i="238"/>
  <c r="I41" i="238"/>
  <c r="M120" i="239"/>
  <c r="P115" i="239"/>
  <c r="AD102" i="242"/>
  <c r="V132" i="242"/>
  <c r="V135" i="242" s="1"/>
  <c r="V137" i="242" s="1"/>
  <c r="J233" i="206"/>
  <c r="H30" i="239"/>
  <c r="H87" i="239" s="1"/>
  <c r="H85" i="239"/>
  <c r="T30" i="239"/>
  <c r="T87" i="239" s="1"/>
  <c r="T85" i="239"/>
  <c r="J40" i="239"/>
  <c r="J85" i="239"/>
  <c r="R40" i="239"/>
  <c r="R85" i="239"/>
  <c r="AH228" i="242"/>
  <c r="AH231" i="242" s="1"/>
  <c r="AH233" i="242" s="1"/>
  <c r="AH106" i="242"/>
  <c r="AH108" i="242" s="1"/>
  <c r="AD60" i="205"/>
  <c r="AA111" i="206"/>
  <c r="V89" i="206"/>
  <c r="V109" i="206"/>
  <c r="X197" i="206"/>
  <c r="X178" i="206"/>
  <c r="AB197" i="206"/>
  <c r="AB235" i="206" s="1"/>
  <c r="AB178" i="206"/>
  <c r="X273" i="206"/>
  <c r="Z54" i="235"/>
  <c r="AD85" i="239"/>
  <c r="AD30" i="239"/>
  <c r="AD87" i="239" s="1"/>
  <c r="Z87" i="239"/>
  <c r="AH136" i="187"/>
  <c r="U60" i="205"/>
  <c r="N42" i="206"/>
  <c r="P42" i="206"/>
  <c r="R106" i="206"/>
  <c r="D111" i="206"/>
  <c r="H109" i="206"/>
  <c r="M31" i="203"/>
  <c r="G54" i="235"/>
  <c r="R51" i="235"/>
  <c r="N39" i="203" s="1"/>
  <c r="AH61" i="187"/>
  <c r="AB61" i="187"/>
  <c r="AH44" i="187"/>
  <c r="AB44" i="187"/>
  <c r="AH27" i="187"/>
  <c r="AB27" i="187"/>
  <c r="G41" i="238"/>
  <c r="R41" i="238"/>
  <c r="J106" i="206"/>
  <c r="M69" i="238"/>
  <c r="V71" i="238"/>
  <c r="G58" i="238"/>
  <c r="O74" i="238" s="1"/>
  <c r="AD74" i="238"/>
  <c r="L115" i="239"/>
  <c r="N85" i="239"/>
  <c r="L273" i="206"/>
  <c r="R87" i="239"/>
  <c r="H118" i="239"/>
  <c r="H104" i="239"/>
  <c r="Y233" i="206"/>
  <c r="AF56" i="235"/>
  <c r="AE85" i="239"/>
  <c r="AG87" i="239"/>
  <c r="H99" i="235"/>
  <c r="P120" i="239"/>
  <c r="G233" i="206"/>
  <c r="E273" i="206"/>
  <c r="K102" i="203"/>
  <c r="I42" i="206"/>
  <c r="L42" i="206"/>
  <c r="F109" i="206"/>
  <c r="L111" i="206"/>
  <c r="D234" i="206"/>
  <c r="R54" i="235"/>
  <c r="AH114" i="187"/>
  <c r="AB114" i="187"/>
  <c r="AB133" i="187"/>
  <c r="AB132" i="187"/>
  <c r="F78" i="206"/>
  <c r="F111" i="206" s="1"/>
  <c r="D109" i="206"/>
  <c r="M106" i="206"/>
  <c r="D106" i="206"/>
  <c r="F106" i="206"/>
  <c r="R109" i="206"/>
  <c r="Q233" i="206"/>
  <c r="O208" i="206"/>
  <c r="O209" i="206" s="1"/>
  <c r="K31" i="203"/>
  <c r="K58" i="206"/>
  <c r="K60" i="206" s="1"/>
  <c r="E58" i="206"/>
  <c r="E60" i="206" s="1"/>
  <c r="U37" i="205"/>
  <c r="L62" i="205"/>
  <c r="AH125" i="187"/>
  <c r="P97" i="235"/>
  <c r="H97" i="235"/>
  <c r="R55" i="231"/>
  <c r="N55" i="231"/>
  <c r="J55" i="231"/>
  <c r="G73" i="238"/>
  <c r="AD72" i="238"/>
  <c r="AE72" i="238"/>
  <c r="J71" i="238"/>
  <c r="L56" i="235"/>
  <c r="L54" i="235"/>
  <c r="L51" i="235"/>
  <c r="O115" i="239"/>
  <c r="P266" i="242"/>
  <c r="D197" i="206"/>
  <c r="H197" i="206"/>
  <c r="L197" i="206"/>
  <c r="G231" i="206"/>
  <c r="P233" i="206"/>
  <c r="P235" i="206" s="1"/>
  <c r="J273" i="206"/>
  <c r="K99" i="235"/>
  <c r="O30" i="239"/>
  <c r="O87" i="239" s="1"/>
  <c r="O85" i="239"/>
  <c r="P40" i="239"/>
  <c r="P85" i="239"/>
  <c r="AR138" i="187"/>
  <c r="AR140" i="187" s="1"/>
  <c r="AR119" i="187"/>
  <c r="W76" i="206"/>
  <c r="W78" i="206" s="1"/>
  <c r="W111" i="206" s="1"/>
  <c r="V197" i="206"/>
  <c r="Z197" i="206"/>
  <c r="Z178" i="206"/>
  <c r="AB273" i="206"/>
  <c r="AF51" i="235"/>
  <c r="AG50" i="235"/>
  <c r="AG56" i="235" s="1"/>
  <c r="AG54" i="235"/>
  <c r="AB85" i="239"/>
  <c r="AB30" i="239"/>
  <c r="AB87" i="239" s="1"/>
  <c r="AH33" i="187"/>
  <c r="J42" i="206"/>
  <c r="H120" i="239"/>
  <c r="AD83" i="242"/>
  <c r="AD88" i="242"/>
  <c r="X93" i="242"/>
  <c r="X98" i="242"/>
  <c r="AD98" i="242"/>
  <c r="X100" i="242"/>
  <c r="M103" i="242"/>
  <c r="Q103" i="242"/>
  <c r="AA103" i="242"/>
  <c r="AD101" i="242"/>
  <c r="L103" i="242"/>
  <c r="L106" i="242" s="1"/>
  <c r="L108" i="242" s="1"/>
  <c r="P103" i="242"/>
  <c r="U103" i="242"/>
  <c r="Z103" i="242"/>
  <c r="G103" i="242"/>
  <c r="G106" i="242" s="1"/>
  <c r="G108" i="242" s="1"/>
  <c r="K103" i="242"/>
  <c r="O103" i="242"/>
  <c r="O106" i="242" s="1"/>
  <c r="O108" i="242" s="1"/>
  <c r="T103" i="242"/>
  <c r="Y103" i="242"/>
  <c r="AC103" i="242"/>
  <c r="X112" i="242"/>
  <c r="AD112" i="242"/>
  <c r="X117" i="242"/>
  <c r="AD117" i="242"/>
  <c r="X122" i="242"/>
  <c r="AD122" i="242"/>
  <c r="X127" i="242"/>
  <c r="AD127" i="242"/>
  <c r="G132" i="242"/>
  <c r="G135" i="242" s="1"/>
  <c r="G137" i="242" s="1"/>
  <c r="K132" i="242"/>
  <c r="K135" i="242" s="1"/>
  <c r="K137" i="242" s="1"/>
  <c r="O132" i="242"/>
  <c r="O135" i="242" s="1"/>
  <c r="O137" i="242" s="1"/>
  <c r="T132" i="242"/>
  <c r="Y132" i="242"/>
  <c r="Y135" i="242" s="1"/>
  <c r="Y137" i="242" s="1"/>
  <c r="AC132" i="242"/>
  <c r="AC135" i="242" s="1"/>
  <c r="AC137" i="242" s="1"/>
  <c r="AD130" i="242"/>
  <c r="N132" i="242"/>
  <c r="N135" i="242" s="1"/>
  <c r="N137" i="242" s="1"/>
  <c r="S132" i="242"/>
  <c r="W132" i="242"/>
  <c r="W135" i="242" s="1"/>
  <c r="W137" i="242" s="1"/>
  <c r="AB132" i="242"/>
  <c r="X131" i="242"/>
  <c r="I132" i="242"/>
  <c r="Q132" i="242"/>
  <c r="Q135" i="242" s="1"/>
  <c r="Q137" i="242" s="1"/>
  <c r="AA132" i="242"/>
  <c r="AA135" i="242" s="1"/>
  <c r="AA137" i="242" s="1"/>
  <c r="AD141" i="242"/>
  <c r="X146" i="242"/>
  <c r="AD146" i="242"/>
  <c r="X151" i="242"/>
  <c r="X156" i="242"/>
  <c r="AD156" i="242"/>
  <c r="E161" i="242"/>
  <c r="E164" i="242" s="1"/>
  <c r="E166" i="242" s="1"/>
  <c r="M161" i="242"/>
  <c r="M164" i="242" s="1"/>
  <c r="M166" i="242" s="1"/>
  <c r="Q161" i="242"/>
  <c r="Q164" i="242" s="1"/>
  <c r="Q166" i="242" s="1"/>
  <c r="AA161" i="242"/>
  <c r="AA164" i="242" s="1"/>
  <c r="AA166" i="242" s="1"/>
  <c r="AD159" i="242"/>
  <c r="L161" i="242"/>
  <c r="L164" i="242" s="1"/>
  <c r="L166" i="242" s="1"/>
  <c r="P161" i="242"/>
  <c r="P164" i="242" s="1"/>
  <c r="P166" i="242" s="1"/>
  <c r="U161" i="242"/>
  <c r="U164" i="242" s="1"/>
  <c r="U166" i="242" s="1"/>
  <c r="Z161" i="242"/>
  <c r="Z164" i="242" s="1"/>
  <c r="Z166" i="242" s="1"/>
  <c r="G161" i="242"/>
  <c r="G164" i="242" s="1"/>
  <c r="G166" i="242" s="1"/>
  <c r="K161" i="242"/>
  <c r="K164" i="242" s="1"/>
  <c r="K166" i="242" s="1"/>
  <c r="O161" i="242"/>
  <c r="O164" i="242" s="1"/>
  <c r="O166" i="242" s="1"/>
  <c r="T161" i="242"/>
  <c r="T164" i="242" s="1"/>
  <c r="T166" i="242" s="1"/>
  <c r="Y161" i="242"/>
  <c r="Y164" i="242" s="1"/>
  <c r="Y166" i="242" s="1"/>
  <c r="AC161" i="242"/>
  <c r="AC164" i="242" s="1"/>
  <c r="AC166" i="242" s="1"/>
  <c r="AD170" i="242"/>
  <c r="X175" i="242"/>
  <c r="AD175" i="242"/>
  <c r="X180" i="242"/>
  <c r="AD180" i="242"/>
  <c r="X185" i="242"/>
  <c r="AD185" i="242"/>
  <c r="D190" i="242"/>
  <c r="D193" i="242" s="1"/>
  <c r="D195" i="242" s="1"/>
  <c r="P190" i="242"/>
  <c r="P193" i="242" s="1"/>
  <c r="P195" i="242" s="1"/>
  <c r="U190" i="242"/>
  <c r="U193" i="242" s="1"/>
  <c r="U195" i="242" s="1"/>
  <c r="Z190" i="242"/>
  <c r="Z193" i="242" s="1"/>
  <c r="Z195" i="242" s="1"/>
  <c r="C190" i="242"/>
  <c r="G190" i="242"/>
  <c r="G193" i="242" s="1"/>
  <c r="G195" i="242" s="1"/>
  <c r="AD188" i="242"/>
  <c r="O190" i="242"/>
  <c r="O193" i="242" s="1"/>
  <c r="O195" i="242" s="1"/>
  <c r="Y190" i="242"/>
  <c r="X189" i="242"/>
  <c r="N190" i="242"/>
  <c r="N193" i="242" s="1"/>
  <c r="N195" i="242" s="1"/>
  <c r="S190" i="242"/>
  <c r="S193" i="242" s="1"/>
  <c r="S195" i="242" s="1"/>
  <c r="W190" i="242"/>
  <c r="W193" i="242" s="1"/>
  <c r="W195" i="242" s="1"/>
  <c r="AB190" i="242"/>
  <c r="AB193" i="242" s="1"/>
  <c r="AB195" i="242" s="1"/>
  <c r="AD199" i="242"/>
  <c r="X204" i="242"/>
  <c r="X209" i="242"/>
  <c r="AD209" i="242"/>
  <c r="X214" i="242"/>
  <c r="AD214" i="242"/>
  <c r="X216" i="242"/>
  <c r="G219" i="242"/>
  <c r="G222" i="242" s="1"/>
  <c r="G224" i="242" s="1"/>
  <c r="O219" i="242"/>
  <c r="O222" i="242" s="1"/>
  <c r="O224" i="242" s="1"/>
  <c r="T219" i="242"/>
  <c r="T222" i="242" s="1"/>
  <c r="T224" i="242" s="1"/>
  <c r="Y219" i="242"/>
  <c r="AC219" i="242"/>
  <c r="AC222" i="242" s="1"/>
  <c r="AC224" i="242" s="1"/>
  <c r="AD217" i="242"/>
  <c r="N219" i="242"/>
  <c r="N222" i="242" s="1"/>
  <c r="N224" i="242" s="1"/>
  <c r="W219" i="242"/>
  <c r="W222" i="242" s="1"/>
  <c r="W224" i="242" s="1"/>
  <c r="AB219" i="242"/>
  <c r="AB222" i="242" s="1"/>
  <c r="AB224" i="242" s="1"/>
  <c r="AD218" i="242"/>
  <c r="M219" i="242"/>
  <c r="M222" i="242" s="1"/>
  <c r="M224" i="242" s="1"/>
  <c r="Q219" i="242"/>
  <c r="Q222" i="242" s="1"/>
  <c r="Q224" i="242" s="1"/>
  <c r="V219" i="242"/>
  <c r="V222" i="242" s="1"/>
  <c r="V224" i="242" s="1"/>
  <c r="AA219" i="242"/>
  <c r="AA222" i="242" s="1"/>
  <c r="AA224" i="242" s="1"/>
  <c r="X229" i="242"/>
  <c r="X230" i="242"/>
  <c r="AD230" i="242"/>
  <c r="X232" i="242"/>
  <c r="AD232" i="242"/>
  <c r="L267" i="242"/>
  <c r="AD267" i="242" s="1"/>
  <c r="M268" i="242"/>
  <c r="Q268" i="242"/>
  <c r="G85" i="239"/>
  <c r="M197" i="206"/>
  <c r="Q197" i="206"/>
  <c r="P82" i="239"/>
  <c r="T82" i="239"/>
  <c r="V111" i="206"/>
  <c r="AA109" i="206"/>
  <c r="AC273" i="206"/>
  <c r="AF54" i="235"/>
  <c r="AC56" i="235"/>
  <c r="F197" i="206"/>
  <c r="J197" i="206"/>
  <c r="J235" i="206" s="1"/>
  <c r="R197" i="206"/>
  <c r="I233" i="206"/>
  <c r="I235" i="206" s="1"/>
  <c r="L233" i="206"/>
  <c r="P273" i="206"/>
  <c r="M94" i="235"/>
  <c r="H88" i="203" s="1"/>
  <c r="G99" i="235"/>
  <c r="G87" i="239"/>
  <c r="S87" i="239"/>
  <c r="AD62" i="205"/>
  <c r="AF62" i="205"/>
  <c r="AQ140" i="187"/>
  <c r="AB106" i="206"/>
  <c r="L265" i="242"/>
  <c r="G197" i="206"/>
  <c r="G235" i="206" s="1"/>
  <c r="K197" i="206"/>
  <c r="I273" i="206"/>
  <c r="J120" i="239"/>
  <c r="AA56" i="235"/>
  <c r="X231" i="206"/>
  <c r="X233" i="206"/>
  <c r="X235" i="206" s="1"/>
  <c r="AB135" i="187"/>
  <c r="G111" i="206"/>
  <c r="M111" i="206"/>
  <c r="S135" i="242"/>
  <c r="S137" i="242" s="1"/>
  <c r="S228" i="242"/>
  <c r="S231" i="242" s="1"/>
  <c r="S233" i="242" s="1"/>
  <c r="F51" i="217"/>
  <c r="AB97" i="187"/>
  <c r="AB99" i="187" s="1"/>
  <c r="AN146" i="187"/>
  <c r="S100" i="187"/>
  <c r="I146" i="187"/>
  <c r="E25" i="203" s="1"/>
  <c r="K148" i="187"/>
  <c r="G98" i="187"/>
  <c r="S95" i="187"/>
  <c r="J100" i="187"/>
  <c r="R94" i="187"/>
  <c r="H111" i="206"/>
  <c r="K78" i="206"/>
  <c r="K111" i="206" s="1"/>
  <c r="K109" i="206"/>
  <c r="AR98" i="187"/>
  <c r="M135" i="187"/>
  <c r="I109" i="206"/>
  <c r="P106" i="206"/>
  <c r="H25" i="230"/>
  <c r="I22" i="231" s="1"/>
  <c r="H28" i="230"/>
  <c r="H26" i="230"/>
  <c r="H31" i="230" s="1"/>
  <c r="V28" i="205"/>
  <c r="V62" i="205" s="1"/>
  <c r="V60" i="205"/>
  <c r="L135" i="187"/>
  <c r="AH135" i="187" s="1"/>
  <c r="AH67" i="187"/>
  <c r="AH50" i="187"/>
  <c r="G55" i="187"/>
  <c r="AB55" i="187" s="1"/>
  <c r="AB53" i="187"/>
  <c r="K47" i="238"/>
  <c r="I47" i="238"/>
  <c r="H47" i="238"/>
  <c r="I45" i="238"/>
  <c r="T71" i="238"/>
  <c r="I73" i="238"/>
  <c r="AC41" i="238"/>
  <c r="AC46" i="238"/>
  <c r="AC69" i="238"/>
  <c r="AA72" i="238"/>
  <c r="AH75" i="238"/>
  <c r="AE75" i="238"/>
  <c r="AF45" i="238"/>
  <c r="J78" i="206"/>
  <c r="J111" i="206" s="1"/>
  <c r="J109" i="206"/>
  <c r="K54" i="235"/>
  <c r="K40" i="235"/>
  <c r="K56" i="235" s="1"/>
  <c r="AD100" i="242"/>
  <c r="I103" i="242"/>
  <c r="M106" i="242"/>
  <c r="M108" i="242" s="1"/>
  <c r="AA106" i="242"/>
  <c r="AA108" i="242" s="1"/>
  <c r="AA228" i="242"/>
  <c r="AA231" i="242" s="1"/>
  <c r="AA233" i="242" s="1"/>
  <c r="X101" i="242"/>
  <c r="D103" i="242"/>
  <c r="L228" i="242"/>
  <c r="L231" i="242" s="1"/>
  <c r="L233" i="242" s="1"/>
  <c r="Z228" i="242"/>
  <c r="Z231" i="242" s="1"/>
  <c r="Z233" i="242" s="1"/>
  <c r="Z106" i="242"/>
  <c r="Z108" i="242" s="1"/>
  <c r="C103" i="242"/>
  <c r="X102" i="242"/>
  <c r="T106" i="242"/>
  <c r="T108" i="242" s="1"/>
  <c r="C132" i="242"/>
  <c r="X129" i="242"/>
  <c r="X130" i="242"/>
  <c r="F132" i="242"/>
  <c r="F135" i="242" s="1"/>
  <c r="F137" i="242" s="1"/>
  <c r="N228" i="242"/>
  <c r="N231" i="242" s="1"/>
  <c r="N233" i="242" s="1"/>
  <c r="AB228" i="242"/>
  <c r="AB231" i="242" s="1"/>
  <c r="AB233" i="242" s="1"/>
  <c r="AB135" i="242"/>
  <c r="AB137" i="242" s="1"/>
  <c r="I135" i="242"/>
  <c r="I161" i="242"/>
  <c r="I164" i="242" s="1"/>
  <c r="I166" i="242" s="1"/>
  <c r="AD158" i="242"/>
  <c r="X159" i="242"/>
  <c r="D161" i="242"/>
  <c r="D164" i="242" s="1"/>
  <c r="D166" i="242" s="1"/>
  <c r="C161" i="242"/>
  <c r="X160" i="242"/>
  <c r="AD187" i="242"/>
  <c r="H190" i="242"/>
  <c r="AD189" i="242"/>
  <c r="J190" i="242"/>
  <c r="J193" i="242" s="1"/>
  <c r="J195" i="242" s="1"/>
  <c r="K219" i="242"/>
  <c r="K222" i="242" s="1"/>
  <c r="K224" i="242" s="1"/>
  <c r="AD216" i="242"/>
  <c r="F219" i="242"/>
  <c r="F222" i="242" s="1"/>
  <c r="F224" i="242" s="1"/>
  <c r="X217" i="242"/>
  <c r="E219" i="242"/>
  <c r="X218" i="242"/>
  <c r="K233" i="206"/>
  <c r="K235" i="206" s="1"/>
  <c r="H273" i="206"/>
  <c r="Q273" i="206"/>
  <c r="M30" i="239"/>
  <c r="M87" i="239" s="1"/>
  <c r="M85" i="239"/>
  <c r="K104" i="239"/>
  <c r="K120" i="239" s="1"/>
  <c r="K118" i="239"/>
  <c r="F36" i="230"/>
  <c r="F39" i="230"/>
  <c r="N28" i="205"/>
  <c r="N62" i="205" s="1"/>
  <c r="N60" i="205"/>
  <c r="AN228" i="242"/>
  <c r="AN231" i="242" s="1"/>
  <c r="AN233" i="242" s="1"/>
  <c r="AK228" i="242"/>
  <c r="AK231" i="242" s="1"/>
  <c r="AK233" i="242" s="1"/>
  <c r="AK106" i="242"/>
  <c r="AK108" i="242" s="1"/>
  <c r="AP138" i="187"/>
  <c r="AP140" i="187" s="1"/>
  <c r="AC111" i="206"/>
  <c r="Z233" i="206"/>
  <c r="Z235" i="206" s="1"/>
  <c r="Z231" i="206"/>
  <c r="V273" i="206"/>
  <c r="AE30" i="235"/>
  <c r="AE56" i="235" s="1"/>
  <c r="AE54" i="235"/>
  <c r="L59" i="217"/>
  <c r="L65" i="217" s="1"/>
  <c r="M59" i="217"/>
  <c r="M65" i="217" s="1"/>
  <c r="O94" i="187"/>
  <c r="O148" i="187"/>
  <c r="X98" i="187"/>
  <c r="M97" i="187"/>
  <c r="P94" i="187"/>
  <c r="AS101" i="187"/>
  <c r="AS148" i="187"/>
  <c r="AH97" i="187"/>
  <c r="AH99" i="187" s="1"/>
  <c r="E51" i="217"/>
  <c r="C26" i="217"/>
  <c r="H45" i="210"/>
  <c r="H44" i="210" s="1"/>
  <c r="N78" i="206"/>
  <c r="N111" i="206" s="1"/>
  <c r="M109" i="206"/>
  <c r="I106" i="206"/>
  <c r="G106" i="206"/>
  <c r="N106" i="206"/>
  <c r="E178" i="206"/>
  <c r="E197" i="206"/>
  <c r="E235" i="206" s="1"/>
  <c r="R37" i="205"/>
  <c r="R62" i="205" s="1"/>
  <c r="U62" i="205"/>
  <c r="S46" i="205"/>
  <c r="S62" i="205" s="1"/>
  <c r="S60" i="205"/>
  <c r="N50" i="235"/>
  <c r="N56" i="235" s="1"/>
  <c r="N54" i="235"/>
  <c r="M75" i="205"/>
  <c r="AH38" i="187"/>
  <c r="AH36" i="187"/>
  <c r="R38" i="187"/>
  <c r="S38" i="187"/>
  <c r="I72" i="238"/>
  <c r="L46" i="238"/>
  <c r="T72" i="238"/>
  <c r="M74" i="238"/>
  <c r="G44" i="238"/>
  <c r="N43" i="238"/>
  <c r="H43" i="238"/>
  <c r="U75" i="238"/>
  <c r="S75" i="238"/>
  <c r="N73" i="238"/>
  <c r="R42" i="238"/>
  <c r="K42" i="238"/>
  <c r="P75" i="238"/>
  <c r="H70" i="238"/>
  <c r="AB45" i="238"/>
  <c r="AA47" i="238"/>
  <c r="AB70" i="238"/>
  <c r="R69" i="238"/>
  <c r="AB75" i="238"/>
  <c r="N100" i="238"/>
  <c r="AH74" i="238"/>
  <c r="AF41" i="238"/>
  <c r="AE42" i="238"/>
  <c r="AC70" i="238"/>
  <c r="AB71" i="238"/>
  <c r="AA73" i="238"/>
  <c r="AA71" i="238"/>
  <c r="AC74" i="238"/>
  <c r="L75" i="238"/>
  <c r="M73" i="238"/>
  <c r="I70" i="238"/>
  <c r="P73" i="238"/>
  <c r="I71" i="238"/>
  <c r="R75" i="238"/>
  <c r="K69" i="238"/>
  <c r="U71" i="238"/>
  <c r="S70" i="238"/>
  <c r="K75" i="238"/>
  <c r="U73" i="238"/>
  <c r="V69" i="238"/>
  <c r="H73" i="238"/>
  <c r="U70" i="238"/>
  <c r="M75" i="238"/>
  <c r="G69" i="238"/>
  <c r="P71" i="238"/>
  <c r="G71" i="238"/>
  <c r="O75" i="238"/>
  <c r="K74" i="238"/>
  <c r="S72" i="238"/>
  <c r="U72" i="238"/>
  <c r="R74" i="238"/>
  <c r="R72" i="238"/>
  <c r="N72" i="238"/>
  <c r="L74" i="238"/>
  <c r="AB69" i="238"/>
  <c r="AC75" i="238"/>
  <c r="AA75" i="238"/>
  <c r="AA74" i="238"/>
  <c r="AB73" i="238"/>
  <c r="L69" i="238"/>
  <c r="R70" i="238"/>
  <c r="N75" i="238"/>
  <c r="R71" i="238"/>
  <c r="T69" i="238"/>
  <c r="K70" i="238"/>
  <c r="H75" i="238"/>
  <c r="K71" i="238"/>
  <c r="T75" i="238"/>
  <c r="L73" i="238"/>
  <c r="R73" i="238"/>
  <c r="M70" i="238"/>
  <c r="J75" i="238"/>
  <c r="M71" i="238"/>
  <c r="V75" i="238"/>
  <c r="G70" i="238"/>
  <c r="J73" i="238"/>
  <c r="O71" i="238"/>
  <c r="P72" i="238"/>
  <c r="M72" i="238"/>
  <c r="V74" i="238"/>
  <c r="G72" i="238"/>
  <c r="J72" i="238"/>
  <c r="H72" i="238"/>
  <c r="G74" i="238"/>
  <c r="AC72" i="238"/>
  <c r="AB74" i="238"/>
  <c r="AA70" i="238"/>
  <c r="AA69" i="238"/>
  <c r="AB72" i="238"/>
  <c r="AC71" i="238"/>
  <c r="O73" i="238"/>
  <c r="I69" i="238"/>
  <c r="S71" i="238"/>
  <c r="P70" i="238"/>
  <c r="I75" i="238"/>
  <c r="J69" i="238"/>
  <c r="L71" i="238"/>
  <c r="J70" i="238"/>
  <c r="K73" i="238"/>
  <c r="T73" i="238"/>
  <c r="S73" i="238"/>
  <c r="P69" i="238"/>
  <c r="N71" i="238"/>
  <c r="L70" i="238"/>
  <c r="V73" i="238"/>
  <c r="H71" i="238"/>
  <c r="N70" i="238"/>
  <c r="G75" i="238"/>
  <c r="J74" i="238"/>
  <c r="V72" i="238"/>
  <c r="S74" i="238"/>
  <c r="U74" i="238"/>
  <c r="K72" i="238"/>
  <c r="P74" i="238"/>
  <c r="L72" i="238"/>
  <c r="M100" i="238"/>
  <c r="P118" i="239"/>
  <c r="L97" i="235"/>
  <c r="L93" i="235"/>
  <c r="S54" i="235"/>
  <c r="S40" i="235"/>
  <c r="E91" i="217"/>
  <c r="E97" i="217" s="1"/>
  <c r="D91" i="217"/>
  <c r="D97" i="217" s="1"/>
  <c r="F91" i="217" s="1"/>
  <c r="F97" i="217" s="1"/>
  <c r="G91" i="217" s="1"/>
  <c r="G97" i="217" s="1"/>
  <c r="X158" i="242"/>
  <c r="X187" i="242"/>
  <c r="J132" i="242"/>
  <c r="E132" i="242"/>
  <c r="E135" i="242" s="1"/>
  <c r="E137" i="242" s="1"/>
  <c r="K106" i="242"/>
  <c r="K108" i="242" s="1"/>
  <c r="Y106" i="242"/>
  <c r="Y108" i="242" s="1"/>
  <c r="X188" i="242"/>
  <c r="H31" i="242"/>
  <c r="AD31" i="242" s="1"/>
  <c r="AD29" i="242"/>
  <c r="N138" i="187"/>
  <c r="N119" i="187"/>
  <c r="M130" i="187"/>
  <c r="AH128" i="187"/>
  <c r="AH145" i="187" s="1"/>
  <c r="F233" i="206"/>
  <c r="F235" i="206" s="1"/>
  <c r="D273" i="206"/>
  <c r="M273" i="206"/>
  <c r="O273" i="206"/>
  <c r="I85" i="239"/>
  <c r="I30" i="239"/>
  <c r="I87" i="239" s="1"/>
  <c r="N87" i="239"/>
  <c r="P87" i="239"/>
  <c r="K60" i="205"/>
  <c r="K28" i="205"/>
  <c r="AL106" i="242"/>
  <c r="AL108" i="242" s="1"/>
  <c r="AL228" i="242"/>
  <c r="AL231" i="242" s="1"/>
  <c r="AL233" i="242" s="1"/>
  <c r="AB28" i="205"/>
  <c r="AB62" i="205" s="1"/>
  <c r="AB60" i="205"/>
  <c r="AC37" i="205"/>
  <c r="AC62" i="205" s="1"/>
  <c r="AC60" i="205"/>
  <c r="AG60" i="205"/>
  <c r="AG37" i="205"/>
  <c r="AG62" i="205" s="1"/>
  <c r="AN130" i="187"/>
  <c r="AN138" i="187"/>
  <c r="AN140" i="187" s="1"/>
  <c r="AD75" i="238"/>
  <c r="AB231" i="206"/>
  <c r="AC106" i="206"/>
  <c r="AD73" i="238"/>
  <c r="Y106" i="206"/>
  <c r="Y87" i="206"/>
  <c r="AB109" i="206"/>
  <c r="AB89" i="206"/>
  <c r="AB111" i="206" s="1"/>
  <c r="V231" i="206"/>
  <c r="V233" i="206"/>
  <c r="V235" i="206" s="1"/>
  <c r="AA233" i="206"/>
  <c r="AA231" i="206"/>
  <c r="AC233" i="206"/>
  <c r="AC235" i="206" s="1"/>
  <c r="AA273" i="206"/>
  <c r="AB54" i="235"/>
  <c r="AB30" i="235"/>
  <c r="AB56" i="235" s="1"/>
  <c r="AE96" i="187"/>
  <c r="S129" i="187"/>
  <c r="S130" i="187" s="1"/>
  <c r="AH91" i="187"/>
  <c r="AE146" i="187"/>
  <c r="J74" i="203" s="1"/>
  <c r="U100" i="187"/>
  <c r="Z94" i="187"/>
  <c r="L99" i="187"/>
  <c r="L147" i="187" s="1"/>
  <c r="AH95" i="187"/>
  <c r="AN100" i="187"/>
  <c r="AR99" i="187"/>
  <c r="AR94" i="187"/>
  <c r="P109" i="206"/>
  <c r="E78" i="206"/>
  <c r="E111" i="206" s="1"/>
  <c r="E106" i="206"/>
  <c r="T28" i="205"/>
  <c r="T62" i="205" s="1"/>
  <c r="M97" i="235"/>
  <c r="M73" i="235"/>
  <c r="M99" i="235" s="1"/>
  <c r="T30" i="235"/>
  <c r="T56" i="235" s="1"/>
  <c r="T54" i="235"/>
  <c r="O97" i="235"/>
  <c r="O73" i="235"/>
  <c r="O99" i="235" s="1"/>
  <c r="O30" i="235"/>
  <c r="O56" i="235" s="1"/>
  <c r="O54" i="235"/>
  <c r="H30" i="235"/>
  <c r="H56" i="235" s="1"/>
  <c r="AH72" i="187"/>
  <c r="L55" i="187"/>
  <c r="AH55" i="187" s="1"/>
  <c r="AH53" i="187"/>
  <c r="AB70" i="187"/>
  <c r="Z72" i="187"/>
  <c r="AB72" i="187" s="1"/>
  <c r="K44" i="238"/>
  <c r="V46" i="238"/>
  <c r="T74" i="238"/>
  <c r="I74" i="238"/>
  <c r="T43" i="238"/>
  <c r="R43" i="238"/>
  <c r="R78" i="238" s="1"/>
  <c r="O70" i="238"/>
  <c r="V70" i="238"/>
  <c r="G43" i="238"/>
  <c r="G78" i="238" s="1"/>
  <c r="U42" i="238"/>
  <c r="T70" i="238"/>
  <c r="M47" i="238"/>
  <c r="AA44" i="238"/>
  <c r="AC73" i="238"/>
  <c r="AD69" i="238"/>
  <c r="AH72" i="238"/>
  <c r="AG44" i="238"/>
  <c r="AF44" i="238"/>
  <c r="AE44" i="238"/>
  <c r="AE79" i="238" s="1"/>
  <c r="AE47" i="238"/>
  <c r="AH42" i="238"/>
  <c r="AG42" i="238"/>
  <c r="AF43" i="238"/>
  <c r="AE43" i="238"/>
  <c r="AE45" i="238"/>
  <c r="AH46" i="238"/>
  <c r="AG46" i="238"/>
  <c r="AH45" i="238"/>
  <c r="AH47" i="238"/>
  <c r="AF46" i="238"/>
  <c r="AE46" i="238"/>
  <c r="AH41" i="238"/>
  <c r="AF47" i="238"/>
  <c r="AH43" i="238"/>
  <c r="AG43" i="238"/>
  <c r="AG41" i="238"/>
  <c r="L125" i="238"/>
  <c r="I54" i="235"/>
  <c r="I40" i="235"/>
  <c r="I56" i="235" s="1"/>
  <c r="N104" i="239"/>
  <c r="O228" i="242"/>
  <c r="O231" i="242" s="1"/>
  <c r="O233" i="242" s="1"/>
  <c r="G228" i="242"/>
  <c r="G231" i="242" s="1"/>
  <c r="G233" i="242" s="1"/>
  <c r="K190" i="242"/>
  <c r="K193" i="242" s="1"/>
  <c r="K195" i="242" s="1"/>
  <c r="U106" i="242"/>
  <c r="U108" i="242" s="1"/>
  <c r="AD160" i="242"/>
  <c r="O266" i="242"/>
  <c r="P259" i="242"/>
  <c r="P265" i="242" s="1"/>
  <c r="P270" i="242" s="1"/>
  <c r="AD259" i="242"/>
  <c r="N259" i="242"/>
  <c r="N265" i="242" s="1"/>
  <c r="N270" i="242" s="1"/>
  <c r="Q259" i="242"/>
  <c r="Q265" i="242" s="1"/>
  <c r="Q270" i="242" s="1"/>
  <c r="M259" i="242"/>
  <c r="M265" i="242" s="1"/>
  <c r="M270" i="242" s="1"/>
  <c r="O261" i="242"/>
  <c r="O267" i="242" s="1"/>
  <c r="P261" i="242"/>
  <c r="P267" i="242" s="1"/>
  <c r="AD261" i="242"/>
  <c r="N261" i="242"/>
  <c r="N267" i="242" s="1"/>
  <c r="O263" i="242"/>
  <c r="O269" i="242" s="1"/>
  <c r="AD263" i="242"/>
  <c r="P263" i="242"/>
  <c r="P269" i="242" s="1"/>
  <c r="N263" i="242"/>
  <c r="N269" i="242" s="1"/>
  <c r="L231" i="206"/>
  <c r="M233" i="206"/>
  <c r="M235" i="206" s="1"/>
  <c r="P231" i="206"/>
  <c r="K273" i="206"/>
  <c r="J87" i="239"/>
  <c r="L87" i="239"/>
  <c r="I104" i="239"/>
  <c r="I120" i="239" s="1"/>
  <c r="I118" i="239"/>
  <c r="I60" i="205"/>
  <c r="N115" i="238"/>
  <c r="H100" i="238"/>
  <c r="AM106" i="242"/>
  <c r="AM108" i="242" s="1"/>
  <c r="AM228" i="242"/>
  <c r="AM231" i="242" s="1"/>
  <c r="AM233" i="242" s="1"/>
  <c r="AH60" i="205"/>
  <c r="AH28" i="205"/>
  <c r="AH62" i="205" s="1"/>
  <c r="AA75" i="205"/>
  <c r="AA99" i="205" s="1"/>
  <c r="AA97" i="205"/>
  <c r="AE75" i="205"/>
  <c r="AE99" i="205" s="1"/>
  <c r="AE97" i="205"/>
  <c r="AL119" i="187"/>
  <c r="W109" i="206"/>
  <c r="AC109" i="206"/>
  <c r="AS119" i="187"/>
  <c r="AS138" i="187"/>
  <c r="AS140" i="187" s="1"/>
  <c r="Z76" i="206"/>
  <c r="AH30" i="238"/>
  <c r="AG47" i="238" s="1"/>
  <c r="AG45" i="238"/>
  <c r="AE69" i="238"/>
  <c r="W231" i="206"/>
  <c r="W233" i="206"/>
  <c r="W235" i="206" s="1"/>
  <c r="W273" i="206"/>
  <c r="AD54" i="235"/>
  <c r="AD40" i="235"/>
  <c r="AD56" i="235" s="1"/>
  <c r="L75" i="217"/>
  <c r="L81" i="217" s="1"/>
  <c r="M75" i="217"/>
  <c r="M81" i="217" s="1"/>
  <c r="O197" i="206"/>
  <c r="O235" i="206" s="1"/>
  <c r="O178" i="206"/>
  <c r="S56" i="235"/>
  <c r="M51" i="235"/>
  <c r="H39" i="203" s="1"/>
  <c r="M48" i="235"/>
  <c r="Q51" i="235"/>
  <c r="M39" i="203" s="1"/>
  <c r="Q48" i="235"/>
  <c r="U51" i="235"/>
  <c r="Q39" i="203" s="1"/>
  <c r="U48" i="235"/>
  <c r="I73" i="235"/>
  <c r="I99" i="235" s="1"/>
  <c r="I97" i="235"/>
  <c r="AB36" i="187"/>
  <c r="X38" i="187"/>
  <c r="AB38" i="187" s="1"/>
  <c r="L41" i="238"/>
  <c r="R45" i="238"/>
  <c r="R80" i="238" s="1"/>
  <c r="AA45" i="238"/>
  <c r="AB42" i="238"/>
  <c r="AB41" i="238"/>
  <c r="AD44" i="238"/>
  <c r="AC45" i="238"/>
  <c r="AC80" i="238" s="1"/>
  <c r="AB43" i="238"/>
  <c r="AC42" i="238"/>
  <c r="AD46" i="238"/>
  <c r="S45" i="238"/>
  <c r="K41" i="238"/>
  <c r="H45" i="238"/>
  <c r="H80" i="238" s="1"/>
  <c r="L43" i="238"/>
  <c r="S47" i="238"/>
  <c r="V41" i="238"/>
  <c r="V77" i="238" s="1"/>
  <c r="H41" i="238"/>
  <c r="S43" i="238"/>
  <c r="G47" i="238"/>
  <c r="T45" i="238"/>
  <c r="T80" i="238" s="1"/>
  <c r="P42" i="238"/>
  <c r="G42" i="238"/>
  <c r="U43" i="238"/>
  <c r="M41" i="238"/>
  <c r="S42" i="238"/>
  <c r="M42" i="238"/>
  <c r="K45" i="238"/>
  <c r="K80" i="238" s="1"/>
  <c r="M46" i="238"/>
  <c r="M81" i="238" s="1"/>
  <c r="G46" i="238"/>
  <c r="R46" i="238"/>
  <c r="O46" i="238"/>
  <c r="I44" i="238"/>
  <c r="H46" i="238"/>
  <c r="AD41" i="238"/>
  <c r="AB44" i="238"/>
  <c r="AC43" i="238"/>
  <c r="AA42" i="238"/>
  <c r="AB46" i="238"/>
  <c r="AB81" i="238" s="1"/>
  <c r="AC44" i="238"/>
  <c r="L45" i="238"/>
  <c r="L47" i="238"/>
  <c r="L82" i="238" s="1"/>
  <c r="O45" i="238"/>
  <c r="L42" i="238"/>
  <c r="J41" i="238"/>
  <c r="J77" i="238" s="1"/>
  <c r="V43" i="238"/>
  <c r="V47" i="238"/>
  <c r="V82" i="238" s="1"/>
  <c r="N42" i="238"/>
  <c r="I42" i="238"/>
  <c r="G45" i="238"/>
  <c r="O47" i="238"/>
  <c r="U45" i="238"/>
  <c r="U80" i="238" s="1"/>
  <c r="I43" i="238"/>
  <c r="O42" i="238"/>
  <c r="V45" i="238"/>
  <c r="K43" i="238"/>
  <c r="K78" i="238" s="1"/>
  <c r="V42" i="238"/>
  <c r="U47" i="238"/>
  <c r="K46" i="238"/>
  <c r="J46" i="238"/>
  <c r="V44" i="238"/>
  <c r="T46" i="238"/>
  <c r="S46" i="238"/>
  <c r="S44" i="238"/>
  <c r="I46" i="238"/>
  <c r="P46" i="238"/>
  <c r="H44" i="238"/>
  <c r="AD47" i="238"/>
  <c r="AA46" i="238"/>
  <c r="AD45" i="238"/>
  <c r="AD42" i="238"/>
  <c r="AC47" i="238"/>
  <c r="AA41" i="238"/>
  <c r="AB47" i="238"/>
  <c r="AD43" i="238"/>
  <c r="N45" i="238"/>
  <c r="N47" i="238"/>
  <c r="S41" i="238"/>
  <c r="M43" i="238"/>
  <c r="T42" i="238"/>
  <c r="J47" i="238"/>
  <c r="J82" i="238" s="1"/>
  <c r="N41" i="238"/>
  <c r="O43" i="238"/>
  <c r="J43" i="238"/>
  <c r="P47" i="238"/>
  <c r="O41" i="238"/>
  <c r="H42" i="238"/>
  <c r="P45" i="238"/>
  <c r="P43" i="238"/>
  <c r="R47" i="238"/>
  <c r="J42" i="238"/>
  <c r="P41" i="238"/>
  <c r="J45" i="238"/>
  <c r="J80" i="238" s="1"/>
  <c r="T47" i="238"/>
  <c r="M44" i="238"/>
  <c r="N46" i="238"/>
  <c r="R44" i="238"/>
  <c r="R79" i="238" s="1"/>
  <c r="U46" i="238"/>
  <c r="T44" i="238"/>
  <c r="N44" i="238"/>
  <c r="J44" i="238"/>
  <c r="P44" i="238"/>
  <c r="U41" i="238"/>
  <c r="N69" i="238"/>
  <c r="AF74" i="238"/>
  <c r="AF69" i="238"/>
  <c r="AG70" i="238"/>
  <c r="AF70" i="238"/>
  <c r="AG73" i="238"/>
  <c r="AE70" i="238"/>
  <c r="AH69" i="238"/>
  <c r="AF72" i="238"/>
  <c r="AF79" i="238" s="1"/>
  <c r="AG71" i="238"/>
  <c r="AH71" i="238"/>
  <c r="AF73" i="238"/>
  <c r="AE71" i="238"/>
  <c r="AH70" i="238"/>
  <c r="AD70" i="238"/>
  <c r="AD71" i="238"/>
  <c r="AF75" i="238"/>
  <c r="AH73" i="238"/>
  <c r="AG74" i="238"/>
  <c r="AG75" i="238"/>
  <c r="AG69" i="238"/>
  <c r="AE74" i="238"/>
  <c r="J125" i="206"/>
  <c r="L99" i="235"/>
  <c r="N115" i="239"/>
  <c r="N112" i="239"/>
  <c r="N114" i="239" s="1"/>
  <c r="H164" i="242"/>
  <c r="AD161" i="242"/>
  <c r="V228" i="242"/>
  <c r="V231" i="242" s="1"/>
  <c r="V233" i="242" s="1"/>
  <c r="V106" i="242"/>
  <c r="V108" i="242" s="1"/>
  <c r="E228" i="242"/>
  <c r="E231" i="242" s="1"/>
  <c r="E233" i="242" s="1"/>
  <c r="E106" i="242"/>
  <c r="E108" i="242" s="1"/>
  <c r="I222" i="242"/>
  <c r="X29" i="242"/>
  <c r="D31" i="242"/>
  <c r="X31" i="242" s="1"/>
  <c r="D233" i="206"/>
  <c r="D235" i="206" s="1"/>
  <c r="H233" i="206"/>
  <c r="Q85" i="239"/>
  <c r="Q30" i="239"/>
  <c r="Q87" i="239" s="1"/>
  <c r="G118" i="239"/>
  <c r="G104" i="239"/>
  <c r="G120" i="239" s="1"/>
  <c r="M60" i="205"/>
  <c r="M37" i="205"/>
  <c r="M62" i="205" s="1"/>
  <c r="J60" i="205"/>
  <c r="J46" i="205"/>
  <c r="J62" i="205" s="1"/>
  <c r="G60" i="205"/>
  <c r="G55" i="205"/>
  <c r="G62" i="205" s="1"/>
  <c r="O55" i="205"/>
  <c r="O62" i="205" s="1"/>
  <c r="O60" i="205"/>
  <c r="AJ228" i="242"/>
  <c r="AJ231" i="242" s="1"/>
  <c r="AJ233" i="242" s="1"/>
  <c r="AJ106" i="242"/>
  <c r="AJ108" i="242" s="1"/>
  <c r="AA60" i="205"/>
  <c r="AA37" i="205"/>
  <c r="AA62" i="205" s="1"/>
  <c r="AE60" i="205"/>
  <c r="AE37" i="205"/>
  <c r="AE62" i="205" s="1"/>
  <c r="V50" i="216"/>
  <c r="AE41" i="238"/>
  <c r="Z273" i="206"/>
  <c r="H52" i="233"/>
  <c r="P31" i="203"/>
  <c r="G25" i="230"/>
  <c r="H22" i="231" s="1"/>
  <c r="G28" i="230"/>
  <c r="E36" i="230"/>
  <c r="E39" i="230"/>
  <c r="F51" i="233"/>
  <c r="G36" i="230"/>
  <c r="G39" i="230"/>
  <c r="D41" i="230"/>
  <c r="E35" i="231"/>
  <c r="E44" i="231" s="1"/>
  <c r="E45" i="231" s="1"/>
  <c r="L57" i="217"/>
  <c r="L26" i="217" s="1"/>
  <c r="L20" i="217"/>
  <c r="E25" i="230"/>
  <c r="E30" i="230" s="1"/>
  <c r="E28" i="230"/>
  <c r="H36" i="230"/>
  <c r="H41" i="230" s="1"/>
  <c r="H39" i="230"/>
  <c r="H37" i="230"/>
  <c r="H42" i="230" s="1"/>
  <c r="M51" i="217"/>
  <c r="K26" i="217"/>
  <c r="K25" i="230"/>
  <c r="K28" i="230"/>
  <c r="K26" i="230"/>
  <c r="K31" i="230" s="1"/>
  <c r="E22" i="231"/>
  <c r="D30" i="230"/>
  <c r="L25" i="230"/>
  <c r="L28" i="230"/>
  <c r="L26" i="230"/>
  <c r="L31" i="230" s="1"/>
  <c r="I25" i="230"/>
  <c r="I26" i="230"/>
  <c r="I31" i="230" s="1"/>
  <c r="I28" i="230"/>
  <c r="M25" i="230"/>
  <c r="M28" i="230"/>
  <c r="M26" i="230"/>
  <c r="M31" i="230" s="1"/>
  <c r="N39" i="230"/>
  <c r="N35" i="230"/>
  <c r="F25" i="230"/>
  <c r="J25" i="230"/>
  <c r="J28" i="230"/>
  <c r="J26" i="230"/>
  <c r="J31" i="230" s="1"/>
  <c r="N28" i="230"/>
  <c r="W55" i="231"/>
  <c r="E55" i="231"/>
  <c r="F55" i="231"/>
  <c r="K55" i="231"/>
  <c r="O55" i="231"/>
  <c r="S55" i="231"/>
  <c r="V55" i="231"/>
  <c r="AA55" i="231"/>
  <c r="Q55" i="231"/>
  <c r="M55" i="231"/>
  <c r="P55" i="231"/>
  <c r="L55" i="231"/>
  <c r="H55" i="231"/>
  <c r="K36" i="230"/>
  <c r="K37" i="230"/>
  <c r="K42" i="230" s="1"/>
  <c r="L36" i="230"/>
  <c r="L37" i="230"/>
  <c r="L42" i="230" s="1"/>
  <c r="M36" i="230"/>
  <c r="M37" i="230"/>
  <c r="M42" i="230" s="1"/>
  <c r="J36" i="230"/>
  <c r="J37" i="230"/>
  <c r="J42" i="230" s="1"/>
  <c r="I36" i="230"/>
  <c r="I37" i="230"/>
  <c r="I42" i="230" s="1"/>
  <c r="C103" i="203"/>
  <c r="C105" i="203" s="1"/>
  <c r="K103" i="203"/>
  <c r="K105" i="203" s="1"/>
  <c r="G103" i="203"/>
  <c r="G105" i="203" s="1"/>
  <c r="D103" i="203"/>
  <c r="D105" i="203" s="1"/>
  <c r="L103" i="203"/>
  <c r="L105" i="203" s="1"/>
  <c r="H103" i="203"/>
  <c r="H105" i="203" s="1"/>
  <c r="U56" i="218"/>
  <c r="E55" i="218"/>
  <c r="Z56" i="218"/>
  <c r="G55" i="218"/>
  <c r="I55" i="218"/>
  <c r="L55" i="218"/>
  <c r="N55" i="218"/>
  <c r="P55" i="218"/>
  <c r="D55" i="218"/>
  <c r="J55" i="218"/>
  <c r="X56" i="218"/>
  <c r="AB56" i="218"/>
  <c r="H55" i="218"/>
  <c r="O55" i="218"/>
  <c r="K55" i="218"/>
  <c r="F55" i="218"/>
  <c r="M55" i="218"/>
  <c r="Q55" i="218"/>
  <c r="E57" i="217"/>
  <c r="F57" i="217"/>
  <c r="M73" i="217"/>
  <c r="E59" i="217"/>
  <c r="E65" i="217" s="1"/>
  <c r="E67" i="217"/>
  <c r="E73" i="217" s="1"/>
  <c r="D83" i="217"/>
  <c r="D89" i="217" s="1"/>
  <c r="F83" i="217" s="1"/>
  <c r="F89" i="217" s="1"/>
  <c r="G83" i="217" s="1"/>
  <c r="G89" i="217" s="1"/>
  <c r="M103" i="203"/>
  <c r="M105" i="203" s="1"/>
  <c r="I94" i="222"/>
  <c r="G17" i="245"/>
  <c r="L49" i="217"/>
  <c r="AA20" i="201"/>
  <c r="AB242" i="206"/>
  <c r="AN239" i="242"/>
  <c r="AA19" i="211"/>
  <c r="AG16" i="223"/>
  <c r="AB67" i="206"/>
  <c r="AR21" i="187"/>
  <c r="AG19" i="205"/>
  <c r="AN59" i="242"/>
  <c r="I74" i="210"/>
  <c r="I239" i="242"/>
  <c r="I21" i="242"/>
  <c r="I59" i="242"/>
  <c r="F24" i="232"/>
  <c r="F20" i="231"/>
  <c r="D51" i="234"/>
  <c r="O16" i="223"/>
  <c r="G316" i="206"/>
  <c r="D24" i="234"/>
  <c r="I20" i="224"/>
  <c r="I71" i="222"/>
  <c r="K17" i="191"/>
  <c r="I20" i="218"/>
  <c r="I29" i="221"/>
  <c r="I15" i="220"/>
  <c r="D18" i="217"/>
  <c r="I20" i="201"/>
  <c r="I55" i="201"/>
  <c r="O110" i="223"/>
  <c r="O46" i="223"/>
  <c r="I19" i="211"/>
  <c r="O73" i="223"/>
  <c r="I52" i="210"/>
  <c r="M19" i="239"/>
  <c r="J170" i="206"/>
  <c r="J23" i="206"/>
  <c r="J118" i="206"/>
  <c r="M19" i="238"/>
  <c r="M108" i="187"/>
  <c r="M19" i="205"/>
  <c r="I13" i="203"/>
  <c r="M69" i="205"/>
  <c r="J62" i="233"/>
  <c r="K62" i="233"/>
  <c r="L62" i="233" s="1"/>
  <c r="J61" i="233"/>
  <c r="E67" i="233"/>
  <c r="E77" i="233"/>
  <c r="E58" i="233"/>
  <c r="E70" i="233"/>
  <c r="I52" i="233"/>
  <c r="E86" i="233"/>
  <c r="E83" i="233"/>
  <c r="E80" i="233"/>
  <c r="D51" i="233"/>
  <c r="I51" i="233" s="1"/>
  <c r="E51" i="233"/>
  <c r="F52" i="233"/>
  <c r="E52" i="233"/>
  <c r="F61" i="233" s="1"/>
  <c r="K61" i="233"/>
  <c r="E64" i="233"/>
  <c r="G52" i="233"/>
  <c r="AF42" i="234"/>
  <c r="AF24" i="234"/>
  <c r="AA20" i="243"/>
  <c r="AA55" i="201"/>
  <c r="AG31" i="223"/>
  <c r="AG110" i="223"/>
  <c r="AG46" i="223"/>
  <c r="AA42" i="210"/>
  <c r="AA18" i="210"/>
  <c r="AF19" i="239"/>
  <c r="K18" i="190"/>
  <c r="AG69" i="205"/>
  <c r="AR108" i="187"/>
  <c r="AG19" i="238"/>
  <c r="AB50" i="206"/>
  <c r="AB170" i="206"/>
  <c r="AF20" i="235"/>
  <c r="AA52" i="210"/>
  <c r="AG60" i="223"/>
  <c r="L18" i="217"/>
  <c r="AA20" i="218"/>
  <c r="AA15" i="220"/>
  <c r="AF51" i="234"/>
  <c r="V20" i="224"/>
  <c r="H30" i="230" l="1"/>
  <c r="P77" i="238"/>
  <c r="N78" i="238"/>
  <c r="M80" i="238"/>
  <c r="AF77" i="238"/>
  <c r="R82" i="238"/>
  <c r="G80" i="238"/>
  <c r="AE82" i="238"/>
  <c r="M77" i="238"/>
  <c r="I77" i="238"/>
  <c r="AC81" i="238"/>
  <c r="AD79" i="238"/>
  <c r="AB80" i="238"/>
  <c r="AF81" i="238"/>
  <c r="K77" i="238"/>
  <c r="T77" i="238"/>
  <c r="G77" i="238"/>
  <c r="V81" i="238"/>
  <c r="I82" i="238"/>
  <c r="L79" i="238"/>
  <c r="S79" i="238"/>
  <c r="H82" i="238"/>
  <c r="G79" i="238"/>
  <c r="H79" i="238"/>
  <c r="H78" i="238"/>
  <c r="P78" i="238"/>
  <c r="I81" i="238"/>
  <c r="I78" i="238"/>
  <c r="I79" i="238"/>
  <c r="T82" i="238"/>
  <c r="AA82" i="238"/>
  <c r="V78" i="238"/>
  <c r="AG81" i="238"/>
  <c r="AH78" i="238"/>
  <c r="U81" i="238"/>
  <c r="AB82" i="238"/>
  <c r="AD80" i="238"/>
  <c r="T81" i="238"/>
  <c r="U82" i="238"/>
  <c r="G81" i="238"/>
  <c r="AB77" i="238"/>
  <c r="L77" i="238"/>
  <c r="AH79" i="238"/>
  <c r="M82" i="238"/>
  <c r="V80" i="238"/>
  <c r="AB79" i="238"/>
  <c r="AH81" i="238"/>
  <c r="AA78" i="238"/>
  <c r="T79" i="238"/>
  <c r="M79" i="238"/>
  <c r="S81" i="238"/>
  <c r="O82" i="238"/>
  <c r="O80" i="238"/>
  <c r="R81" i="238"/>
  <c r="T78" i="238"/>
  <c r="AG77" i="238"/>
  <c r="AE78" i="238"/>
  <c r="N77" i="238"/>
  <c r="N79" i="238"/>
  <c r="P80" i="238"/>
  <c r="J78" i="238"/>
  <c r="AC82" i="238"/>
  <c r="AD82" i="238"/>
  <c r="J81" i="238"/>
  <c r="AC79" i="238"/>
  <c r="U78" i="238"/>
  <c r="G82" i="238"/>
  <c r="S82" i="238"/>
  <c r="S80" i="238"/>
  <c r="P82" i="238"/>
  <c r="AB78" i="238"/>
  <c r="AH77" i="238"/>
  <c r="O78" i="238"/>
  <c r="M78" i="238"/>
  <c r="K81" i="238"/>
  <c r="AD77" i="238"/>
  <c r="S78" i="238"/>
  <c r="L78" i="238"/>
  <c r="AD81" i="238"/>
  <c r="AH82" i="238"/>
  <c r="AA79" i="238"/>
  <c r="K79" i="238"/>
  <c r="U79" i="238"/>
  <c r="R77" i="238"/>
  <c r="F22" i="231"/>
  <c r="AE73" i="238"/>
  <c r="AE80" i="238" s="1"/>
  <c r="AD78" i="238"/>
  <c r="AF82" i="238"/>
  <c r="P81" i="238"/>
  <c r="V79" i="238"/>
  <c r="AC78" i="238"/>
  <c r="P79" i="238"/>
  <c r="N82" i="238"/>
  <c r="Y235" i="206"/>
  <c r="K82" i="238"/>
  <c r="AS96" i="187"/>
  <c r="AP148" i="187"/>
  <c r="AN97" i="187"/>
  <c r="AN145" i="187" s="1"/>
  <c r="AM97" i="187"/>
  <c r="O95" i="187"/>
  <c r="Y97" i="187"/>
  <c r="J98" i="187"/>
  <c r="K100" i="187"/>
  <c r="N95" i="187"/>
  <c r="O146" i="187"/>
  <c r="J25" i="203" s="1"/>
  <c r="P91" i="187"/>
  <c r="P146" i="187"/>
  <c r="K25" i="203" s="1"/>
  <c r="P97" i="187"/>
  <c r="P145" i="187" s="1"/>
  <c r="AD95" i="187"/>
  <c r="T95" i="187"/>
  <c r="AH98" i="187"/>
  <c r="S148" i="187"/>
  <c r="U99" i="187"/>
  <c r="U147" i="187" s="1"/>
  <c r="R98" i="187"/>
  <c r="AA146" i="187"/>
  <c r="G74" i="203" s="1"/>
  <c r="AN148" i="187"/>
  <c r="X96" i="187"/>
  <c r="X144" i="187" s="1"/>
  <c r="D72" i="203" s="1"/>
  <c r="X101" i="187"/>
  <c r="P98" i="187"/>
  <c r="L91" i="187"/>
  <c r="R101" i="187"/>
  <c r="T91" i="187"/>
  <c r="AD91" i="187"/>
  <c r="H146" i="187"/>
  <c r="D25" i="203" s="1"/>
  <c r="L101" i="187"/>
  <c r="U97" i="187"/>
  <c r="U145" i="187" s="1"/>
  <c r="R93" i="187"/>
  <c r="AA137" i="187"/>
  <c r="Z139" i="187"/>
  <c r="AF96" i="187"/>
  <c r="AE144" i="187" s="1"/>
  <c r="J72" i="203" s="1"/>
  <c r="Y140" i="187"/>
  <c r="AR100" i="187"/>
  <c r="AR91" i="187"/>
  <c r="AO100" i="187"/>
  <c r="W97" i="187"/>
  <c r="I99" i="187"/>
  <c r="I147" i="187" s="1"/>
  <c r="O101" i="187"/>
  <c r="AQ100" i="187"/>
  <c r="I148" i="187"/>
  <c r="AE91" i="187"/>
  <c r="W91" i="187"/>
  <c r="AG100" i="187"/>
  <c r="R100" i="187"/>
  <c r="L98" i="187"/>
  <c r="S146" i="187"/>
  <c r="O25" i="203" s="1"/>
  <c r="L100" i="187"/>
  <c r="R95" i="187"/>
  <c r="AD140" i="187"/>
  <c r="AF94" i="187"/>
  <c r="Q97" i="187"/>
  <c r="Q145" i="187" s="1"/>
  <c r="U94" i="187"/>
  <c r="P95" i="187"/>
  <c r="M101" i="187"/>
  <c r="AF95" i="187"/>
  <c r="K101" i="187"/>
  <c r="O91" i="187"/>
  <c r="AL100" i="187"/>
  <c r="AN99" i="187"/>
  <c r="AP98" i="187"/>
  <c r="AQ148" i="187"/>
  <c r="N94" i="187"/>
  <c r="T101" i="187"/>
  <c r="S94" i="187"/>
  <c r="AO148" i="187"/>
  <c r="T129" i="187"/>
  <c r="T130" i="187" s="1"/>
  <c r="M148" i="187"/>
  <c r="W146" i="187"/>
  <c r="AD146" i="187"/>
  <c r="I74" i="203" s="1"/>
  <c r="Z91" i="187"/>
  <c r="AG148" i="187"/>
  <c r="AD100" i="187"/>
  <c r="S118" i="187"/>
  <c r="I100" i="187"/>
  <c r="W137" i="187"/>
  <c r="AG93" i="187"/>
  <c r="AE95" i="187"/>
  <c r="AC95" i="187"/>
  <c r="Z93" i="187"/>
  <c r="AB96" i="187"/>
  <c r="H97" i="187"/>
  <c r="Q96" i="187"/>
  <c r="Q144" i="187" s="1"/>
  <c r="M23" i="203" s="1"/>
  <c r="U101" i="187"/>
  <c r="Y93" i="187"/>
  <c r="AD94" i="187"/>
  <c r="K91" i="187"/>
  <c r="AM148" i="187"/>
  <c r="AQ96" i="187"/>
  <c r="AQ144" i="187" s="1"/>
  <c r="AS146" i="187"/>
  <c r="AS91" i="187"/>
  <c r="AE140" i="187"/>
  <c r="H139" i="187"/>
  <c r="H140" i="187" s="1"/>
  <c r="M146" i="187"/>
  <c r="I25" i="203" s="1"/>
  <c r="AC91" i="187"/>
  <c r="Y98" i="187"/>
  <c r="AE139" i="187"/>
  <c r="N91" i="187"/>
  <c r="AC96" i="187"/>
  <c r="AC144" i="187" s="1"/>
  <c r="H72" i="203" s="1"/>
  <c r="T97" i="187"/>
  <c r="T145" i="187" s="1"/>
  <c r="O97" i="187"/>
  <c r="O145" i="187" s="1"/>
  <c r="X95" i="187"/>
  <c r="T96" i="187"/>
  <c r="T144" i="187" s="1"/>
  <c r="P23" i="203" s="1"/>
  <c r="AD97" i="187"/>
  <c r="AC93" i="187"/>
  <c r="AQ146" i="187"/>
  <c r="AS94" i="187"/>
  <c r="AS95" i="187"/>
  <c r="AQ98" i="187"/>
  <c r="AL91" i="187"/>
  <c r="AM91" i="187"/>
  <c r="AR97" i="187"/>
  <c r="N101" i="187"/>
  <c r="X94" i="187"/>
  <c r="L97" i="187"/>
  <c r="L145" i="187" s="1"/>
  <c r="U98" i="187"/>
  <c r="AA148" i="187"/>
  <c r="AG101" i="187"/>
  <c r="O98" i="187"/>
  <c r="N146" i="187"/>
  <c r="AA139" i="187"/>
  <c r="N99" i="187"/>
  <c r="M147" i="187" s="1"/>
  <c r="AG97" i="187"/>
  <c r="Y96" i="187"/>
  <c r="Y144" i="187" s="1"/>
  <c r="E72" i="203" s="1"/>
  <c r="R118" i="187"/>
  <c r="H148" i="187"/>
  <c r="Y101" i="187"/>
  <c r="Z137" i="187"/>
  <c r="Y146" i="187"/>
  <c r="E74" i="203" s="1"/>
  <c r="M96" i="187"/>
  <c r="S93" i="187"/>
  <c r="AA93" i="187"/>
  <c r="AA91" i="187"/>
  <c r="N148" i="187"/>
  <c r="L95" i="187"/>
  <c r="AA100" i="187"/>
  <c r="AG146" i="187"/>
  <c r="K74" i="203" s="1"/>
  <c r="AR148" i="187"/>
  <c r="Q95" i="187"/>
  <c r="M95" i="187"/>
  <c r="AF100" i="187"/>
  <c r="Q91" i="187"/>
  <c r="AQ93" i="187"/>
  <c r="AE93" i="187"/>
  <c r="P99" i="187"/>
  <c r="P147" i="187" s="1"/>
  <c r="AE94" i="187"/>
  <c r="AS97" i="187"/>
  <c r="AN101" i="187"/>
  <c r="AL97" i="187"/>
  <c r="Q99" i="187"/>
  <c r="Q147" i="187" s="1"/>
  <c r="AA97" i="187"/>
  <c r="W101" i="187"/>
  <c r="G139" i="187"/>
  <c r="G140" i="187" s="1"/>
  <c r="J146" i="187"/>
  <c r="F25" i="203" s="1"/>
  <c r="Z146" i="187"/>
  <c r="F74" i="203" s="1"/>
  <c r="R91" i="187"/>
  <c r="T146" i="187"/>
  <c r="P25" i="203" s="1"/>
  <c r="U118" i="187"/>
  <c r="Q100" i="187"/>
  <c r="S91" i="187"/>
  <c r="Q94" i="187"/>
  <c r="AB95" i="187"/>
  <c r="AA94" i="187"/>
  <c r="AB93" i="187"/>
  <c r="AB101" i="187"/>
  <c r="P96" i="187"/>
  <c r="P144" i="187" s="1"/>
  <c r="K23" i="203" s="1"/>
  <c r="AB94" i="187"/>
  <c r="X97" i="187"/>
  <c r="AA95" i="187"/>
  <c r="AA96" i="187"/>
  <c r="AA144" i="187" s="1"/>
  <c r="G72" i="203" s="1"/>
  <c r="J91" i="187"/>
  <c r="AP99" i="187"/>
  <c r="AP147" i="187" s="1"/>
  <c r="AL98" i="187"/>
  <c r="AS98" i="187"/>
  <c r="AL146" i="187"/>
  <c r="K99" i="187"/>
  <c r="K147" i="187" s="1"/>
  <c r="K149" i="187" s="1"/>
  <c r="I101" i="187"/>
  <c r="AO101" i="187"/>
  <c r="M91" i="187"/>
  <c r="G100" i="187"/>
  <c r="X100" i="187"/>
  <c r="AC98" i="187"/>
  <c r="W93" i="187"/>
  <c r="AH101" i="187"/>
  <c r="AH96" i="187"/>
  <c r="H91" i="187"/>
  <c r="AO146" i="187"/>
  <c r="AO99" i="187"/>
  <c r="AO147" i="187" s="1"/>
  <c r="AP97" i="187"/>
  <c r="AP145" i="187" s="1"/>
  <c r="AQ99" i="187"/>
  <c r="AQ147" i="187" s="1"/>
  <c r="AQ149" i="187" s="1"/>
  <c r="I97" i="187"/>
  <c r="I145" i="187" s="1"/>
  <c r="AF97" i="187"/>
  <c r="Y94" i="187"/>
  <c r="T118" i="187"/>
  <c r="R148" i="187"/>
  <c r="W100" i="187"/>
  <c r="O100" i="187"/>
  <c r="K146" i="187"/>
  <c r="G25" i="203" s="1"/>
  <c r="AM100" i="187"/>
  <c r="M94" i="187"/>
  <c r="Y95" i="187"/>
  <c r="Q146" i="187"/>
  <c r="T100" i="187"/>
  <c r="L148" i="187"/>
  <c r="L149" i="187" s="1"/>
  <c r="Q129" i="187"/>
  <c r="Q130" i="187" s="1"/>
  <c r="W98" i="187"/>
  <c r="Y148" i="187"/>
  <c r="M93" i="187"/>
  <c r="R96" i="187"/>
  <c r="R144" i="187" s="1"/>
  <c r="N23" i="203" s="1"/>
  <c r="AH94" i="187"/>
  <c r="AF98" i="187"/>
  <c r="AC146" i="187"/>
  <c r="H74" i="203" s="1"/>
  <c r="Z148" i="187"/>
  <c r="U129" i="187"/>
  <c r="U130" i="187" s="1"/>
  <c r="AE100" i="187"/>
  <c r="AQ97" i="187"/>
  <c r="AQ145" i="187" s="1"/>
  <c r="K97" i="187"/>
  <c r="K145" i="187" s="1"/>
  <c r="Z97" i="187"/>
  <c r="AF91" i="187"/>
  <c r="I98" i="187"/>
  <c r="Z96" i="187"/>
  <c r="Z144" i="187" s="1"/>
  <c r="F72" i="203" s="1"/>
  <c r="J97" i="187"/>
  <c r="J145" i="187" s="1"/>
  <c r="O99" i="187"/>
  <c r="O147" i="187" s="1"/>
  <c r="O149" i="187" s="1"/>
  <c r="AO97" i="187"/>
  <c r="AO145" i="187" s="1"/>
  <c r="AP100" i="187"/>
  <c r="O93" i="187"/>
  <c r="T93" i="187"/>
  <c r="X140" i="187"/>
  <c r="I91" i="187"/>
  <c r="J148" i="187"/>
  <c r="G148" i="187"/>
  <c r="AC148" i="187"/>
  <c r="K98" i="187"/>
  <c r="H98" i="187"/>
  <c r="AC100" i="187"/>
  <c r="S98" i="187"/>
  <c r="Z100" i="187"/>
  <c r="S99" i="187"/>
  <c r="S147" i="187" s="1"/>
  <c r="S149" i="187" s="1"/>
  <c r="P101" i="187"/>
  <c r="AD101" i="187"/>
  <c r="AC94" i="187"/>
  <c r="W94" i="187"/>
  <c r="AA140" i="187"/>
  <c r="AF101" i="187"/>
  <c r="AG95" i="187"/>
  <c r="AG140" i="187"/>
  <c r="O96" i="187"/>
  <c r="O144" i="187" s="1"/>
  <c r="J23" i="203" s="1"/>
  <c r="AM146" i="187"/>
  <c r="AR93" i="187"/>
  <c r="AM139" i="187"/>
  <c r="AM140" i="187" s="1"/>
  <c r="AO98" i="187"/>
  <c r="AR101" i="187"/>
  <c r="AE101" i="187"/>
  <c r="AA101" i="187"/>
  <c r="AM98" i="187"/>
  <c r="L146" i="187"/>
  <c r="H25" i="203" s="1"/>
  <c r="AE148" i="187"/>
  <c r="AE98" i="187"/>
  <c r="AG91" i="187"/>
  <c r="Y139" i="187"/>
  <c r="N98" i="187"/>
  <c r="Y100" i="187"/>
  <c r="Q98" i="187"/>
  <c r="T148" i="187"/>
  <c r="Q148" i="187"/>
  <c r="N96" i="187"/>
  <c r="X93" i="187"/>
  <c r="T94" i="187"/>
  <c r="AC101" i="187"/>
  <c r="AG94" i="187"/>
  <c r="AG96" i="187"/>
  <c r="AG144" i="187" s="1"/>
  <c r="K72" i="203" s="1"/>
  <c r="N97" i="187"/>
  <c r="J101" i="187"/>
  <c r="AC140" i="187"/>
  <c r="Q93" i="187"/>
  <c r="AP101" i="187"/>
  <c r="AR96" i="187"/>
  <c r="X78" i="206"/>
  <c r="X111" i="206" s="1"/>
  <c r="X109" i="206"/>
  <c r="W164" i="242"/>
  <c r="W166" i="242" s="1"/>
  <c r="W228" i="242"/>
  <c r="W231" i="242" s="1"/>
  <c r="W233" i="242" s="1"/>
  <c r="U135" i="242"/>
  <c r="U137" i="242" s="1"/>
  <c r="U228" i="242"/>
  <c r="U231" i="242" s="1"/>
  <c r="U233" i="242" s="1"/>
  <c r="H106" i="242"/>
  <c r="H228" i="242"/>
  <c r="H231" i="242" s="1"/>
  <c r="F228" i="242"/>
  <c r="F231" i="242" s="1"/>
  <c r="F233" i="242" s="1"/>
  <c r="F106" i="242"/>
  <c r="F108" i="242" s="1"/>
  <c r="AQ94" i="187"/>
  <c r="AQ95" i="187"/>
  <c r="AE97" i="187"/>
  <c r="AE99" i="187" s="1"/>
  <c r="Q101" i="187"/>
  <c r="Z98" i="187"/>
  <c r="Y137" i="187"/>
  <c r="U148" i="187"/>
  <c r="AO91" i="187"/>
  <c r="AN91" i="187"/>
  <c r="W140" i="187"/>
  <c r="G97" i="187"/>
  <c r="AF93" i="187"/>
  <c r="N100" i="187"/>
  <c r="M98" i="187"/>
  <c r="S96" i="187"/>
  <c r="S144" i="187" s="1"/>
  <c r="O23" i="203" s="1"/>
  <c r="M228" i="242"/>
  <c r="M231" i="242" s="1"/>
  <c r="M233" i="242" s="1"/>
  <c r="U96" i="187"/>
  <c r="U144" i="187" s="1"/>
  <c r="Q23" i="203" s="1"/>
  <c r="T99" i="187"/>
  <c r="T147" i="187" s="1"/>
  <c r="AB98" i="187"/>
  <c r="AD93" i="187"/>
  <c r="AG139" i="187"/>
  <c r="M99" i="187"/>
  <c r="AG98" i="187"/>
  <c r="P100" i="187"/>
  <c r="AP91" i="187"/>
  <c r="Y222" i="242"/>
  <c r="Y224" i="242" s="1"/>
  <c r="AD219" i="242"/>
  <c r="Y193" i="242"/>
  <c r="Y195" i="242" s="1"/>
  <c r="Y228" i="242"/>
  <c r="Y231" i="242" s="1"/>
  <c r="Y233" i="242" s="1"/>
  <c r="C193" i="242"/>
  <c r="C195" i="242" s="1"/>
  <c r="X195" i="242" s="1"/>
  <c r="X190" i="242"/>
  <c r="T135" i="242"/>
  <c r="T137" i="242" s="1"/>
  <c r="T228" i="242"/>
  <c r="T231" i="242" s="1"/>
  <c r="T233" i="242" s="1"/>
  <c r="AC106" i="242"/>
  <c r="AC108" i="242" s="1"/>
  <c r="AC228" i="242"/>
  <c r="AC231" i="242" s="1"/>
  <c r="AC233" i="242" s="1"/>
  <c r="Q106" i="242"/>
  <c r="Q108" i="242" s="1"/>
  <c r="Q228" i="242"/>
  <c r="Q231" i="242" s="1"/>
  <c r="Q233" i="242" s="1"/>
  <c r="L81" i="238"/>
  <c r="AF80" i="238"/>
  <c r="AR146" i="187"/>
  <c r="R97" i="187"/>
  <c r="R145" i="187" s="1"/>
  <c r="S101" i="187"/>
  <c r="U91" i="187"/>
  <c r="T98" i="187"/>
  <c r="W148" i="187"/>
  <c r="Z101" i="187"/>
  <c r="AQ101" i="187"/>
  <c r="Z140" i="187"/>
  <c r="AH93" i="187"/>
  <c r="W96" i="187"/>
  <c r="W144" i="187" s="1"/>
  <c r="AA98" i="187"/>
  <c r="G146" i="187"/>
  <c r="N93" i="187"/>
  <c r="AS100" i="187"/>
  <c r="Z95" i="187"/>
  <c r="M100" i="187"/>
  <c r="P93" i="187"/>
  <c r="R129" i="187"/>
  <c r="R130" i="187" s="1"/>
  <c r="U93" i="187"/>
  <c r="AC97" i="187"/>
  <c r="L94" i="187"/>
  <c r="AH100" i="187"/>
  <c r="AD96" i="187"/>
  <c r="AD144" i="187" s="1"/>
  <c r="I72" i="203" s="1"/>
  <c r="AS99" i="187"/>
  <c r="AR147" i="187" s="1"/>
  <c r="N80" i="238"/>
  <c r="AA80" i="238"/>
  <c r="J116" i="238"/>
  <c r="P112" i="238"/>
  <c r="O115" i="238"/>
  <c r="M114" i="238"/>
  <c r="Y91" i="187"/>
  <c r="AP146" i="187"/>
  <c r="J99" i="187"/>
  <c r="J147" i="187" s="1"/>
  <c r="R99" i="187"/>
  <c r="R147" i="187" s="1"/>
  <c r="L96" i="187"/>
  <c r="L144" i="187" s="1"/>
  <c r="H23" i="203" s="1"/>
  <c r="AB100" i="187"/>
  <c r="X91" i="187"/>
  <c r="L93" i="187"/>
  <c r="AQ91" i="187"/>
  <c r="U95" i="187"/>
  <c r="S97" i="187"/>
  <c r="S145" i="187" s="1"/>
  <c r="Q118" i="187"/>
  <c r="H100" i="187"/>
  <c r="AN98" i="187"/>
  <c r="AS93" i="187"/>
  <c r="AD98" i="187"/>
  <c r="R146" i="187"/>
  <c r="N25" i="203" s="1"/>
  <c r="X137" i="187"/>
  <c r="X146" i="187"/>
  <c r="D74" i="203" s="1"/>
  <c r="U146" i="187"/>
  <c r="Q25" i="203" s="1"/>
  <c r="G91" i="187"/>
  <c r="AC139" i="187"/>
  <c r="W95" i="187"/>
  <c r="AR95" i="187"/>
  <c r="AE77" i="238"/>
  <c r="H235" i="206"/>
  <c r="AA235" i="206"/>
  <c r="AE81" i="238"/>
  <c r="AH80" i="238"/>
  <c r="AG78" i="238"/>
  <c r="AG80" i="238"/>
  <c r="J79" i="238"/>
  <c r="AA77" i="238"/>
  <c r="AA81" i="238"/>
  <c r="Q235" i="206"/>
  <c r="N74" i="238"/>
  <c r="N81" i="238" s="1"/>
  <c r="O72" i="238"/>
  <c r="O79" i="238" s="1"/>
  <c r="M111" i="238"/>
  <c r="N113" i="238"/>
  <c r="O111" i="238"/>
  <c r="O81" i="238"/>
  <c r="H112" i="238"/>
  <c r="L235" i="206"/>
  <c r="H69" i="238"/>
  <c r="H77" i="238" s="1"/>
  <c r="R235" i="206"/>
  <c r="Q78" i="206"/>
  <c r="Q111" i="206" s="1"/>
  <c r="Q109" i="206"/>
  <c r="AG72" i="238"/>
  <c r="AG79" i="238" s="1"/>
  <c r="I113" i="238"/>
  <c r="I116" i="238"/>
  <c r="P114" i="238"/>
  <c r="K113" i="238"/>
  <c r="J113" i="238"/>
  <c r="L270" i="242"/>
  <c r="AD270" i="242" s="1"/>
  <c r="AD265" i="242"/>
  <c r="P106" i="242"/>
  <c r="P108" i="242" s="1"/>
  <c r="P228" i="242"/>
  <c r="P231" i="242" s="1"/>
  <c r="P233" i="242" s="1"/>
  <c r="U69" i="238"/>
  <c r="U77" i="238" s="1"/>
  <c r="Q50" i="216"/>
  <c r="R54" i="216"/>
  <c r="I35" i="231"/>
  <c r="I41" i="231" s="1"/>
  <c r="P113" i="238"/>
  <c r="G111" i="238"/>
  <c r="P111" i="238"/>
  <c r="N116" i="238"/>
  <c r="G116" i="238"/>
  <c r="L116" i="238"/>
  <c r="I80" i="238"/>
  <c r="I114" i="238"/>
  <c r="L111" i="238"/>
  <c r="AC77" i="238"/>
  <c r="S69" i="238"/>
  <c r="S77" i="238" s="1"/>
  <c r="O69" i="238"/>
  <c r="O77" i="238" s="1"/>
  <c r="AF71" i="238"/>
  <c r="AF78" i="238" s="1"/>
  <c r="H74" i="238"/>
  <c r="H81" i="238" s="1"/>
  <c r="M57" i="217"/>
  <c r="M26" i="217" s="1"/>
  <c r="M20" i="217"/>
  <c r="AG82" i="238"/>
  <c r="Y89" i="206"/>
  <c r="Y111" i="206" s="1"/>
  <c r="Y109" i="206"/>
  <c r="K62" i="205"/>
  <c r="V57" i="205"/>
  <c r="Q19" i="203" s="1"/>
  <c r="R57" i="205"/>
  <c r="M19" i="203" s="1"/>
  <c r="S57" i="205"/>
  <c r="N19" i="203" s="1"/>
  <c r="J228" i="242"/>
  <c r="J231" i="242" s="1"/>
  <c r="J233" i="242" s="1"/>
  <c r="J135" i="242"/>
  <c r="J137" i="242" s="1"/>
  <c r="AD95" i="205"/>
  <c r="AB96" i="205"/>
  <c r="AD99" i="205"/>
  <c r="K99" i="205"/>
  <c r="J96" i="205"/>
  <c r="N96" i="205"/>
  <c r="G98" i="205"/>
  <c r="AH96" i="205"/>
  <c r="AE96" i="205"/>
  <c r="AF97" i="205"/>
  <c r="H99" i="205"/>
  <c r="I97" i="205"/>
  <c r="K95" i="205"/>
  <c r="H98" i="205"/>
  <c r="I98" i="205"/>
  <c r="M98" i="205"/>
  <c r="M94" i="205"/>
  <c r="I68" i="203" s="1"/>
  <c r="AB98" i="205"/>
  <c r="AG99" i="205"/>
  <c r="AC96" i="205"/>
  <c r="M95" i="205"/>
  <c r="N97" i="205"/>
  <c r="L97" i="205"/>
  <c r="J95" i="205"/>
  <c r="K98" i="205"/>
  <c r="J98" i="205"/>
  <c r="AH97" i="205"/>
  <c r="AH95" i="205"/>
  <c r="AE95" i="205"/>
  <c r="P96" i="205"/>
  <c r="L96" i="205"/>
  <c r="L94" i="205"/>
  <c r="H68" i="203" s="1"/>
  <c r="P98" i="205"/>
  <c r="L98" i="205"/>
  <c r="O98" i="205"/>
  <c r="I96" i="205"/>
  <c r="O96" i="205"/>
  <c r="G96" i="205"/>
  <c r="AB94" i="205"/>
  <c r="AD97" i="205"/>
  <c r="I95" i="205"/>
  <c r="O97" i="205"/>
  <c r="L99" i="205"/>
  <c r="AE98" i="205"/>
  <c r="AC95" i="205"/>
  <c r="AA95" i="205"/>
  <c r="O95" i="205"/>
  <c r="G97" i="205"/>
  <c r="M99" i="205"/>
  <c r="AF95" i="205"/>
  <c r="AD94" i="205"/>
  <c r="AA98" i="205"/>
  <c r="AN147" i="187"/>
  <c r="E222" i="242"/>
  <c r="X219" i="242"/>
  <c r="X193" i="242"/>
  <c r="C164" i="242"/>
  <c r="X161" i="242"/>
  <c r="I106" i="242"/>
  <c r="I108" i="242" s="1"/>
  <c r="I228" i="242"/>
  <c r="I231" i="242" s="1"/>
  <c r="I233" i="242" s="1"/>
  <c r="AD103" i="242"/>
  <c r="K116" i="238"/>
  <c r="V54" i="216"/>
  <c r="W50" i="216"/>
  <c r="AD222" i="242"/>
  <c r="I224" i="242"/>
  <c r="J127" i="206"/>
  <c r="L162" i="206" s="1"/>
  <c r="U50" i="235"/>
  <c r="U56" i="235" s="1"/>
  <c r="U54" i="235"/>
  <c r="M50" i="235"/>
  <c r="M56" i="235" s="1"/>
  <c r="M54" i="235"/>
  <c r="Z109" i="206"/>
  <c r="Z78" i="206"/>
  <c r="Z111" i="206" s="1"/>
  <c r="I115" i="238"/>
  <c r="M112" i="238"/>
  <c r="H114" i="238"/>
  <c r="M113" i="238"/>
  <c r="G114" i="238"/>
  <c r="N114" i="238"/>
  <c r="H113" i="238"/>
  <c r="J115" i="238"/>
  <c r="I112" i="238"/>
  <c r="N112" i="238"/>
  <c r="P115" i="238"/>
  <c r="H116" i="238"/>
  <c r="N111" i="238"/>
  <c r="K112" i="238"/>
  <c r="G115" i="238"/>
  <c r="J159" i="206"/>
  <c r="T57" i="205"/>
  <c r="O19" i="203" s="1"/>
  <c r="N140" i="187"/>
  <c r="AH138" i="187"/>
  <c r="I111" i="238"/>
  <c r="H95" i="205"/>
  <c r="J97" i="205"/>
  <c r="N98" i="205"/>
  <c r="K96" i="205"/>
  <c r="AG98" i="205"/>
  <c r="AC99" i="205"/>
  <c r="L95" i="205"/>
  <c r="K97" i="205"/>
  <c r="I99" i="205"/>
  <c r="AD98" i="205"/>
  <c r="AG94" i="205"/>
  <c r="G95" i="205"/>
  <c r="H94" i="205"/>
  <c r="D68" i="203" s="1"/>
  <c r="K94" i="205"/>
  <c r="G68" i="203" s="1"/>
  <c r="AG97" i="205"/>
  <c r="AG96" i="205"/>
  <c r="U57" i="205"/>
  <c r="P19" i="203" s="1"/>
  <c r="H193" i="242"/>
  <c r="AD190" i="242"/>
  <c r="AD135" i="242"/>
  <c r="I137" i="242"/>
  <c r="C106" i="242"/>
  <c r="C228" i="242"/>
  <c r="X103" i="242"/>
  <c r="O114" i="238"/>
  <c r="F26" i="217"/>
  <c r="G30" i="230"/>
  <c r="F35" i="231"/>
  <c r="F44" i="231" s="1"/>
  <c r="F45" i="231" s="1"/>
  <c r="E41" i="230"/>
  <c r="D157" i="206"/>
  <c r="G157" i="206"/>
  <c r="D20" i="217"/>
  <c r="M115" i="238"/>
  <c r="O116" i="238"/>
  <c r="K111" i="238"/>
  <c r="L115" i="238"/>
  <c r="K114" i="238"/>
  <c r="L112" i="238"/>
  <c r="N118" i="239"/>
  <c r="L114" i="238"/>
  <c r="L80" i="238"/>
  <c r="L113" i="238"/>
  <c r="P95" i="205"/>
  <c r="G99" i="205"/>
  <c r="N99" i="205"/>
  <c r="AF98" i="205"/>
  <c r="AH98" i="205"/>
  <c r="AB95" i="205"/>
  <c r="O94" i="205"/>
  <c r="J68" i="203" s="1"/>
  <c r="M96" i="205"/>
  <c r="P99" i="205"/>
  <c r="AA94" i="205"/>
  <c r="AF94" i="205"/>
  <c r="AC98" i="205"/>
  <c r="G94" i="205"/>
  <c r="C68" i="203" s="1"/>
  <c r="I94" i="205"/>
  <c r="E68" i="203" s="1"/>
  <c r="P94" i="205"/>
  <c r="K68" i="203" s="1"/>
  <c r="AA96" i="205"/>
  <c r="AF96" i="205"/>
  <c r="AD96" i="205"/>
  <c r="AD132" i="242"/>
  <c r="C135" i="242"/>
  <c r="X132" i="242"/>
  <c r="D106" i="242"/>
  <c r="D108" i="242" s="1"/>
  <c r="D228" i="242"/>
  <c r="D231" i="242" s="1"/>
  <c r="D233" i="242" s="1"/>
  <c r="D26" i="217"/>
  <c r="E26" i="217"/>
  <c r="G41" i="230"/>
  <c r="H35" i="231"/>
  <c r="H44" i="231" s="1"/>
  <c r="H45" i="231" s="1"/>
  <c r="AD164" i="242"/>
  <c r="H166" i="242"/>
  <c r="AD166" i="242" s="1"/>
  <c r="I162" i="206"/>
  <c r="I155" i="206"/>
  <c r="H155" i="206"/>
  <c r="Q50" i="235"/>
  <c r="Q56" i="235" s="1"/>
  <c r="Q54" i="235"/>
  <c r="G113" i="238"/>
  <c r="O113" i="238"/>
  <c r="O112" i="238"/>
  <c r="J112" i="238"/>
  <c r="H115" i="238"/>
  <c r="P116" i="238"/>
  <c r="H111" i="238"/>
  <c r="J114" i="238"/>
  <c r="K115" i="238"/>
  <c r="J111" i="238"/>
  <c r="M116" i="238"/>
  <c r="N120" i="239"/>
  <c r="L127" i="238"/>
  <c r="N140" i="238" s="1"/>
  <c r="K156" i="206"/>
  <c r="G112" i="238"/>
  <c r="M97" i="205"/>
  <c r="N95" i="205"/>
  <c r="P97" i="205"/>
  <c r="O99" i="205"/>
  <c r="AF99" i="205"/>
  <c r="AE94" i="205"/>
  <c r="AH94" i="205"/>
  <c r="J94" i="205"/>
  <c r="F68" i="203" s="1"/>
  <c r="N94" i="205"/>
  <c r="H96" i="205"/>
  <c r="AB97" i="205"/>
  <c r="AC94" i="205"/>
  <c r="AH99" i="205"/>
  <c r="H97" i="205"/>
  <c r="J99" i="205"/>
  <c r="AB99" i="205"/>
  <c r="AG95" i="205"/>
  <c r="AC97" i="205"/>
  <c r="K159" i="206"/>
  <c r="E20" i="217"/>
  <c r="F41" i="230"/>
  <c r="G35" i="231"/>
  <c r="G44" i="231" s="1"/>
  <c r="G45" i="231" s="1"/>
  <c r="K228" i="242"/>
  <c r="K231" i="242" s="1"/>
  <c r="K233" i="242" s="1"/>
  <c r="AD106" i="242"/>
  <c r="H108" i="242"/>
  <c r="F20" i="217"/>
  <c r="N40" i="230"/>
  <c r="O34" i="230"/>
  <c r="M22" i="231"/>
  <c r="L30" i="230"/>
  <c r="I41" i="230"/>
  <c r="J35" i="231"/>
  <c r="K35" i="231"/>
  <c r="J41" i="230"/>
  <c r="L41" i="230"/>
  <c r="M35" i="231"/>
  <c r="L22" i="231"/>
  <c r="K30" i="230"/>
  <c r="N37" i="230"/>
  <c r="N42" i="230" s="1"/>
  <c r="J30" i="230"/>
  <c r="K22" i="231"/>
  <c r="M30" i="230"/>
  <c r="N22" i="231"/>
  <c r="I30" i="230"/>
  <c r="J22" i="231"/>
  <c r="N36" i="230"/>
  <c r="M41" i="230"/>
  <c r="N35" i="231"/>
  <c r="L35" i="231"/>
  <c r="K41" i="230"/>
  <c r="F30" i="230"/>
  <c r="G22" i="231"/>
  <c r="G51" i="217"/>
  <c r="G20" i="217" s="1"/>
  <c r="L18" i="190"/>
  <c r="J94" i="222"/>
  <c r="H17" i="245"/>
  <c r="F62" i="233"/>
  <c r="G61" i="233"/>
  <c r="F64" i="233"/>
  <c r="E65" i="233"/>
  <c r="J64" i="233"/>
  <c r="K64" i="233"/>
  <c r="E81" i="233"/>
  <c r="K80" i="233"/>
  <c r="E87" i="233"/>
  <c r="K86" i="233"/>
  <c r="F70" i="233"/>
  <c r="E71" i="233"/>
  <c r="J70" i="233"/>
  <c r="K70" i="233"/>
  <c r="K77" i="233"/>
  <c r="F77" i="233"/>
  <c r="E78" i="233"/>
  <c r="F80" i="233" s="1"/>
  <c r="E84" i="233"/>
  <c r="F83" i="233"/>
  <c r="K83" i="233"/>
  <c r="F58" i="233"/>
  <c r="E59" i="233"/>
  <c r="K58" i="233"/>
  <c r="J58" i="233"/>
  <c r="F67" i="233"/>
  <c r="K67" i="233"/>
  <c r="J67" i="233"/>
  <c r="E68" i="233"/>
  <c r="F62" i="203"/>
  <c r="F13" i="203"/>
  <c r="AB239" i="242"/>
  <c r="F42" i="234"/>
  <c r="K41" i="221"/>
  <c r="K72" i="201"/>
  <c r="Q91" i="223"/>
  <c r="O20" i="235"/>
  <c r="O89" i="238"/>
  <c r="K62" i="203"/>
  <c r="K71" i="222"/>
  <c r="Q110" i="223"/>
  <c r="O69" i="205"/>
  <c r="H24" i="232"/>
  <c r="M17" i="191"/>
  <c r="Q46" i="223"/>
  <c r="L170" i="206"/>
  <c r="W20" i="224"/>
  <c r="AG51" i="234"/>
  <c r="AB15" i="220"/>
  <c r="AB20" i="218"/>
  <c r="M49" i="217"/>
  <c r="M18" i="217"/>
  <c r="AB20" i="201"/>
  <c r="AB19" i="211"/>
  <c r="AH16" i="223"/>
  <c r="AH60" i="223"/>
  <c r="AB52" i="210"/>
  <c r="AG42" i="234"/>
  <c r="AH110" i="223"/>
  <c r="AC242" i="206"/>
  <c r="AC67" i="206"/>
  <c r="AS21" i="187"/>
  <c r="AH19" i="205"/>
  <c r="AO239" i="242"/>
  <c r="AG24" i="234"/>
  <c r="AB20" i="243"/>
  <c r="AB55" i="201"/>
  <c r="AH31" i="223"/>
  <c r="AH46" i="223"/>
  <c r="AB42" i="210"/>
  <c r="AB18" i="210"/>
  <c r="AG19" i="239"/>
  <c r="AG20" i="235"/>
  <c r="AC170" i="206"/>
  <c r="AC50" i="206"/>
  <c r="AH19" i="238"/>
  <c r="AS108" i="187"/>
  <c r="AH69" i="205"/>
  <c r="J74" i="210"/>
  <c r="AA239" i="242"/>
  <c r="AA21" i="242"/>
  <c r="AA59" i="242"/>
  <c r="G24" i="232"/>
  <c r="F20" i="230"/>
  <c r="P31" i="223"/>
  <c r="E42" i="234"/>
  <c r="J292" i="206"/>
  <c r="J82" i="222"/>
  <c r="J22" i="222"/>
  <c r="J36" i="224"/>
  <c r="J29" i="221"/>
  <c r="J15" i="220"/>
  <c r="J20" i="218"/>
  <c r="E18" i="217"/>
  <c r="J55" i="201"/>
  <c r="J20" i="201"/>
  <c r="P91" i="223"/>
  <c r="J70" i="210"/>
  <c r="J42" i="210"/>
  <c r="P129" i="223"/>
  <c r="P60" i="223"/>
  <c r="J18" i="210"/>
  <c r="N63" i="235"/>
  <c r="N19" i="239"/>
  <c r="K50" i="206"/>
  <c r="K242" i="206"/>
  <c r="K67" i="206"/>
  <c r="N89" i="238"/>
  <c r="N108" i="187"/>
  <c r="N21" i="187"/>
  <c r="N19" i="205"/>
  <c r="J13" i="203"/>
  <c r="AO59" i="242"/>
  <c r="E15" i="237"/>
  <c r="J239" i="242"/>
  <c r="E51" i="234"/>
  <c r="J316" i="206"/>
  <c r="J71" i="222"/>
  <c r="E24" i="234"/>
  <c r="J17" i="221"/>
  <c r="E49" i="217"/>
  <c r="J37" i="201"/>
  <c r="P73" i="223"/>
  <c r="P46" i="223"/>
  <c r="K118" i="206"/>
  <c r="K170" i="206"/>
  <c r="AE21" i="187"/>
  <c r="J62" i="203"/>
  <c r="J20" i="243"/>
  <c r="J59" i="242"/>
  <c r="J21" i="242"/>
  <c r="G20" i="231"/>
  <c r="P16" i="223"/>
  <c r="J305" i="206"/>
  <c r="J20" i="224"/>
  <c r="L17" i="191"/>
  <c r="J41" i="221"/>
  <c r="J61" i="218"/>
  <c r="J72" i="201"/>
  <c r="J19" i="211"/>
  <c r="J52" i="210"/>
  <c r="P110" i="223"/>
  <c r="N94" i="239"/>
  <c r="N20" i="235"/>
  <c r="N19" i="238"/>
  <c r="K23" i="206"/>
  <c r="AE108" i="187"/>
  <c r="N69" i="205"/>
  <c r="G62" i="203"/>
  <c r="G13" i="203"/>
  <c r="T149" i="187" l="1"/>
  <c r="I36" i="231"/>
  <c r="I38" i="231"/>
  <c r="R149" i="187"/>
  <c r="AP149" i="187"/>
  <c r="N147" i="238"/>
  <c r="AS147" i="187"/>
  <c r="AS149" i="187" s="1"/>
  <c r="M149" i="187"/>
  <c r="I149" i="187"/>
  <c r="Q149" i="187"/>
  <c r="T119" i="187"/>
  <c r="T139" i="187"/>
  <c r="T140" i="187" s="1"/>
  <c r="S119" i="187"/>
  <c r="S139" i="187"/>
  <c r="S140" i="187" s="1"/>
  <c r="I39" i="231"/>
  <c r="K140" i="238"/>
  <c r="K147" i="238" s="1"/>
  <c r="AB140" i="187"/>
  <c r="AL145" i="187"/>
  <c r="AL99" i="187"/>
  <c r="R119" i="187"/>
  <c r="R139" i="187"/>
  <c r="R140" i="187" s="1"/>
  <c r="C74" i="203"/>
  <c r="R25" i="203"/>
  <c r="W145" i="187"/>
  <c r="W99" i="187"/>
  <c r="W147" i="187" s="1"/>
  <c r="W149" i="187" s="1"/>
  <c r="AM145" i="187"/>
  <c r="AM99" i="187"/>
  <c r="G145" i="187"/>
  <c r="G99" i="187"/>
  <c r="M144" i="187"/>
  <c r="I23" i="203" s="1"/>
  <c r="N144" i="187"/>
  <c r="Z145" i="187"/>
  <c r="Z99" i="187"/>
  <c r="Z147" i="187" s="1"/>
  <c r="Z149" i="187" s="1"/>
  <c r="U119" i="187"/>
  <c r="U139" i="187"/>
  <c r="U140" i="187" s="1"/>
  <c r="H145" i="187"/>
  <c r="H99" i="187"/>
  <c r="AS144" i="187"/>
  <c r="AR144" i="187"/>
  <c r="I42" i="231"/>
  <c r="AN149" i="187"/>
  <c r="Q119" i="187"/>
  <c r="Q139" i="187"/>
  <c r="Q140" i="187" s="1"/>
  <c r="R23" i="203"/>
  <c r="C72" i="203"/>
  <c r="AB144" i="187"/>
  <c r="I40" i="231"/>
  <c r="I37" i="231"/>
  <c r="AD108" i="242"/>
  <c r="H138" i="238"/>
  <c r="H145" i="238" s="1"/>
  <c r="E159" i="206"/>
  <c r="AD137" i="242"/>
  <c r="AD224" i="242"/>
  <c r="N147" i="187"/>
  <c r="N149" i="187" s="1"/>
  <c r="J149" i="187"/>
  <c r="N145" i="187"/>
  <c r="M145" i="187"/>
  <c r="AE145" i="187"/>
  <c r="AF99" i="187"/>
  <c r="AE147" i="187" s="1"/>
  <c r="AE149" i="187" s="1"/>
  <c r="AO149" i="187"/>
  <c r="X145" i="187"/>
  <c r="X99" i="187"/>
  <c r="X147" i="187" s="1"/>
  <c r="AD145" i="187"/>
  <c r="AD99" i="187"/>
  <c r="AD147" i="187" s="1"/>
  <c r="AB137" i="187"/>
  <c r="I43" i="231"/>
  <c r="K138" i="238"/>
  <c r="K145" i="238" s="1"/>
  <c r="AR149" i="187"/>
  <c r="AC145" i="187"/>
  <c r="AC99" i="187"/>
  <c r="AC147" i="187" s="1"/>
  <c r="AC149" i="187" s="1"/>
  <c r="AB146" i="187"/>
  <c r="C25" i="203"/>
  <c r="AA145" i="187"/>
  <c r="AA99" i="187"/>
  <c r="AA147" i="187" s="1"/>
  <c r="AA149" i="187" s="1"/>
  <c r="AR145" i="187"/>
  <c r="AS145" i="187"/>
  <c r="AG145" i="187"/>
  <c r="AG99" i="187"/>
  <c r="AG147" i="187" s="1"/>
  <c r="AG149" i="187" s="1"/>
  <c r="U149" i="187"/>
  <c r="Y145" i="187"/>
  <c r="Y99" i="187"/>
  <c r="Y147" i="187" s="1"/>
  <c r="Y149" i="187" s="1"/>
  <c r="J142" i="238"/>
  <c r="J149" i="238" s="1"/>
  <c r="F163" i="206"/>
  <c r="K143" i="238"/>
  <c r="K150" i="238" s="1"/>
  <c r="P143" i="238"/>
  <c r="P150" i="238" s="1"/>
  <c r="I143" i="238"/>
  <c r="I150" i="238" s="1"/>
  <c r="O143" i="238"/>
  <c r="O150" i="238" s="1"/>
  <c r="L158" i="206"/>
  <c r="J80" i="203" s="1"/>
  <c r="D156" i="206"/>
  <c r="J139" i="238"/>
  <c r="J146" i="238" s="1"/>
  <c r="I158" i="206"/>
  <c r="H80" i="203" s="1"/>
  <c r="K161" i="206"/>
  <c r="Q54" i="216"/>
  <c r="P50" i="216"/>
  <c r="J143" i="238"/>
  <c r="J150" i="238" s="1"/>
  <c r="I139" i="238"/>
  <c r="I146" i="238" s="1"/>
  <c r="M140" i="238"/>
  <c r="M147" i="238" s="1"/>
  <c r="L140" i="238"/>
  <c r="L147" i="238" s="1"/>
  <c r="N138" i="238"/>
  <c r="N145" i="238" s="1"/>
  <c r="H141" i="238"/>
  <c r="H148" i="238" s="1"/>
  <c r="K142" i="238"/>
  <c r="K149" i="238" s="1"/>
  <c r="M138" i="238"/>
  <c r="M145" i="238" s="1"/>
  <c r="L139" i="238"/>
  <c r="L146" i="238" s="1"/>
  <c r="H139" i="238"/>
  <c r="H146" i="238" s="1"/>
  <c r="G142" i="238"/>
  <c r="G149" i="238" s="1"/>
  <c r="O141" i="238"/>
  <c r="O148" i="238" s="1"/>
  <c r="O139" i="238"/>
  <c r="O146" i="238" s="1"/>
  <c r="K141" i="238"/>
  <c r="K148" i="238" s="1"/>
  <c r="H140" i="238"/>
  <c r="H147" i="238" s="1"/>
  <c r="H142" i="238"/>
  <c r="H149" i="238" s="1"/>
  <c r="G143" i="238"/>
  <c r="G150" i="238" s="1"/>
  <c r="N143" i="238"/>
  <c r="N150" i="238" s="1"/>
  <c r="P140" i="238"/>
  <c r="P147" i="238" s="1"/>
  <c r="M139" i="238"/>
  <c r="M146" i="238" s="1"/>
  <c r="J138" i="238"/>
  <c r="J145" i="238" s="1"/>
  <c r="M142" i="238"/>
  <c r="M149" i="238" s="1"/>
  <c r="L142" i="238"/>
  <c r="L149" i="238" s="1"/>
  <c r="L141" i="238"/>
  <c r="L148" i="238" s="1"/>
  <c r="I141" i="238"/>
  <c r="I148" i="238" s="1"/>
  <c r="K139" i="238"/>
  <c r="K146" i="238" s="1"/>
  <c r="P142" i="238"/>
  <c r="P149" i="238" s="1"/>
  <c r="O142" i="238"/>
  <c r="O149" i="238" s="1"/>
  <c r="L143" i="238"/>
  <c r="L150" i="238" s="1"/>
  <c r="J141" i="238"/>
  <c r="J148" i="238" s="1"/>
  <c r="I140" i="238"/>
  <c r="I147" i="238" s="1"/>
  <c r="G141" i="238"/>
  <c r="G148" i="238" s="1"/>
  <c r="N139" i="238"/>
  <c r="N146" i="238" s="1"/>
  <c r="N142" i="238"/>
  <c r="N149" i="238" s="1"/>
  <c r="P141" i="238"/>
  <c r="P148" i="238" s="1"/>
  <c r="M141" i="238"/>
  <c r="M148" i="238" s="1"/>
  <c r="P139" i="238"/>
  <c r="P146" i="238" s="1"/>
  <c r="I142" i="238"/>
  <c r="I149" i="238" s="1"/>
  <c r="M143" i="238"/>
  <c r="M150" i="238" s="1"/>
  <c r="N141" i="238"/>
  <c r="N148" i="238" s="1"/>
  <c r="H143" i="238"/>
  <c r="H150" i="238" s="1"/>
  <c r="O140" i="238"/>
  <c r="O147" i="238" s="1"/>
  <c r="G139" i="238"/>
  <c r="G146" i="238" s="1"/>
  <c r="P138" i="238"/>
  <c r="P145" i="238" s="1"/>
  <c r="J140" i="238"/>
  <c r="J147" i="238" s="1"/>
  <c r="F157" i="206"/>
  <c r="H158" i="206"/>
  <c r="G80" i="203" s="1"/>
  <c r="L159" i="206"/>
  <c r="F155" i="206"/>
  <c r="M159" i="206"/>
  <c r="D161" i="206"/>
  <c r="F162" i="206"/>
  <c r="F161" i="206"/>
  <c r="C108" i="242"/>
  <c r="X108" i="242" s="1"/>
  <c r="X106" i="242"/>
  <c r="AD193" i="242"/>
  <c r="H195" i="242"/>
  <c r="AD195" i="242" s="1"/>
  <c r="H162" i="206"/>
  <c r="D160" i="206"/>
  <c r="K160" i="206"/>
  <c r="F156" i="206"/>
  <c r="J156" i="206"/>
  <c r="D163" i="206"/>
  <c r="X50" i="216"/>
  <c r="W54" i="216"/>
  <c r="X164" i="242"/>
  <c r="C166" i="242"/>
  <c r="X166" i="242" s="1"/>
  <c r="E224" i="242"/>
  <c r="X224" i="242" s="1"/>
  <c r="X222" i="242"/>
  <c r="AD228" i="242"/>
  <c r="L138" i="238"/>
  <c r="L145" i="238" s="1"/>
  <c r="X135" i="242"/>
  <c r="C137" i="242"/>
  <c r="X137" i="242" s="1"/>
  <c r="D155" i="206"/>
  <c r="E161" i="206"/>
  <c r="H156" i="206"/>
  <c r="G161" i="206"/>
  <c r="M160" i="206"/>
  <c r="M155" i="206"/>
  <c r="K155" i="206"/>
  <c r="J160" i="206"/>
  <c r="M156" i="206"/>
  <c r="I163" i="206"/>
  <c r="M162" i="206"/>
  <c r="I161" i="206"/>
  <c r="G162" i="206"/>
  <c r="L160" i="206"/>
  <c r="M158" i="206"/>
  <c r="K80" i="203" s="1"/>
  <c r="G159" i="206"/>
  <c r="E162" i="206"/>
  <c r="L156" i="206"/>
  <c r="G163" i="206"/>
  <c r="J163" i="206"/>
  <c r="G156" i="206"/>
  <c r="F159" i="206"/>
  <c r="H160" i="206"/>
  <c r="K163" i="206"/>
  <c r="L155" i="206"/>
  <c r="E163" i="206"/>
  <c r="D159" i="206"/>
  <c r="J157" i="206"/>
  <c r="G158" i="206"/>
  <c r="F80" i="203" s="1"/>
  <c r="H161" i="206"/>
  <c r="AD231" i="242"/>
  <c r="H233" i="242"/>
  <c r="AD233" i="242" s="1"/>
  <c r="G140" i="238"/>
  <c r="G147" i="238" s="1"/>
  <c r="I138" i="238"/>
  <c r="I145" i="238" s="1"/>
  <c r="O138" i="238"/>
  <c r="O145" i="238" s="1"/>
  <c r="G138" i="238"/>
  <c r="G145" i="238" s="1"/>
  <c r="L157" i="206"/>
  <c r="E160" i="206"/>
  <c r="J161" i="206"/>
  <c r="E158" i="206"/>
  <c r="D80" i="203" s="1"/>
  <c r="G160" i="206"/>
  <c r="M161" i="206"/>
  <c r="H157" i="206"/>
  <c r="L161" i="206"/>
  <c r="K157" i="206"/>
  <c r="I157" i="206"/>
  <c r="E155" i="206"/>
  <c r="H159" i="206"/>
  <c r="K162" i="206"/>
  <c r="I160" i="206"/>
  <c r="E157" i="206"/>
  <c r="D158" i="206"/>
  <c r="C80" i="203" s="1"/>
  <c r="E156" i="206"/>
  <c r="F160" i="206"/>
  <c r="J155" i="206"/>
  <c r="J162" i="206"/>
  <c r="I156" i="206"/>
  <c r="K158" i="206"/>
  <c r="I80" i="203" s="1"/>
  <c r="X228" i="242"/>
  <c r="C231" i="242"/>
  <c r="L163" i="206"/>
  <c r="M163" i="206"/>
  <c r="H163" i="206"/>
  <c r="D162" i="206"/>
  <c r="I159" i="206"/>
  <c r="F158" i="206"/>
  <c r="E80" i="203" s="1"/>
  <c r="J158" i="206"/>
  <c r="G155" i="206"/>
  <c r="M157" i="206"/>
  <c r="L41" i="231"/>
  <c r="L43" i="231"/>
  <c r="L37" i="231"/>
  <c r="L39" i="231"/>
  <c r="L40" i="231"/>
  <c r="L42" i="231"/>
  <c r="L36" i="231"/>
  <c r="L38" i="231"/>
  <c r="K42" i="231"/>
  <c r="K38" i="231"/>
  <c r="K43" i="231"/>
  <c r="K40" i="231"/>
  <c r="K39" i="231"/>
  <c r="K36" i="231"/>
  <c r="K37" i="231"/>
  <c r="K41" i="231"/>
  <c r="J38" i="231"/>
  <c r="J36" i="231"/>
  <c r="J43" i="231"/>
  <c r="J41" i="231"/>
  <c r="J39" i="231"/>
  <c r="J37" i="231"/>
  <c r="J42" i="231"/>
  <c r="J40" i="231"/>
  <c r="O35" i="230"/>
  <c r="O36" i="230" s="1"/>
  <c r="O39" i="230"/>
  <c r="O35" i="231"/>
  <c r="N41" i="230"/>
  <c r="G57" i="217"/>
  <c r="G26" i="217" s="1"/>
  <c r="AF108" i="187"/>
  <c r="F18" i="217"/>
  <c r="M316" i="206"/>
  <c r="K239" i="242"/>
  <c r="O19" i="238"/>
  <c r="K52" i="210"/>
  <c r="K15" i="220"/>
  <c r="Q16" i="223"/>
  <c r="K74" i="210"/>
  <c r="O108" i="187"/>
  <c r="L242" i="206"/>
  <c r="K42" i="210"/>
  <c r="Q60" i="223"/>
  <c r="F49" i="217"/>
  <c r="K22" i="222"/>
  <c r="M305" i="206"/>
  <c r="F15" i="237"/>
  <c r="K94" i="222"/>
  <c r="I17" i="245"/>
  <c r="M18" i="190"/>
  <c r="K13" i="203"/>
  <c r="L118" i="206"/>
  <c r="Q73" i="223"/>
  <c r="K55" i="201"/>
  <c r="K29" i="221"/>
  <c r="K20" i="224"/>
  <c r="F51" i="234"/>
  <c r="K59" i="242"/>
  <c r="O19" i="205"/>
  <c r="L23" i="206"/>
  <c r="O19" i="239"/>
  <c r="K19" i="211"/>
  <c r="K20" i="201"/>
  <c r="K20" i="218"/>
  <c r="F24" i="234"/>
  <c r="H20" i="231"/>
  <c r="K21" i="242"/>
  <c r="O21" i="187"/>
  <c r="AF21" i="187"/>
  <c r="L50" i="206"/>
  <c r="L67" i="206"/>
  <c r="O63" i="235"/>
  <c r="O94" i="239"/>
  <c r="K70" i="210"/>
  <c r="K18" i="210"/>
  <c r="Q129" i="223"/>
  <c r="K37" i="201"/>
  <c r="K17" i="221"/>
  <c r="K61" i="218"/>
  <c r="K82" i="222"/>
  <c r="K36" i="224"/>
  <c r="M292" i="206"/>
  <c r="Q31" i="223"/>
  <c r="G20" i="230"/>
  <c r="AB21" i="242"/>
  <c r="AB59" i="242"/>
  <c r="K20" i="243"/>
  <c r="K68" i="233"/>
  <c r="L68" i="233" s="1"/>
  <c r="J68" i="233"/>
  <c r="J59" i="233"/>
  <c r="K59" i="233"/>
  <c r="L59" i="233" s="1"/>
  <c r="J84" i="233"/>
  <c r="K84" i="233"/>
  <c r="L84" i="233" s="1"/>
  <c r="G77" i="233"/>
  <c r="F78" i="233"/>
  <c r="G80" i="233" s="1"/>
  <c r="J71" i="233"/>
  <c r="K71" i="233"/>
  <c r="L71" i="233" s="1"/>
  <c r="J87" i="233"/>
  <c r="K87" i="233"/>
  <c r="L87" i="233" s="1"/>
  <c r="F81" i="233"/>
  <c r="G83" i="233" s="1"/>
  <c r="J65" i="233"/>
  <c r="K65" i="233"/>
  <c r="L65" i="233" s="1"/>
  <c r="H61" i="233"/>
  <c r="G62" i="233"/>
  <c r="G67" i="233"/>
  <c r="F68" i="233"/>
  <c r="G58" i="233"/>
  <c r="F59" i="233"/>
  <c r="F84" i="233"/>
  <c r="J78" i="233"/>
  <c r="K78" i="233"/>
  <c r="L78" i="233" s="1"/>
  <c r="G70" i="233"/>
  <c r="F71" i="233"/>
  <c r="F86" i="233"/>
  <c r="J81" i="233"/>
  <c r="K81" i="233"/>
  <c r="L81" i="233" s="1"/>
  <c r="F65" i="233"/>
  <c r="G64" i="233"/>
  <c r="AC21" i="242"/>
  <c r="G51" i="234"/>
  <c r="H51" i="234" s="1"/>
  <c r="I51" i="234" s="1"/>
  <c r="J51" i="234" s="1"/>
  <c r="K51" i="234" s="1"/>
  <c r="L51" i="234" s="1"/>
  <c r="M51" i="234" s="1"/>
  <c r="N51" i="234" s="1"/>
  <c r="O51" i="234" s="1"/>
  <c r="P51" i="234" s="1"/>
  <c r="Q51" i="234" s="1"/>
  <c r="R51" i="234" s="1"/>
  <c r="S51" i="234" s="1"/>
  <c r="T51" i="234" s="1"/>
  <c r="U51" i="234" s="1"/>
  <c r="V51" i="234" s="1"/>
  <c r="W51" i="234" s="1"/>
  <c r="X51" i="234" s="1"/>
  <c r="Y51" i="234" s="1"/>
  <c r="Z51" i="234" s="1"/>
  <c r="AA51" i="234" s="1"/>
  <c r="P292" i="206"/>
  <c r="L36" i="224"/>
  <c r="R16" i="223"/>
  <c r="L71" i="222"/>
  <c r="L29" i="221"/>
  <c r="L72" i="201"/>
  <c r="L52" i="210"/>
  <c r="P94" i="239"/>
  <c r="P19" i="238"/>
  <c r="AG21" i="187"/>
  <c r="R129" i="223"/>
  <c r="M67" i="206"/>
  <c r="L20" i="218"/>
  <c r="R60" i="223"/>
  <c r="P89" i="238"/>
  <c r="E13" i="203"/>
  <c r="E62" i="203"/>
  <c r="I44" i="231" l="1"/>
  <c r="I45" i="231" s="1"/>
  <c r="H147" i="187"/>
  <c r="H149" i="187" s="1"/>
  <c r="H101" i="187"/>
  <c r="G101" i="187"/>
  <c r="G147" i="187"/>
  <c r="AB145" i="187"/>
  <c r="AM101" i="187"/>
  <c r="AM147" i="187"/>
  <c r="AM149" i="187" s="1"/>
  <c r="AL101" i="187"/>
  <c r="AL147" i="187"/>
  <c r="O50" i="216"/>
  <c r="P54" i="216"/>
  <c r="X231" i="242"/>
  <c r="C233" i="242"/>
  <c r="X233" i="242" s="1"/>
  <c r="Y50" i="216"/>
  <c r="Y54" i="216" s="1"/>
  <c r="X54" i="216"/>
  <c r="K44" i="231"/>
  <c r="K45" i="231" s="1"/>
  <c r="L44" i="231"/>
  <c r="L45" i="231" s="1"/>
  <c r="J44" i="231"/>
  <c r="J45" i="231" s="1"/>
  <c r="P35" i="231"/>
  <c r="O41" i="230"/>
  <c r="P34" i="230"/>
  <c r="O40" i="230"/>
  <c r="O37" i="230"/>
  <c r="O42" i="230" s="1"/>
  <c r="P19" i="205"/>
  <c r="R91" i="223"/>
  <c r="L13" i="203"/>
  <c r="P19" i="239"/>
  <c r="L20" i="201"/>
  <c r="L62" i="203"/>
  <c r="M23" i="206"/>
  <c r="P20" i="235"/>
  <c r="R110" i="223"/>
  <c r="L19" i="211"/>
  <c r="L61" i="218"/>
  <c r="G24" i="234"/>
  <c r="H24" i="234" s="1"/>
  <c r="I24" i="234" s="1"/>
  <c r="J24" i="234" s="1"/>
  <c r="K24" i="234" s="1"/>
  <c r="L24" i="234" s="1"/>
  <c r="M24" i="234" s="1"/>
  <c r="N24" i="234" s="1"/>
  <c r="O24" i="234" s="1"/>
  <c r="P24" i="234" s="1"/>
  <c r="Q24" i="234" s="1"/>
  <c r="R24" i="234" s="1"/>
  <c r="S24" i="234" s="1"/>
  <c r="T24" i="234" s="1"/>
  <c r="U24" i="234" s="1"/>
  <c r="V24" i="234" s="1"/>
  <c r="W24" i="234" s="1"/>
  <c r="X24" i="234" s="1"/>
  <c r="Y24" i="234" s="1"/>
  <c r="Z24" i="234" s="1"/>
  <c r="AA24" i="234" s="1"/>
  <c r="P305" i="206"/>
  <c r="L239" i="242"/>
  <c r="L82" i="222"/>
  <c r="R31" i="223"/>
  <c r="L59" i="242"/>
  <c r="L74" i="210"/>
  <c r="L94" i="222"/>
  <c r="J17" i="245"/>
  <c r="P108" i="187"/>
  <c r="M242" i="206"/>
  <c r="P63" i="235"/>
  <c r="L42" i="210"/>
  <c r="L55" i="201"/>
  <c r="L17" i="221"/>
  <c r="P21" i="187"/>
  <c r="M50" i="206"/>
  <c r="L18" i="210"/>
  <c r="L70" i="210"/>
  <c r="G18" i="217"/>
  <c r="L41" i="221"/>
  <c r="P69" i="205"/>
  <c r="AG108" i="187"/>
  <c r="M170" i="206"/>
  <c r="M118" i="206"/>
  <c r="R46" i="223"/>
  <c r="R73" i="223"/>
  <c r="L37" i="201"/>
  <c r="G49" i="217"/>
  <c r="L15" i="220"/>
  <c r="N17" i="191"/>
  <c r="L20" i="224"/>
  <c r="P316" i="206"/>
  <c r="I24" i="232"/>
  <c r="J24" i="232" s="1"/>
  <c r="K24" i="232" s="1"/>
  <c r="L24" i="232" s="1"/>
  <c r="M24" i="232" s="1"/>
  <c r="N24" i="232" s="1"/>
  <c r="O24" i="232" s="1"/>
  <c r="P24" i="232" s="1"/>
  <c r="Q24" i="232" s="1"/>
  <c r="R24" i="232" s="1"/>
  <c r="S24" i="232" s="1"/>
  <c r="T24" i="232" s="1"/>
  <c r="U24" i="232" s="1"/>
  <c r="V24" i="232" s="1"/>
  <c r="W24" i="232" s="1"/>
  <c r="X24" i="232" s="1"/>
  <c r="Y24" i="232" s="1"/>
  <c r="Z24" i="232" s="1"/>
  <c r="AA24" i="232" s="1"/>
  <c r="AB24" i="232" s="1"/>
  <c r="AC24" i="232" s="1"/>
  <c r="G15" i="237"/>
  <c r="L22" i="222"/>
  <c r="G42" i="234"/>
  <c r="H42" i="234" s="1"/>
  <c r="I42" i="234" s="1"/>
  <c r="J42" i="234" s="1"/>
  <c r="K42" i="234" s="1"/>
  <c r="L42" i="234" s="1"/>
  <c r="M42" i="234" s="1"/>
  <c r="N42" i="234" s="1"/>
  <c r="O42" i="234" s="1"/>
  <c r="P42" i="234" s="1"/>
  <c r="Q42" i="234" s="1"/>
  <c r="R42" i="234" s="1"/>
  <c r="S42" i="234" s="1"/>
  <c r="T42" i="234" s="1"/>
  <c r="U42" i="234" s="1"/>
  <c r="V42" i="234" s="1"/>
  <c r="W42" i="234" s="1"/>
  <c r="X42" i="234" s="1"/>
  <c r="Y42" i="234" s="1"/>
  <c r="Z42" i="234" s="1"/>
  <c r="AA42" i="234" s="1"/>
  <c r="H20" i="230"/>
  <c r="I20" i="230" s="1"/>
  <c r="J20" i="230" s="1"/>
  <c r="K20" i="230" s="1"/>
  <c r="L20" i="230" s="1"/>
  <c r="M20" i="230" s="1"/>
  <c r="N20" i="230" s="1"/>
  <c r="O20" i="230" s="1"/>
  <c r="P20" i="230" s="1"/>
  <c r="Q20" i="230" s="1"/>
  <c r="R20" i="230" s="1"/>
  <c r="S20" i="230" s="1"/>
  <c r="T20" i="230" s="1"/>
  <c r="U20" i="230" s="1"/>
  <c r="V20" i="230" s="1"/>
  <c r="W20" i="230" s="1"/>
  <c r="X20" i="230" s="1"/>
  <c r="Y20" i="230" s="1"/>
  <c r="Z20" i="230" s="1"/>
  <c r="AA20" i="230" s="1"/>
  <c r="AB20" i="230" s="1"/>
  <c r="L21" i="242"/>
  <c r="L20" i="243"/>
  <c r="I20" i="231"/>
  <c r="J20" i="231" s="1"/>
  <c r="K20" i="231" s="1"/>
  <c r="L20" i="231" s="1"/>
  <c r="M20" i="231" s="1"/>
  <c r="N20" i="231" s="1"/>
  <c r="O20" i="231" s="1"/>
  <c r="P20" i="231" s="1"/>
  <c r="Q20" i="231" s="1"/>
  <c r="R20" i="231" s="1"/>
  <c r="S20" i="231" s="1"/>
  <c r="T20" i="231" s="1"/>
  <c r="U20" i="231" s="1"/>
  <c r="V20" i="231" s="1"/>
  <c r="W20" i="231" s="1"/>
  <c r="X20" i="231" s="1"/>
  <c r="Y20" i="231" s="1"/>
  <c r="Z20" i="231" s="1"/>
  <c r="AA20" i="231" s="1"/>
  <c r="AB20" i="231" s="1"/>
  <c r="AC20" i="231" s="1"/>
  <c r="AC59" i="242"/>
  <c r="AC239" i="242"/>
  <c r="G84" i="233"/>
  <c r="G81" i="233"/>
  <c r="H83" i="233" s="1"/>
  <c r="H64" i="233"/>
  <c r="G65" i="233"/>
  <c r="F87" i="233"/>
  <c r="G86" i="233"/>
  <c r="H70" i="233"/>
  <c r="G71" i="233"/>
  <c r="G59" i="233"/>
  <c r="H58" i="233"/>
  <c r="H67" i="233"/>
  <c r="G68" i="233"/>
  <c r="I61" i="233"/>
  <c r="I62" i="233" s="1"/>
  <c r="H62" i="233"/>
  <c r="G78" i="233"/>
  <c r="H80" i="233" s="1"/>
  <c r="H77" i="233"/>
  <c r="D62" i="203"/>
  <c r="D13" i="203"/>
  <c r="D18" i="190" a="1"/>
  <c r="E76" i="233"/>
  <c r="E57" i="233"/>
  <c r="H15" i="237"/>
  <c r="D42" i="233"/>
  <c r="AE49" i="234"/>
  <c r="AE22" i="234"/>
  <c r="U18" i="243"/>
  <c r="K16" i="217"/>
  <c r="U18" i="201"/>
  <c r="AA44" i="223"/>
  <c r="AA14" i="223"/>
  <c r="U40" i="210"/>
  <c r="U16" i="210"/>
  <c r="Z17" i="239"/>
  <c r="AE40" i="234"/>
  <c r="U53" i="201"/>
  <c r="U17" i="211"/>
  <c r="AA29" i="223"/>
  <c r="Z18" i="235"/>
  <c r="V240" i="206"/>
  <c r="V65" i="206"/>
  <c r="AL19" i="187"/>
  <c r="C70" i="201"/>
  <c r="I127" i="223"/>
  <c r="G92" i="239"/>
  <c r="D116" i="206"/>
  <c r="G87" i="238"/>
  <c r="W106" i="187"/>
  <c r="W19" i="187"/>
  <c r="G67" i="205"/>
  <c r="AA17" i="205"/>
  <c r="Y237" i="242"/>
  <c r="S57" i="242"/>
  <c r="P18" i="224"/>
  <c r="C34" i="224"/>
  <c r="U13" i="220"/>
  <c r="U18" i="218"/>
  <c r="K47" i="217"/>
  <c r="U54" i="210"/>
  <c r="K16" i="210"/>
  <c r="V168" i="206"/>
  <c r="V48" i="206"/>
  <c r="AA17" i="238"/>
  <c r="AL106" i="187"/>
  <c r="C59" i="218"/>
  <c r="C72" i="210"/>
  <c r="G61" i="235"/>
  <c r="AC106" i="187"/>
  <c r="AA67" i="205"/>
  <c r="S237" i="242"/>
  <c r="F49" i="234"/>
  <c r="F22" i="234"/>
  <c r="K18" i="243"/>
  <c r="K18" i="218"/>
  <c r="F16" i="217"/>
  <c r="K18" i="201"/>
  <c r="Q108" i="223"/>
  <c r="Q29" i="223"/>
  <c r="K54" i="210"/>
  <c r="O18" i="235"/>
  <c r="L168" i="206"/>
  <c r="L48" i="206"/>
  <c r="O106" i="187"/>
  <c r="R17" i="205"/>
  <c r="K237" i="242"/>
  <c r="K57" i="242"/>
  <c r="C35" i="201"/>
  <c r="AC19" i="187"/>
  <c r="AH237" i="242"/>
  <c r="AH57" i="242"/>
  <c r="B276" i="206"/>
  <c r="K18" i="224"/>
  <c r="F40" i="234"/>
  <c r="K13" i="220"/>
  <c r="F47" i="217"/>
  <c r="K53" i="201"/>
  <c r="K17" i="211"/>
  <c r="Q44" i="223"/>
  <c r="Q14" i="223"/>
  <c r="K40" i="210"/>
  <c r="O17" i="239"/>
  <c r="L240" i="206"/>
  <c r="L65" i="206"/>
  <c r="R17" i="238"/>
  <c r="O19" i="187"/>
  <c r="O17" i="205"/>
  <c r="Y57" i="242"/>
  <c r="H60" i="203"/>
  <c r="N11" i="203"/>
  <c r="C50" i="216"/>
  <c r="L11" i="203"/>
  <c r="G149" i="187" l="1"/>
  <c r="AB147" i="187"/>
  <c r="O54" i="216"/>
  <c r="N50" i="216"/>
  <c r="P39" i="230"/>
  <c r="P35" i="230"/>
  <c r="P36" i="230" s="1"/>
  <c r="G18" i="190"/>
  <c r="D18" i="190"/>
  <c r="F18" i="190"/>
  <c r="H18" i="190"/>
  <c r="E18" i="190"/>
  <c r="C94" i="222" a="1"/>
  <c r="E94" i="222" s="1"/>
  <c r="U15" i="220" a="1"/>
  <c r="U15" i="220" s="1"/>
  <c r="U20" i="243" a="1"/>
  <c r="U20" i="243" s="1"/>
  <c r="U20" i="218" a="1"/>
  <c r="U20" i="201" a="1"/>
  <c r="U20" i="201" s="1"/>
  <c r="AA31" i="223" a="1"/>
  <c r="AA31" i="223" s="1"/>
  <c r="V242" i="206" a="1"/>
  <c r="V242" i="206" s="1"/>
  <c r="V170" i="206" a="1"/>
  <c r="AA19" i="238" a="1"/>
  <c r="AL108" i="187" a="1"/>
  <c r="AA69" i="205" a="1"/>
  <c r="AA69" i="205" s="1"/>
  <c r="AH239" i="242" a="1"/>
  <c r="P20" i="224" a="1"/>
  <c r="P20" i="224" s="1"/>
  <c r="U55" i="201" a="1"/>
  <c r="U55" i="201" s="1"/>
  <c r="U19" i="211" a="1"/>
  <c r="AA16" i="223" a="1"/>
  <c r="AA16" i="223" s="1"/>
  <c r="AA110" i="223" a="1"/>
  <c r="AA60" i="223" a="1"/>
  <c r="AA60" i="223" s="1"/>
  <c r="AA46" i="223" a="1"/>
  <c r="AA46" i="223" s="1"/>
  <c r="U52" i="210" a="1"/>
  <c r="U42" i="210" a="1"/>
  <c r="U18" i="210" a="1"/>
  <c r="U18" i="210" s="1"/>
  <c r="Z19" i="239" a="1"/>
  <c r="Z19" i="239" s="1"/>
  <c r="Z20" i="235" a="1"/>
  <c r="Z20" i="235" s="1"/>
  <c r="V67" i="206" a="1"/>
  <c r="V67" i="206" s="1"/>
  <c r="V50" i="206" a="1"/>
  <c r="V50" i="206" s="1"/>
  <c r="AL21" i="187" a="1"/>
  <c r="AL21" i="187" s="1"/>
  <c r="AA19" i="205" a="1"/>
  <c r="AH59" i="242" a="1"/>
  <c r="AH59" i="242" s="1"/>
  <c r="C20" i="243" a="1"/>
  <c r="C20" i="243" s="1"/>
  <c r="C239" i="242" a="1"/>
  <c r="C239" i="242" s="1"/>
  <c r="C21" i="242" a="1"/>
  <c r="C21" i="242" s="1"/>
  <c r="C59" i="242" a="1"/>
  <c r="C59" i="242" s="1"/>
  <c r="I31" i="223" a="1"/>
  <c r="I31" i="223" s="1"/>
  <c r="C36" i="224" a="1"/>
  <c r="C36" i="224" s="1"/>
  <c r="C20" i="224" a="1"/>
  <c r="C71" i="222" a="1"/>
  <c r="E17" i="191" a="1"/>
  <c r="E17" i="191" s="1"/>
  <c r="C61" i="218" a="1"/>
  <c r="C61" i="218" s="1"/>
  <c r="C41" i="221" a="1"/>
  <c r="C41" i="221" s="1"/>
  <c r="C15" i="220" a="1"/>
  <c r="C15" i="220" s="1"/>
  <c r="C20" i="201" a="1"/>
  <c r="C20" i="201" s="1"/>
  <c r="S59" i="242" a="1"/>
  <c r="S59" i="242" s="1"/>
  <c r="S21" i="242" a="1"/>
  <c r="I16" i="223" a="1"/>
  <c r="I16" i="223" s="1"/>
  <c r="C82" i="222" a="1"/>
  <c r="C82" i="222" s="1"/>
  <c r="C17" i="221" a="1"/>
  <c r="C17" i="221" s="1"/>
  <c r="C29" i="221" a="1"/>
  <c r="C29" i="221" s="1"/>
  <c r="C72" i="201" a="1"/>
  <c r="C72" i="201" s="1"/>
  <c r="I129" i="223" a="1"/>
  <c r="I129" i="223" s="1"/>
  <c r="I60" i="223" a="1"/>
  <c r="C18" i="210" a="1"/>
  <c r="C18" i="210" s="1"/>
  <c r="I91" i="223" a="1"/>
  <c r="I91" i="223" s="1"/>
  <c r="C70" i="210" a="1"/>
  <c r="C42" i="210" a="1"/>
  <c r="C42" i="210" s="1"/>
  <c r="G94" i="239" a="1"/>
  <c r="G94" i="239" s="1"/>
  <c r="G63" i="235" a="1"/>
  <c r="G63" i="235" s="1"/>
  <c r="D242" i="206" a="1"/>
  <c r="D67" i="206" a="1"/>
  <c r="D67" i="206" s="1"/>
  <c r="G89" i="238" a="1"/>
  <c r="G89" i="238" s="1"/>
  <c r="D50" i="206" a="1"/>
  <c r="D50" i="206" s="1"/>
  <c r="W108" i="187" a="1"/>
  <c r="W21" i="187" a="1"/>
  <c r="W21" i="187" s="1"/>
  <c r="G21" i="187" a="1"/>
  <c r="G21" i="187" s="1"/>
  <c r="C74" i="210" a="1"/>
  <c r="C74" i="210" s="1"/>
  <c r="S239" i="242" a="1"/>
  <c r="S239" i="242" s="1"/>
  <c r="C22" i="222" a="1"/>
  <c r="C22" i="222" s="1"/>
  <c r="C20" i="218" a="1"/>
  <c r="C37" i="201" a="1"/>
  <c r="C37" i="201" s="1"/>
  <c r="C55" i="201" a="1"/>
  <c r="C55" i="201" s="1"/>
  <c r="I110" i="223" a="1"/>
  <c r="I110" i="223" s="1"/>
  <c r="I46" i="223" a="1"/>
  <c r="I46" i="223" s="1"/>
  <c r="C19" i="211" a="1"/>
  <c r="C19" i="211" s="1"/>
  <c r="I73" i="223" a="1"/>
  <c r="I73" i="223" s="1"/>
  <c r="C52" i="210" a="1"/>
  <c r="C52" i="210" s="1"/>
  <c r="G20" i="235" a="1"/>
  <c r="G20" i="235" s="1"/>
  <c r="G19" i="239" a="1"/>
  <c r="D170" i="206" a="1"/>
  <c r="D170" i="206" s="1"/>
  <c r="D23" i="206" a="1"/>
  <c r="D23" i="206" s="1"/>
  <c r="D118" i="206" a="1"/>
  <c r="G19" i="238" a="1"/>
  <c r="G19" i="238" s="1"/>
  <c r="G108" i="187" a="1"/>
  <c r="G108" i="187" s="1"/>
  <c r="G19" i="205" a="1"/>
  <c r="G19" i="205" s="1"/>
  <c r="G69" i="205" a="1"/>
  <c r="I77" i="233"/>
  <c r="H78" i="233"/>
  <c r="I80" i="233" s="1"/>
  <c r="H59" i="233"/>
  <c r="I58" i="233"/>
  <c r="I59" i="233" s="1"/>
  <c r="G87" i="233"/>
  <c r="H86" i="233"/>
  <c r="H81" i="233"/>
  <c r="I83" i="233" s="1"/>
  <c r="H84" i="233"/>
  <c r="H68" i="233"/>
  <c r="I67" i="233"/>
  <c r="I68" i="233" s="1"/>
  <c r="I70" i="233"/>
  <c r="I71" i="233" s="1"/>
  <c r="H71" i="233"/>
  <c r="H65" i="233"/>
  <c r="I64" i="233"/>
  <c r="I65" i="233" s="1"/>
  <c r="P118" i="187"/>
  <c r="P148" i="187"/>
  <c r="P149" i="187" s="1"/>
  <c r="P129" i="187"/>
  <c r="AD148" i="187"/>
  <c r="AD149" i="187" s="1"/>
  <c r="AD139" i="187"/>
  <c r="AL139" i="187"/>
  <c r="AL140" i="187" s="1"/>
  <c r="AL148" i="187"/>
  <c r="AL149" i="187" s="1"/>
  <c r="X148" i="187"/>
  <c r="X139" i="187"/>
  <c r="AB139" i="187" s="1"/>
  <c r="F76" i="233"/>
  <c r="E42" i="233"/>
  <c r="I15" i="237"/>
  <c r="F57" i="233"/>
  <c r="U20" i="218"/>
  <c r="U19" i="211"/>
  <c r="U42" i="210"/>
  <c r="AA110" i="223"/>
  <c r="U52" i="210"/>
  <c r="V170" i="206"/>
  <c r="AA19" i="238"/>
  <c r="AA19" i="205"/>
  <c r="AH239" i="242"/>
  <c r="AL108" i="187"/>
  <c r="C62" i="203"/>
  <c r="S21" i="242"/>
  <c r="C70" i="210"/>
  <c r="B12" i="201"/>
  <c r="C13" i="203"/>
  <c r="C20" i="224"/>
  <c r="D118" i="206"/>
  <c r="G19" i="239"/>
  <c r="W108" i="187"/>
  <c r="I60" i="223"/>
  <c r="C20" i="218"/>
  <c r="D242" i="206"/>
  <c r="G69" i="205"/>
  <c r="C71" i="222"/>
  <c r="R103" i="190" l="1"/>
  <c r="N103" i="190"/>
  <c r="P97" i="190"/>
  <c r="O103" i="190"/>
  <c r="M97" i="190"/>
  <c r="Q103" i="190"/>
  <c r="M103" i="190"/>
  <c r="O97" i="190"/>
  <c r="Q97" i="190"/>
  <c r="P103" i="190"/>
  <c r="R97" i="190"/>
  <c r="N97" i="190"/>
  <c r="M50" i="216"/>
  <c r="N54" i="216"/>
  <c r="P40" i="230"/>
  <c r="P37" i="230"/>
  <c r="P42" i="230" s="1"/>
  <c r="Q34" i="230"/>
  <c r="P41" i="230"/>
  <c r="Q35" i="231"/>
  <c r="F94" i="222"/>
  <c r="D94" i="222"/>
  <c r="G94" i="222"/>
  <c r="C94" i="222"/>
  <c r="J69" i="205"/>
  <c r="K69" i="205"/>
  <c r="I69" i="205"/>
  <c r="H69" i="205"/>
  <c r="K108" i="187"/>
  <c r="J108" i="187"/>
  <c r="I108" i="187"/>
  <c r="H108" i="187"/>
  <c r="G118" i="206"/>
  <c r="H118" i="206"/>
  <c r="F118" i="206"/>
  <c r="E118" i="206"/>
  <c r="G170" i="206"/>
  <c r="H170" i="206"/>
  <c r="F170" i="206"/>
  <c r="E170" i="206"/>
  <c r="K19" i="239"/>
  <c r="J19" i="239"/>
  <c r="I19" i="239"/>
  <c r="H19" i="239"/>
  <c r="L73" i="223"/>
  <c r="M73" i="223"/>
  <c r="K73" i="223"/>
  <c r="J73" i="223"/>
  <c r="L46" i="223"/>
  <c r="M46" i="223"/>
  <c r="K46" i="223"/>
  <c r="J46" i="223"/>
  <c r="G55" i="201"/>
  <c r="F55" i="201"/>
  <c r="E55" i="201"/>
  <c r="D55" i="201"/>
  <c r="F20" i="218"/>
  <c r="G20" i="218"/>
  <c r="E20" i="218"/>
  <c r="D20" i="218"/>
  <c r="W239" i="242"/>
  <c r="V239" i="242"/>
  <c r="U239" i="242"/>
  <c r="T239" i="242"/>
  <c r="J21" i="187"/>
  <c r="K21" i="187"/>
  <c r="I21" i="187"/>
  <c r="H21" i="187"/>
  <c r="Z108" i="187"/>
  <c r="AA108" i="187"/>
  <c r="Y108" i="187"/>
  <c r="X108" i="187"/>
  <c r="J89" i="238"/>
  <c r="K89" i="238"/>
  <c r="I89" i="238"/>
  <c r="H89" i="238"/>
  <c r="G242" i="206"/>
  <c r="H242" i="206"/>
  <c r="F242" i="206"/>
  <c r="E242" i="206"/>
  <c r="F42" i="210"/>
  <c r="G42" i="210"/>
  <c r="E42" i="210"/>
  <c r="D42" i="210"/>
  <c r="L91" i="223"/>
  <c r="M91" i="223"/>
  <c r="K91" i="223"/>
  <c r="J91" i="223"/>
  <c r="L60" i="223"/>
  <c r="M60" i="223"/>
  <c r="K60" i="223"/>
  <c r="J60" i="223"/>
  <c r="F72" i="201"/>
  <c r="G72" i="201"/>
  <c r="E72" i="201"/>
  <c r="D72" i="201"/>
  <c r="F17" i="221"/>
  <c r="G17" i="221"/>
  <c r="E17" i="221"/>
  <c r="D17" i="221"/>
  <c r="L16" i="223"/>
  <c r="M16" i="223"/>
  <c r="K16" i="223"/>
  <c r="J16" i="223"/>
  <c r="W59" i="242"/>
  <c r="V59" i="242"/>
  <c r="U59" i="242"/>
  <c r="T59" i="242"/>
  <c r="F20" i="201"/>
  <c r="G20" i="201"/>
  <c r="E20" i="201"/>
  <c r="D20" i="201"/>
  <c r="F41" i="221"/>
  <c r="G41" i="221"/>
  <c r="E41" i="221"/>
  <c r="D41" i="221"/>
  <c r="I17" i="191"/>
  <c r="H17" i="191"/>
  <c r="G17" i="191"/>
  <c r="F17" i="191"/>
  <c r="F20" i="224"/>
  <c r="G20" i="224"/>
  <c r="E20" i="224"/>
  <c r="D20" i="224"/>
  <c r="L31" i="223"/>
  <c r="M31" i="223"/>
  <c r="K31" i="223"/>
  <c r="J31" i="223"/>
  <c r="F59" i="242"/>
  <c r="G59" i="242"/>
  <c r="E59" i="242"/>
  <c r="D59" i="242"/>
  <c r="F239" i="242"/>
  <c r="G239" i="242"/>
  <c r="E239" i="242"/>
  <c r="D239" i="242"/>
  <c r="AK59" i="242"/>
  <c r="AL59" i="242"/>
  <c r="AJ59" i="242"/>
  <c r="AI59" i="242"/>
  <c r="AP21" i="187"/>
  <c r="AO21" i="187"/>
  <c r="AN21" i="187"/>
  <c r="AM21" i="187"/>
  <c r="Y67" i="206"/>
  <c r="Z67" i="206"/>
  <c r="X67" i="206"/>
  <c r="W67" i="206"/>
  <c r="AD19" i="239"/>
  <c r="AC19" i="239"/>
  <c r="AB19" i="239"/>
  <c r="AA19" i="239"/>
  <c r="Y52" i="210"/>
  <c r="X52" i="210"/>
  <c r="W52" i="210"/>
  <c r="V52" i="210"/>
  <c r="AD60" i="223"/>
  <c r="AE60" i="223"/>
  <c r="AC60" i="223"/>
  <c r="AB60" i="223"/>
  <c r="AE16" i="223"/>
  <c r="AD16" i="223"/>
  <c r="AC16" i="223"/>
  <c r="AB16" i="223"/>
  <c r="X55" i="201"/>
  <c r="Y55" i="201"/>
  <c r="W55" i="201"/>
  <c r="V55" i="201"/>
  <c r="AK239" i="242"/>
  <c r="AL239" i="242"/>
  <c r="AJ239" i="242"/>
  <c r="AI239" i="242"/>
  <c r="AO108" i="187"/>
  <c r="AP108" i="187"/>
  <c r="AN108" i="187"/>
  <c r="AM108" i="187"/>
  <c r="Y170" i="206"/>
  <c r="Z170" i="206"/>
  <c r="X170" i="206"/>
  <c r="W170" i="206"/>
  <c r="AD31" i="223"/>
  <c r="AE31" i="223"/>
  <c r="AC31" i="223"/>
  <c r="AB31" i="223"/>
  <c r="X20" i="218"/>
  <c r="Y20" i="218"/>
  <c r="W20" i="218"/>
  <c r="V20" i="218"/>
  <c r="X15" i="220"/>
  <c r="Y15" i="220"/>
  <c r="W15" i="220"/>
  <c r="V15" i="220"/>
  <c r="J19" i="205"/>
  <c r="K19" i="205"/>
  <c r="I19" i="205"/>
  <c r="H19" i="205"/>
  <c r="J19" i="238"/>
  <c r="K19" i="238"/>
  <c r="I19" i="238"/>
  <c r="H19" i="238"/>
  <c r="G23" i="206"/>
  <c r="H23" i="206"/>
  <c r="F23" i="206"/>
  <c r="E23" i="206"/>
  <c r="J20" i="235"/>
  <c r="K20" i="235"/>
  <c r="I20" i="235"/>
  <c r="H20" i="235"/>
  <c r="F52" i="210"/>
  <c r="G52" i="210"/>
  <c r="E52" i="210"/>
  <c r="D52" i="210"/>
  <c r="F19" i="211"/>
  <c r="G19" i="211"/>
  <c r="E19" i="211"/>
  <c r="D19" i="211"/>
  <c r="L110" i="223"/>
  <c r="M110" i="223"/>
  <c r="K110" i="223"/>
  <c r="J110" i="223"/>
  <c r="F37" i="201"/>
  <c r="G37" i="201"/>
  <c r="E37" i="201"/>
  <c r="D37" i="201"/>
  <c r="F22" i="222"/>
  <c r="G22" i="222"/>
  <c r="E22" i="222"/>
  <c r="D22" i="222"/>
  <c r="F74" i="210"/>
  <c r="G74" i="210"/>
  <c r="E74" i="210"/>
  <c r="D74" i="210"/>
  <c r="Z21" i="187"/>
  <c r="AA21" i="187"/>
  <c r="Y21" i="187"/>
  <c r="X21" i="187"/>
  <c r="H50" i="206"/>
  <c r="G50" i="206"/>
  <c r="F50" i="206"/>
  <c r="E50" i="206"/>
  <c r="G67" i="206"/>
  <c r="H67" i="206"/>
  <c r="F67" i="206"/>
  <c r="E67" i="206"/>
  <c r="J63" i="235"/>
  <c r="K63" i="235"/>
  <c r="I63" i="235"/>
  <c r="H63" i="235"/>
  <c r="J94" i="239"/>
  <c r="K94" i="239"/>
  <c r="I94" i="239"/>
  <c r="H94" i="239"/>
  <c r="F70" i="210"/>
  <c r="G70" i="210"/>
  <c r="E70" i="210"/>
  <c r="D70" i="210"/>
  <c r="G18" i="210"/>
  <c r="F18" i="210"/>
  <c r="E18" i="210"/>
  <c r="D18" i="210"/>
  <c r="L129" i="223"/>
  <c r="M129" i="223"/>
  <c r="K129" i="223"/>
  <c r="J129" i="223"/>
  <c r="F29" i="221"/>
  <c r="G29" i="221"/>
  <c r="E29" i="221"/>
  <c r="D29" i="221"/>
  <c r="G82" i="222"/>
  <c r="F82" i="222"/>
  <c r="E82" i="222"/>
  <c r="D82" i="222"/>
  <c r="V21" i="242"/>
  <c r="W21" i="242"/>
  <c r="U21" i="242"/>
  <c r="T21" i="242"/>
  <c r="G15" i="220"/>
  <c r="F15" i="220"/>
  <c r="E15" i="220"/>
  <c r="D15" i="220"/>
  <c r="F61" i="218"/>
  <c r="G61" i="218"/>
  <c r="E61" i="218"/>
  <c r="D61" i="218"/>
  <c r="G71" i="222"/>
  <c r="F71" i="222"/>
  <c r="E71" i="222"/>
  <c r="D71" i="222"/>
  <c r="F36" i="224"/>
  <c r="G36" i="224"/>
  <c r="E36" i="224"/>
  <c r="D36" i="224"/>
  <c r="G21" i="242"/>
  <c r="F21" i="242"/>
  <c r="E21" i="242"/>
  <c r="D21" i="242"/>
  <c r="F20" i="243"/>
  <c r="G20" i="243"/>
  <c r="E20" i="243"/>
  <c r="D20" i="243"/>
  <c r="AD19" i="205"/>
  <c r="AE19" i="205"/>
  <c r="AC19" i="205"/>
  <c r="AB19" i="205"/>
  <c r="Y50" i="206"/>
  <c r="Z50" i="206"/>
  <c r="X50" i="206"/>
  <c r="W50" i="206"/>
  <c r="AC20" i="235"/>
  <c r="AD20" i="235"/>
  <c r="AB20" i="235"/>
  <c r="AA20" i="235"/>
  <c r="X18" i="210"/>
  <c r="Y18" i="210"/>
  <c r="W18" i="210"/>
  <c r="V18" i="210"/>
  <c r="X42" i="210"/>
  <c r="Y42" i="210"/>
  <c r="W42" i="210"/>
  <c r="V42" i="210"/>
  <c r="AD46" i="223"/>
  <c r="AE46" i="223"/>
  <c r="AC46" i="223"/>
  <c r="AB46" i="223"/>
  <c r="AE110" i="223"/>
  <c r="AD110" i="223"/>
  <c r="AC110" i="223"/>
  <c r="AB110" i="223"/>
  <c r="Y19" i="211"/>
  <c r="X19" i="211"/>
  <c r="W19" i="211"/>
  <c r="V19" i="211"/>
  <c r="S20" i="224"/>
  <c r="T20" i="224"/>
  <c r="R20" i="224"/>
  <c r="Q20" i="224"/>
  <c r="AD69" i="205"/>
  <c r="AE69" i="205"/>
  <c r="AC69" i="205"/>
  <c r="AB69" i="205"/>
  <c r="AD19" i="238"/>
  <c r="AE19" i="238"/>
  <c r="AC19" i="238"/>
  <c r="AB19" i="238"/>
  <c r="Y242" i="206"/>
  <c r="Z242" i="206"/>
  <c r="X242" i="206"/>
  <c r="W242" i="206"/>
  <c r="X20" i="201"/>
  <c r="Y20" i="201"/>
  <c r="W20" i="201"/>
  <c r="V20" i="201"/>
  <c r="X20" i="243"/>
  <c r="Y20" i="243"/>
  <c r="W20" i="243"/>
  <c r="V20" i="243"/>
  <c r="I86" i="233"/>
  <c r="H87" i="233"/>
  <c r="I84" i="233"/>
  <c r="I81" i="233"/>
  <c r="J83" i="233" s="1"/>
  <c r="J77" i="233"/>
  <c r="I78" i="233"/>
  <c r="J80" i="233" s="1"/>
  <c r="G76" i="233"/>
  <c r="G57" i="233"/>
  <c r="J15" i="237"/>
  <c r="F42" i="233"/>
  <c r="AH129" i="187"/>
  <c r="AH146" i="187" s="1"/>
  <c r="P130" i="187"/>
  <c r="AH130" i="187" s="1"/>
  <c r="AH118" i="187"/>
  <c r="P139" i="187"/>
  <c r="P119" i="187"/>
  <c r="AH119" i="187" s="1"/>
  <c r="X149" i="187"/>
  <c r="AB149" i="187" s="1"/>
  <c r="AB148" i="187"/>
  <c r="O96" i="190" l="1"/>
  <c r="O98" i="190" s="1"/>
  <c r="O99" i="190"/>
  <c r="P96" i="190"/>
  <c r="P98" i="190" s="1"/>
  <c r="P102" i="190"/>
  <c r="P104" i="190" s="1"/>
  <c r="Q119" i="191" s="1"/>
  <c r="M105" i="190"/>
  <c r="N102" i="190"/>
  <c r="N104" i="190" s="1"/>
  <c r="M104" i="190"/>
  <c r="P99" i="190"/>
  <c r="Q96" i="190"/>
  <c r="Q98" i="190" s="1"/>
  <c r="Q102" i="190"/>
  <c r="Q104" i="190" s="1"/>
  <c r="Q105" i="190"/>
  <c r="R102" i="190"/>
  <c r="R104" i="190" s="1"/>
  <c r="N105" i="190"/>
  <c r="O102" i="190"/>
  <c r="O104" i="190" s="1"/>
  <c r="R96" i="190"/>
  <c r="R98" i="190" s="1"/>
  <c r="S114" i="191" s="1"/>
  <c r="Q99" i="190"/>
  <c r="N96" i="190"/>
  <c r="N98" i="190" s="1"/>
  <c r="M99" i="190"/>
  <c r="M98" i="190"/>
  <c r="N114" i="191" s="1"/>
  <c r="R105" i="190"/>
  <c r="L50" i="216"/>
  <c r="M54" i="216"/>
  <c r="R114" i="191"/>
  <c r="P114" i="191"/>
  <c r="Q114" i="191"/>
  <c r="R119" i="191"/>
  <c r="O114" i="191"/>
  <c r="P119" i="191"/>
  <c r="O119" i="191"/>
  <c r="N119" i="191"/>
  <c r="S119" i="191"/>
  <c r="Q39" i="230"/>
  <c r="Q35" i="230"/>
  <c r="Q36" i="230" s="1"/>
  <c r="J86" i="233"/>
  <c r="I87" i="233"/>
  <c r="K15" i="237"/>
  <c r="G42" i="233"/>
  <c r="H76" i="233"/>
  <c r="H57" i="233"/>
  <c r="N18" i="190" a="1"/>
  <c r="P140" i="187"/>
  <c r="AH140" i="187" s="1"/>
  <c r="AH139" i="187"/>
  <c r="P105" i="190" l="1"/>
  <c r="R99" i="190"/>
  <c r="N99" i="190"/>
  <c r="O105" i="190"/>
  <c r="K50" i="216"/>
  <c r="L54" i="216"/>
  <c r="Q41" i="230"/>
  <c r="R35" i="231"/>
  <c r="Q40" i="230"/>
  <c r="Q37" i="230"/>
  <c r="Q42" i="230" s="1"/>
  <c r="R34" i="230"/>
  <c r="R18" i="190"/>
  <c r="Q18" i="190"/>
  <c r="N18" i="190"/>
  <c r="O18" i="190"/>
  <c r="P18" i="190"/>
  <c r="M41" i="221" a="1"/>
  <c r="M41" i="221" s="1"/>
  <c r="M94" i="222" a="1"/>
  <c r="K17" i="245" a="1"/>
  <c r="M21" i="242" a="1"/>
  <c r="Q21" i="242" s="1"/>
  <c r="N242" i="206" a="1"/>
  <c r="R242" i="206" s="1"/>
  <c r="M71" i="222" a="1"/>
  <c r="Q71" i="222" s="1"/>
  <c r="M52" i="210" a="1"/>
  <c r="R19" i="238" a="1"/>
  <c r="V19" i="238" s="1"/>
  <c r="N13" i="203" a="1"/>
  <c r="R13" i="203" s="1"/>
  <c r="M239" i="242" a="1"/>
  <c r="Q239" i="242" s="1"/>
  <c r="R19" i="205" a="1"/>
  <c r="V19" i="205" s="1"/>
  <c r="O17" i="191" a="1"/>
  <c r="S17" i="191" s="1"/>
  <c r="M20" i="243" a="1"/>
  <c r="Q20" i="243" s="1"/>
  <c r="M20" i="218" a="1"/>
  <c r="Q20" i="218" s="1"/>
  <c r="M17" i="221" a="1"/>
  <c r="Q17" i="221" s="1"/>
  <c r="S73" i="223" a="1"/>
  <c r="W73" i="223" s="1"/>
  <c r="M15" i="220" a="1"/>
  <c r="Q15" i="220" s="1"/>
  <c r="S16" i="223" a="1"/>
  <c r="N67" i="206" a="1"/>
  <c r="R67" i="206" s="1"/>
  <c r="M82" i="222" a="1"/>
  <c r="Q82" i="222" s="1"/>
  <c r="Q20" i="235" a="1"/>
  <c r="U20" i="235" s="1"/>
  <c r="M22" i="222" a="1"/>
  <c r="Q22" i="222" s="1"/>
  <c r="N170" i="206" a="1"/>
  <c r="Q108" i="187" a="1"/>
  <c r="U108" i="187" s="1"/>
  <c r="S46" i="223" a="1"/>
  <c r="W46" i="223" s="1"/>
  <c r="M42" i="210" a="1"/>
  <c r="Q42" i="210" s="1"/>
  <c r="N23" i="206" a="1"/>
  <c r="M59" i="242" a="1"/>
  <c r="Q59" i="242" s="1"/>
  <c r="M29" i="221" a="1"/>
  <c r="M19" i="211" a="1"/>
  <c r="Q19" i="211" s="1"/>
  <c r="S31" i="223" a="1"/>
  <c r="M55" i="201" a="1"/>
  <c r="Q55" i="201" s="1"/>
  <c r="N50" i="206" a="1"/>
  <c r="R50" i="206" s="1"/>
  <c r="Q21" i="187" a="1"/>
  <c r="M20" i="201" a="1"/>
  <c r="Q20" i="201" s="1"/>
  <c r="Q19" i="239" a="1"/>
  <c r="U19" i="239" s="1"/>
  <c r="M18" i="210" a="1"/>
  <c r="Q18" i="210" s="1"/>
  <c r="S110" i="223" a="1"/>
  <c r="W110" i="223" s="1"/>
  <c r="I57" i="233"/>
  <c r="L15" i="237"/>
  <c r="I76" i="233"/>
  <c r="H42" i="233"/>
  <c r="W16" i="223"/>
  <c r="Q52" i="210"/>
  <c r="AG3" i="223"/>
  <c r="AA3" i="211"/>
  <c r="C289" i="206"/>
  <c r="I3" i="211"/>
  <c r="B289" i="206"/>
  <c r="F3" i="205"/>
  <c r="I3" i="223"/>
  <c r="H3" i="211"/>
  <c r="I3" i="210"/>
  <c r="K3" i="239"/>
  <c r="C3" i="203"/>
  <c r="Z3" i="211"/>
  <c r="AD3" i="239"/>
  <c r="H9" i="137"/>
  <c r="I3" i="201"/>
  <c r="H3" i="210"/>
  <c r="B3" i="203"/>
  <c r="F3" i="206"/>
  <c r="F3" i="187"/>
  <c r="C3" i="242"/>
  <c r="H3" i="201"/>
  <c r="K3" i="235"/>
  <c r="K54" i="216" l="1"/>
  <c r="J50" i="216"/>
  <c r="R39" i="230"/>
  <c r="R35" i="230"/>
  <c r="R36" i="230" s="1"/>
  <c r="Q41" i="221"/>
  <c r="P41" i="221"/>
  <c r="N41" i="221"/>
  <c r="O41" i="221"/>
  <c r="Q94" i="222"/>
  <c r="P94" i="222"/>
  <c r="M94" i="222"/>
  <c r="N94" i="222"/>
  <c r="O94" i="222"/>
  <c r="K17" i="245"/>
  <c r="N17" i="245"/>
  <c r="O17" i="245"/>
  <c r="L17" i="245"/>
  <c r="M17" i="245"/>
  <c r="M18" i="210"/>
  <c r="N18" i="210"/>
  <c r="O18" i="210"/>
  <c r="P18" i="210"/>
  <c r="M55" i="201"/>
  <c r="N55" i="201"/>
  <c r="O55" i="201"/>
  <c r="P55" i="201"/>
  <c r="M82" i="222"/>
  <c r="N82" i="222"/>
  <c r="O82" i="222"/>
  <c r="P82" i="222"/>
  <c r="S16" i="223"/>
  <c r="T16" i="223"/>
  <c r="U16" i="223"/>
  <c r="V16" i="223"/>
  <c r="S73" i="223"/>
  <c r="T73" i="223"/>
  <c r="U73" i="223"/>
  <c r="V73" i="223"/>
  <c r="M20" i="243"/>
  <c r="N20" i="243"/>
  <c r="O20" i="243"/>
  <c r="P20" i="243"/>
  <c r="R19" i="205"/>
  <c r="S19" i="205"/>
  <c r="T19" i="205"/>
  <c r="U19" i="205"/>
  <c r="N13" i="203"/>
  <c r="O13" i="203"/>
  <c r="P13" i="203"/>
  <c r="Q13" i="203"/>
  <c r="M52" i="210"/>
  <c r="N52" i="210"/>
  <c r="O52" i="210"/>
  <c r="P52" i="210"/>
  <c r="N242" i="206"/>
  <c r="O242" i="206"/>
  <c r="P242" i="206"/>
  <c r="Q242" i="206"/>
  <c r="S110" i="223"/>
  <c r="T110" i="223"/>
  <c r="U110" i="223"/>
  <c r="V110" i="223"/>
  <c r="M20" i="201"/>
  <c r="N20" i="201"/>
  <c r="O20" i="201"/>
  <c r="P20" i="201"/>
  <c r="Q21" i="187"/>
  <c r="R21" i="187"/>
  <c r="S21" i="187"/>
  <c r="T21" i="187"/>
  <c r="N50" i="206"/>
  <c r="O50" i="206"/>
  <c r="P50" i="206"/>
  <c r="Q50" i="206"/>
  <c r="S31" i="223"/>
  <c r="T31" i="223"/>
  <c r="U31" i="223"/>
  <c r="V31" i="223"/>
  <c r="M29" i="221"/>
  <c r="N29" i="221"/>
  <c r="O29" i="221"/>
  <c r="P29" i="221"/>
  <c r="N23" i="206"/>
  <c r="O23" i="206"/>
  <c r="P23" i="206"/>
  <c r="Q23" i="206"/>
  <c r="Q108" i="187"/>
  <c r="R108" i="187"/>
  <c r="S108" i="187"/>
  <c r="T108" i="187"/>
  <c r="N170" i="206"/>
  <c r="O170" i="206"/>
  <c r="P170" i="206"/>
  <c r="Q170" i="206"/>
  <c r="R23" i="206"/>
  <c r="U21" i="187"/>
  <c r="Q29" i="221"/>
  <c r="W31" i="223"/>
  <c r="R170" i="206"/>
  <c r="Q19" i="239"/>
  <c r="R19" i="239"/>
  <c r="S19" i="239"/>
  <c r="T19" i="239"/>
  <c r="M19" i="211"/>
  <c r="N19" i="211"/>
  <c r="O19" i="211"/>
  <c r="P19" i="211"/>
  <c r="M59" i="242"/>
  <c r="N59" i="242"/>
  <c r="O59" i="242"/>
  <c r="P59" i="242"/>
  <c r="M42" i="210"/>
  <c r="N42" i="210"/>
  <c r="O42" i="210"/>
  <c r="P42" i="210"/>
  <c r="S46" i="223"/>
  <c r="T46" i="223"/>
  <c r="U46" i="223"/>
  <c r="V46" i="223"/>
  <c r="M22" i="222"/>
  <c r="N22" i="222"/>
  <c r="O22" i="222"/>
  <c r="P22" i="222"/>
  <c r="Q20" i="235"/>
  <c r="R20" i="235"/>
  <c r="S20" i="235"/>
  <c r="T20" i="235"/>
  <c r="N67" i="206"/>
  <c r="O67" i="206"/>
  <c r="P67" i="206"/>
  <c r="Q67" i="206"/>
  <c r="M15" i="220"/>
  <c r="N15" i="220"/>
  <c r="O15" i="220"/>
  <c r="P15" i="220"/>
  <c r="M17" i="221"/>
  <c r="N17" i="221"/>
  <c r="O17" i="221"/>
  <c r="P17" i="221"/>
  <c r="M20" i="218"/>
  <c r="N20" i="218"/>
  <c r="O20" i="218"/>
  <c r="P20" i="218"/>
  <c r="O17" i="191"/>
  <c r="P17" i="191"/>
  <c r="Q17" i="191"/>
  <c r="R17" i="191"/>
  <c r="M239" i="242"/>
  <c r="N239" i="242"/>
  <c r="O239" i="242"/>
  <c r="P239" i="242"/>
  <c r="R19" i="238"/>
  <c r="S19" i="238"/>
  <c r="T19" i="238"/>
  <c r="U19" i="238"/>
  <c r="M71" i="222"/>
  <c r="N71" i="222"/>
  <c r="O71" i="222"/>
  <c r="P71" i="222"/>
  <c r="M21" i="242"/>
  <c r="N21" i="242"/>
  <c r="O21" i="242"/>
  <c r="P21" i="242"/>
  <c r="I50" i="216" l="1"/>
  <c r="J54" i="216"/>
  <c r="S35" i="231"/>
  <c r="R41" i="230"/>
  <c r="R40" i="230"/>
  <c r="R37" i="230"/>
  <c r="R42" i="230" s="1"/>
  <c r="S34" i="230"/>
  <c r="E49" i="247"/>
  <c r="E51" i="247"/>
  <c r="E48" i="247"/>
  <c r="H50" i="216" l="1"/>
  <c r="I54" i="216"/>
  <c r="S39" i="230"/>
  <c r="S35" i="230"/>
  <c r="S36" i="230" s="1"/>
  <c r="B3" i="248"/>
  <c r="C20" i="246" s="1"/>
  <c r="E52" i="247"/>
  <c r="E55" i="247"/>
  <c r="E53" i="247"/>
  <c r="G50" i="216" l="1"/>
  <c r="H54" i="216"/>
  <c r="T35" i="231"/>
  <c r="S41" i="230"/>
  <c r="S40" i="230"/>
  <c r="S37" i="230"/>
  <c r="S42" i="230" s="1"/>
  <c r="T34" i="230"/>
  <c r="C57" i="248"/>
  <c r="F50" i="216" l="1"/>
  <c r="G54" i="216"/>
  <c r="T39" i="230"/>
  <c r="T35" i="230"/>
  <c r="T36" i="230" s="1"/>
  <c r="E50" i="216" l="1"/>
  <c r="E54" i="216" s="1"/>
  <c r="F54" i="216"/>
  <c r="T41" i="230"/>
  <c r="U35" i="231"/>
  <c r="T40" i="230"/>
  <c r="T37" i="230"/>
  <c r="T42" i="230" s="1"/>
  <c r="U34" i="230"/>
  <c r="U39" i="230" l="1"/>
  <c r="U35" i="230"/>
  <c r="U36" i="230" s="1"/>
  <c r="U40" i="230" l="1"/>
  <c r="V34" i="230"/>
  <c r="U37" i="230"/>
  <c r="U42" i="230" s="1"/>
  <c r="U41" i="230"/>
  <c r="V35" i="231"/>
  <c r="V39" i="230" l="1"/>
  <c r="V35" i="230"/>
  <c r="V36" i="230" s="1"/>
  <c r="W35" i="231" l="1"/>
  <c r="V41" i="230"/>
  <c r="V40" i="230"/>
  <c r="W34" i="230"/>
  <c r="V37" i="230"/>
  <c r="V42" i="230" s="1"/>
  <c r="W39" i="230" l="1"/>
  <c r="W35" i="230"/>
  <c r="W36" i="230" s="1"/>
  <c r="W40" i="230" l="1"/>
  <c r="X34" i="230"/>
  <c r="W37" i="230"/>
  <c r="W42" i="230" s="1"/>
  <c r="X35" i="231"/>
  <c r="W41" i="230"/>
  <c r="X39" i="230" l="1"/>
  <c r="X35" i="230"/>
  <c r="X40" i="230" l="1"/>
  <c r="X37" i="230"/>
  <c r="X42" i="230" s="1"/>
  <c r="Y34" i="230"/>
  <c r="X36" i="230"/>
  <c r="X41" i="230" l="1"/>
  <c r="Y35" i="231"/>
  <c r="Y39" i="230"/>
  <c r="Y35" i="230"/>
  <c r="Y36" i="230" s="1"/>
  <c r="Y41" i="230" l="1"/>
  <c r="Z35" i="231"/>
  <c r="Y40" i="230"/>
  <c r="Y37" i="230"/>
  <c r="Y42" i="230" s="1"/>
  <c r="Z34" i="230"/>
  <c r="Z39" i="230" l="1"/>
  <c r="Z35" i="230"/>
  <c r="Z36" i="230" s="1"/>
  <c r="AA35" i="231" l="1"/>
  <c r="Z41" i="230"/>
  <c r="Z40" i="230"/>
  <c r="AA34" i="230"/>
  <c r="Z37" i="230"/>
  <c r="Z42" i="230" s="1"/>
  <c r="AA39" i="230" l="1"/>
  <c r="AA35" i="230"/>
  <c r="AA36" i="230" s="1"/>
  <c r="AB35" i="231" l="1"/>
  <c r="AA41" i="230"/>
  <c r="AA40" i="230"/>
  <c r="AA37" i="230"/>
  <c r="AA42" i="230" s="1"/>
  <c r="AB34" i="230"/>
  <c r="AB39" i="230" l="1"/>
  <c r="AB35" i="230"/>
  <c r="AB36" i="230"/>
  <c r="AB41" i="230" l="1"/>
  <c r="AC35" i="231"/>
  <c r="AB37" i="230"/>
  <c r="AB42" i="230" s="1"/>
  <c r="AB40" i="230"/>
  <c r="N26" i="230" l="1"/>
  <c r="N31" i="230" s="1"/>
  <c r="N29" i="230"/>
  <c r="O23" i="230"/>
  <c r="N25" i="230"/>
  <c r="N30" i="230" l="1"/>
  <c r="O22" i="231"/>
  <c r="O28" i="230"/>
  <c r="O29" i="230" l="1"/>
  <c r="O26" i="230"/>
  <c r="O31" i="230" s="1"/>
  <c r="P23" i="230"/>
  <c r="O25" i="230"/>
  <c r="P25" i="230" l="1"/>
  <c r="P28" i="230"/>
  <c r="P22" i="231"/>
  <c r="O30" i="230"/>
  <c r="Q22" i="231" l="1"/>
  <c r="P30" i="230"/>
  <c r="P29" i="230"/>
  <c r="Q23" i="230"/>
  <c r="P26" i="230"/>
  <c r="P31" i="230" s="1"/>
  <c r="Q25" i="230" l="1"/>
  <c r="Q28" i="230"/>
  <c r="Q30" i="230" l="1"/>
  <c r="R22" i="231"/>
  <c r="Q29" i="230"/>
  <c r="R23" i="230"/>
  <c r="Q26" i="230"/>
  <c r="Q31" i="230" s="1"/>
  <c r="R25" i="230" l="1"/>
  <c r="R28" i="230"/>
  <c r="R30" i="230" l="1"/>
  <c r="S22" i="231"/>
  <c r="R29" i="230"/>
  <c r="R26" i="230"/>
  <c r="R31" i="230" s="1"/>
  <c r="S23" i="230"/>
  <c r="S25" i="230" l="1"/>
  <c r="S28" i="230"/>
  <c r="T22" i="231" l="1"/>
  <c r="S30" i="230"/>
  <c r="S29" i="230"/>
  <c r="S26" i="230"/>
  <c r="S31" i="230" s="1"/>
  <c r="T23" i="230"/>
  <c r="T25" i="230" l="1"/>
  <c r="T28" i="230"/>
  <c r="U22" i="231" l="1"/>
  <c r="T30" i="230"/>
  <c r="T29" i="230"/>
  <c r="U23" i="230"/>
  <c r="T26" i="230"/>
  <c r="T31" i="230" s="1"/>
  <c r="U25" i="230" l="1"/>
  <c r="U28" i="230"/>
  <c r="U30" i="230" l="1"/>
  <c r="V22" i="231"/>
  <c r="U29" i="230"/>
  <c r="V23" i="230"/>
  <c r="U26" i="230"/>
  <c r="U31" i="230" s="1"/>
  <c r="V25" i="230" l="1"/>
  <c r="V28" i="230"/>
  <c r="V30" i="230" l="1"/>
  <c r="W22" i="231"/>
  <c r="V29" i="230"/>
  <c r="W23" i="230"/>
  <c r="V26" i="230"/>
  <c r="V31" i="230" s="1"/>
  <c r="W25" i="230" l="1"/>
  <c r="W28" i="230"/>
  <c r="X22" i="231" l="1"/>
  <c r="W30" i="230"/>
  <c r="W29" i="230"/>
  <c r="X23" i="230"/>
  <c r="W26" i="230"/>
  <c r="W31" i="230" s="1"/>
  <c r="X25" i="230" l="1"/>
  <c r="X28" i="230"/>
  <c r="Y22" i="231" l="1"/>
  <c r="X30" i="230"/>
  <c r="X29" i="230"/>
  <c r="X26" i="230"/>
  <c r="X31" i="230" s="1"/>
  <c r="Y23" i="230"/>
  <c r="Y25" i="230" l="1"/>
  <c r="Y28" i="230"/>
  <c r="Y30" i="230" l="1"/>
  <c r="Z22" i="231"/>
  <c r="Y29" i="230"/>
  <c r="Z23" i="230"/>
  <c r="Y26" i="230"/>
  <c r="Y31" i="230" s="1"/>
  <c r="Z25" i="230" l="1"/>
  <c r="Z28" i="230"/>
  <c r="Z30" i="230" l="1"/>
  <c r="AA22" i="231"/>
  <c r="Z29" i="230"/>
  <c r="AA23" i="230"/>
  <c r="Z26" i="230"/>
  <c r="Z31" i="230" s="1"/>
  <c r="AA25" i="230" l="1"/>
  <c r="AA28" i="230"/>
  <c r="AB22" i="231" l="1"/>
  <c r="AA30" i="230"/>
  <c r="AA29" i="230"/>
  <c r="AB23" i="230"/>
  <c r="AA26" i="230"/>
  <c r="AA31" i="230" s="1"/>
  <c r="AB25" i="230" l="1"/>
  <c r="AB28" i="230"/>
  <c r="AC22" i="231" l="1"/>
  <c r="AB30" i="230"/>
  <c r="AB29" i="230"/>
  <c r="AB26" i="230"/>
  <c r="AB31" i="230" s="1"/>
  <c r="L80" i="190" l="1"/>
  <c r="M91" i="191" s="1"/>
  <c r="M78" i="190"/>
  <c r="M79" i="190" s="1"/>
  <c r="H30" i="255" l="1"/>
  <c r="H24" i="255"/>
  <c r="H23" i="255"/>
  <c r="H26" i="255"/>
  <c r="H28" i="255"/>
  <c r="H27" i="255"/>
  <c r="H25" i="255"/>
  <c r="H29" i="255"/>
  <c r="M60" i="190"/>
  <c r="M61" i="190" s="1"/>
  <c r="L62" i="190"/>
  <c r="M68" i="191" s="1"/>
  <c r="L68" i="190" l="1"/>
  <c r="M78" i="191" s="1"/>
  <c r="M66" i="190"/>
  <c r="M67" i="190" s="1"/>
  <c r="L86" i="190" l="1"/>
  <c r="M101" i="191" s="1"/>
  <c r="M84" i="190"/>
  <c r="M85" i="190" s="1"/>
  <c r="M36" i="255" l="1"/>
  <c r="M38" i="255"/>
  <c r="M40" i="255"/>
  <c r="M43" i="255"/>
  <c r="M37" i="255"/>
  <c r="M41" i="255"/>
  <c r="M39" i="255"/>
  <c r="M42" i="255"/>
  <c r="L50" i="190"/>
  <c r="M55" i="191" s="1"/>
  <c r="M48" i="190"/>
  <c r="M49" i="190" s="1"/>
  <c r="M30" i="190"/>
  <c r="M31" i="190" s="1"/>
  <c r="L32" i="190"/>
  <c r="M32" i="191" l="1"/>
  <c r="L26" i="190"/>
  <c r="M24" i="190"/>
  <c r="M25" i="190" s="1"/>
  <c r="M22" i="191" l="1"/>
  <c r="N60" i="190"/>
  <c r="N61" i="190" s="1"/>
  <c r="N68" i="191"/>
  <c r="N78" i="190" l="1"/>
  <c r="N79" i="190" s="1"/>
  <c r="N91" i="191"/>
  <c r="O68" i="191"/>
  <c r="O60" i="190"/>
  <c r="O61" i="190" s="1"/>
  <c r="N78" i="191"/>
  <c r="N66" i="190"/>
  <c r="N67" i="190" s="1"/>
  <c r="O91" i="191" l="1"/>
  <c r="O78" i="190"/>
  <c r="O79" i="190" s="1"/>
  <c r="N24" i="190"/>
  <c r="O78" i="191"/>
  <c r="O66" i="190"/>
  <c r="O67" i="190" s="1"/>
  <c r="P68" i="191"/>
  <c r="N101" i="191"/>
  <c r="N84" i="190"/>
  <c r="N85" i="190" s="1"/>
  <c r="N25" i="190" l="1"/>
  <c r="O24" i="190" s="1"/>
  <c r="N22" i="191"/>
  <c r="P78" i="191"/>
  <c r="P66" i="190"/>
  <c r="P67" i="190" s="1"/>
  <c r="P91" i="191"/>
  <c r="P60" i="190"/>
  <c r="P61" i="190" s="1"/>
  <c r="O25" i="190" l="1"/>
  <c r="O22" i="191"/>
  <c r="Q78" i="191"/>
  <c r="Q66" i="190"/>
  <c r="Q67" i="190" s="1"/>
  <c r="N32" i="191"/>
  <c r="N30" i="190"/>
  <c r="N31" i="190" s="1"/>
  <c r="O84" i="190"/>
  <c r="O85" i="190" s="1"/>
  <c r="Q68" i="191"/>
  <c r="Q60" i="190"/>
  <c r="Q61" i="190" s="1"/>
  <c r="P78" i="190"/>
  <c r="P79" i="190" s="1"/>
  <c r="O101" i="191"/>
  <c r="P22" i="191" l="1"/>
  <c r="N48" i="190"/>
  <c r="N49" i="190" s="1"/>
  <c r="Q91" i="191"/>
  <c r="R68" i="191"/>
  <c r="P101" i="191"/>
  <c r="P84" i="190"/>
  <c r="P85" i="190" s="1"/>
  <c r="R78" i="191"/>
  <c r="R66" i="190"/>
  <c r="R67" i="190" s="1"/>
  <c r="P24" i="190"/>
  <c r="P25" i="190" l="1"/>
  <c r="N55" i="191"/>
  <c r="O32" i="191"/>
  <c r="Q101" i="191"/>
  <c r="Q84" i="190"/>
  <c r="Q85" i="190" s="1"/>
  <c r="Q78" i="190"/>
  <c r="Q79" i="190" s="1"/>
  <c r="O30" i="190"/>
  <c r="O31" i="190" s="1"/>
  <c r="O55" i="191"/>
  <c r="O48" i="190"/>
  <c r="O49" i="190" s="1"/>
  <c r="R60" i="190"/>
  <c r="R61" i="190" s="1"/>
  <c r="Q22" i="191" l="1"/>
  <c r="P55" i="191"/>
  <c r="P48" i="190"/>
  <c r="P49" i="190" s="1"/>
  <c r="R91" i="191"/>
  <c r="Q24" i="190"/>
  <c r="S78" i="191"/>
  <c r="Q25" i="190" l="1"/>
  <c r="P32" i="191"/>
  <c r="Q55" i="191"/>
  <c r="Q48" i="190"/>
  <c r="Q49" i="190" s="1"/>
  <c r="R78" i="190"/>
  <c r="R79" i="190" s="1"/>
  <c r="R84" i="190"/>
  <c r="R85" i="190" s="1"/>
  <c r="P30" i="190"/>
  <c r="P31" i="190" s="1"/>
  <c r="S68" i="191"/>
  <c r="R101" i="191"/>
  <c r="R24" i="190" l="1"/>
  <c r="R55" i="191"/>
  <c r="R48" i="190"/>
  <c r="R49" i="190" s="1"/>
  <c r="R25" i="190" l="1"/>
  <c r="R22" i="191"/>
  <c r="S101" i="191"/>
  <c r="S91" i="191"/>
  <c r="Q30" i="190"/>
  <c r="Q31" i="190" s="1"/>
  <c r="Q32" i="191" l="1"/>
  <c r="S55" i="191"/>
  <c r="R32" i="191" l="1"/>
  <c r="S22" i="191"/>
  <c r="R30" i="190"/>
  <c r="R31" i="190" s="1"/>
  <c r="S32" i="191" l="1"/>
  <c r="L44" i="190" l="1"/>
  <c r="M45" i="191" s="1"/>
  <c r="M42" i="190"/>
  <c r="M43" i="190" l="1"/>
  <c r="N42" i="190" l="1"/>
  <c r="N43" i="190" s="1"/>
  <c r="N45" i="191"/>
  <c r="O42" i="190" l="1"/>
  <c r="O43" i="190" s="1"/>
  <c r="O45" i="191" l="1"/>
  <c r="P42" i="190" l="1"/>
  <c r="P43" i="190" s="1"/>
  <c r="P45" i="191" l="1"/>
  <c r="Q42" i="190" l="1"/>
  <c r="Q43" i="190" s="1"/>
  <c r="Q45" i="191" l="1"/>
  <c r="R42" i="190" l="1"/>
  <c r="R43" i="190" s="1"/>
  <c r="R45" i="191" l="1"/>
  <c r="S45" i="191" l="1"/>
  <c r="M44" i="255" l="1"/>
  <c r="M45" i="255" s="1"/>
  <c r="H31" i="255" l="1"/>
  <c r="H32" i="255" s="1"/>
  <c r="M40" i="251" l="1"/>
  <c r="M41" i="251"/>
  <c r="M42" i="251"/>
  <c r="M43" i="251"/>
  <c r="M39" i="251"/>
  <c r="M37" i="251"/>
  <c r="M38" i="251"/>
  <c r="M42" i="253" l="1"/>
  <c r="M42" i="231"/>
  <c r="M41" i="191"/>
  <c r="M36" i="251"/>
  <c r="M44" i="251" s="1"/>
  <c r="M45" i="251" s="1"/>
  <c r="M87" i="191"/>
  <c r="M40" i="231"/>
  <c r="M40" i="253"/>
  <c r="M77" i="191"/>
  <c r="M39" i="231"/>
  <c r="M39" i="253"/>
  <c r="M64" i="191"/>
  <c r="M43" i="253"/>
  <c r="M43" i="231"/>
  <c r="M36" i="231"/>
  <c r="M110" i="191"/>
  <c r="M36" i="253"/>
  <c r="M100" i="191"/>
  <c r="M38" i="231"/>
  <c r="M38" i="253"/>
  <c r="M54" i="191"/>
  <c r="M41" i="231"/>
  <c r="M41" i="253"/>
  <c r="M31" i="191"/>
  <c r="M37" i="253"/>
  <c r="M37" i="231"/>
  <c r="M111" i="191" l="1"/>
  <c r="M42" i="191"/>
  <c r="M44" i="231"/>
  <c r="M45" i="231" s="1"/>
  <c r="M65" i="191"/>
  <c r="M44" i="253"/>
  <c r="M45" i="253" s="1"/>
  <c r="M88" i="191"/>
  <c r="N77" i="191" l="1"/>
  <c r="N41" i="251" l="1"/>
  <c r="O41" i="251" s="1"/>
  <c r="P41" i="251" s="1"/>
  <c r="Q41" i="251" s="1"/>
  <c r="R41" i="251" s="1"/>
  <c r="S41" i="251" s="1"/>
  <c r="T41" i="251" s="1"/>
  <c r="U41" i="251" s="1"/>
  <c r="V41" i="251" s="1"/>
  <c r="W41" i="251" s="1"/>
  <c r="X41" i="251" s="1"/>
  <c r="Y41" i="251" s="1"/>
  <c r="Z41" i="251" s="1"/>
  <c r="AA41" i="251" s="1"/>
  <c r="AB41" i="251" s="1"/>
  <c r="AC41" i="251" s="1"/>
  <c r="J25" i="251"/>
  <c r="N43" i="251"/>
  <c r="O43" i="251" s="1"/>
  <c r="P43" i="251" s="1"/>
  <c r="Q43" i="251" s="1"/>
  <c r="R43" i="251" s="1"/>
  <c r="S43" i="251" s="1"/>
  <c r="T43" i="251" s="1"/>
  <c r="U43" i="251" s="1"/>
  <c r="V43" i="251" s="1"/>
  <c r="W43" i="251" s="1"/>
  <c r="X43" i="251" s="1"/>
  <c r="Y43" i="251" s="1"/>
  <c r="Z43" i="251" s="1"/>
  <c r="AA43" i="251" s="1"/>
  <c r="AB43" i="251" s="1"/>
  <c r="AC43" i="251" s="1"/>
  <c r="N42" i="251"/>
  <c r="O42" i="251" s="1"/>
  <c r="P42" i="251" s="1"/>
  <c r="Q42" i="251" s="1"/>
  <c r="R42" i="251" s="1"/>
  <c r="S42" i="251" s="1"/>
  <c r="T42" i="251" s="1"/>
  <c r="U42" i="251" s="1"/>
  <c r="V42" i="251" s="1"/>
  <c r="W42" i="251" s="1"/>
  <c r="X42" i="251" s="1"/>
  <c r="Y42" i="251" s="1"/>
  <c r="Z42" i="251" s="1"/>
  <c r="AA42" i="251" s="1"/>
  <c r="AB42" i="251" s="1"/>
  <c r="AC42" i="251" s="1"/>
  <c r="K24" i="251"/>
  <c r="N40" i="251"/>
  <c r="O40" i="251" s="1"/>
  <c r="P40" i="251" s="1"/>
  <c r="Q40" i="251" s="1"/>
  <c r="R40" i="251" s="1"/>
  <c r="S40" i="251" s="1"/>
  <c r="T40" i="251" s="1"/>
  <c r="U40" i="251" s="1"/>
  <c r="V40" i="251" s="1"/>
  <c r="W40" i="251" s="1"/>
  <c r="X40" i="251" s="1"/>
  <c r="Y40" i="251" s="1"/>
  <c r="Z40" i="251" s="1"/>
  <c r="AA40" i="251" s="1"/>
  <c r="AB40" i="251" s="1"/>
  <c r="AC40" i="251" s="1"/>
  <c r="J24" i="251"/>
  <c r="N37" i="251"/>
  <c r="O37" i="251" s="1"/>
  <c r="P37" i="251" s="1"/>
  <c r="Q37" i="251" s="1"/>
  <c r="R37" i="251" s="1"/>
  <c r="S37" i="251" s="1"/>
  <c r="T37" i="251" s="1"/>
  <c r="U37" i="251" s="1"/>
  <c r="V37" i="251" s="1"/>
  <c r="W37" i="251" s="1"/>
  <c r="X37" i="251" s="1"/>
  <c r="Y37" i="251" s="1"/>
  <c r="Z37" i="251" s="1"/>
  <c r="AA37" i="251" s="1"/>
  <c r="AB37" i="251" s="1"/>
  <c r="AC37" i="251" s="1"/>
  <c r="K25" i="251"/>
  <c r="J29" i="251"/>
  <c r="K29" i="251"/>
  <c r="J30" i="251"/>
  <c r="N39" i="251"/>
  <c r="O39" i="251" s="1"/>
  <c r="P39" i="251" s="1"/>
  <c r="Q39" i="251" s="1"/>
  <c r="R39" i="251" s="1"/>
  <c r="S39" i="251" s="1"/>
  <c r="T39" i="251" s="1"/>
  <c r="U39" i="251" s="1"/>
  <c r="V39" i="251" s="1"/>
  <c r="W39" i="251" s="1"/>
  <c r="X39" i="251" s="1"/>
  <c r="Y39" i="251" s="1"/>
  <c r="Z39" i="251" s="1"/>
  <c r="AA39" i="251" s="1"/>
  <c r="AB39" i="251" s="1"/>
  <c r="AC39" i="251" s="1"/>
  <c r="J26" i="251"/>
  <c r="K30" i="251"/>
  <c r="J28" i="251"/>
  <c r="K28" i="251"/>
  <c r="J27" i="251"/>
  <c r="K27" i="251"/>
  <c r="N38" i="251"/>
  <c r="O38" i="251" s="1"/>
  <c r="P38" i="251" s="1"/>
  <c r="Q38" i="251" s="1"/>
  <c r="R38" i="251" s="1"/>
  <c r="S38" i="251" s="1"/>
  <c r="T38" i="251" s="1"/>
  <c r="U38" i="251" s="1"/>
  <c r="V38" i="251" s="1"/>
  <c r="W38" i="251" s="1"/>
  <c r="X38" i="251" s="1"/>
  <c r="Y38" i="251" s="1"/>
  <c r="Z38" i="251" s="1"/>
  <c r="AA38" i="251" s="1"/>
  <c r="AB38" i="251" s="1"/>
  <c r="AC38" i="251" s="1"/>
  <c r="K26" i="251"/>
  <c r="I28" i="251" l="1"/>
  <c r="I28" i="253"/>
  <c r="I28" i="231"/>
  <c r="I28" i="255"/>
  <c r="I29" i="255"/>
  <c r="I29" i="253"/>
  <c r="I29" i="231"/>
  <c r="I29" i="251"/>
  <c r="I26" i="231"/>
  <c r="I26" i="251"/>
  <c r="I26" i="253"/>
  <c r="I26" i="255"/>
  <c r="N87" i="191"/>
  <c r="N88" i="191" s="1"/>
  <c r="N36" i="251"/>
  <c r="I27" i="253"/>
  <c r="I27" i="231"/>
  <c r="I27" i="251"/>
  <c r="I27" i="255"/>
  <c r="I24" i="253"/>
  <c r="I24" i="231"/>
  <c r="I24" i="255"/>
  <c r="I24" i="251"/>
  <c r="N54" i="191"/>
  <c r="I23" i="251"/>
  <c r="I23" i="255"/>
  <c r="I23" i="253"/>
  <c r="N100" i="191"/>
  <c r="I23" i="231"/>
  <c r="I30" i="253"/>
  <c r="I30" i="231"/>
  <c r="I30" i="255"/>
  <c r="I30" i="251"/>
  <c r="I25" i="251"/>
  <c r="I25" i="253"/>
  <c r="I25" i="231"/>
  <c r="I25" i="255"/>
  <c r="O77" i="191"/>
  <c r="J23" i="251"/>
  <c r="J31" i="251" s="1"/>
  <c r="J32" i="251" s="1"/>
  <c r="K23" i="251"/>
  <c r="K31" i="251" s="1"/>
  <c r="K32" i="251" s="1"/>
  <c r="P77" i="191"/>
  <c r="I31" i="231" l="1"/>
  <c r="I32" i="231" s="1"/>
  <c r="M26" i="251"/>
  <c r="N38" i="253"/>
  <c r="O38" i="253" s="1"/>
  <c r="P38" i="253" s="1"/>
  <c r="Q38" i="253" s="1"/>
  <c r="R38" i="253" s="1"/>
  <c r="S38" i="253" s="1"/>
  <c r="T38" i="253" s="1"/>
  <c r="U38" i="253" s="1"/>
  <c r="V38" i="253" s="1"/>
  <c r="W38" i="253" s="1"/>
  <c r="X38" i="253" s="1"/>
  <c r="Y38" i="253" s="1"/>
  <c r="Z38" i="253" s="1"/>
  <c r="AA38" i="253" s="1"/>
  <c r="AB38" i="253" s="1"/>
  <c r="AC38" i="253" s="1"/>
  <c r="N38" i="231"/>
  <c r="O38" i="231" s="1"/>
  <c r="P38" i="231" s="1"/>
  <c r="Q38" i="231" s="1"/>
  <c r="R38" i="231" s="1"/>
  <c r="S38" i="231" s="1"/>
  <c r="T38" i="231" s="1"/>
  <c r="U38" i="231" s="1"/>
  <c r="V38" i="231" s="1"/>
  <c r="W38" i="231" s="1"/>
  <c r="X38" i="231" s="1"/>
  <c r="Y38" i="231" s="1"/>
  <c r="Z38" i="231" s="1"/>
  <c r="AA38" i="231" s="1"/>
  <c r="AB38" i="231" s="1"/>
  <c r="AC38" i="231" s="1"/>
  <c r="N38" i="255"/>
  <c r="O38" i="255" s="1"/>
  <c r="P38" i="255" s="1"/>
  <c r="Q38" i="255" s="1"/>
  <c r="R38" i="255" s="1"/>
  <c r="S38" i="255" s="1"/>
  <c r="T38" i="255" s="1"/>
  <c r="U38" i="255" s="1"/>
  <c r="V38" i="255" s="1"/>
  <c r="W38" i="255" s="1"/>
  <c r="X38" i="255" s="1"/>
  <c r="Y38" i="255" s="1"/>
  <c r="Z38" i="255" s="1"/>
  <c r="AA38" i="255" s="1"/>
  <c r="AB38" i="255" s="1"/>
  <c r="AC38" i="255" s="1"/>
  <c r="N39" i="253"/>
  <c r="O39" i="253" s="1"/>
  <c r="P39" i="253" s="1"/>
  <c r="Q39" i="253" s="1"/>
  <c r="R39" i="253" s="1"/>
  <c r="S39" i="253" s="1"/>
  <c r="T39" i="253" s="1"/>
  <c r="U39" i="253" s="1"/>
  <c r="V39" i="253" s="1"/>
  <c r="W39" i="253" s="1"/>
  <c r="X39" i="253" s="1"/>
  <c r="Y39" i="253" s="1"/>
  <c r="Z39" i="253" s="1"/>
  <c r="AA39" i="253" s="1"/>
  <c r="AB39" i="253" s="1"/>
  <c r="AC39" i="253" s="1"/>
  <c r="N39" i="231"/>
  <c r="O39" i="231" s="1"/>
  <c r="P39" i="231" s="1"/>
  <c r="Q39" i="231" s="1"/>
  <c r="R39" i="231" s="1"/>
  <c r="S39" i="231" s="1"/>
  <c r="T39" i="231" s="1"/>
  <c r="U39" i="231" s="1"/>
  <c r="V39" i="231" s="1"/>
  <c r="W39" i="231" s="1"/>
  <c r="X39" i="231" s="1"/>
  <c r="Y39" i="231" s="1"/>
  <c r="Z39" i="231" s="1"/>
  <c r="AA39" i="231" s="1"/>
  <c r="AB39" i="231" s="1"/>
  <c r="AC39" i="231" s="1"/>
  <c r="N39" i="255"/>
  <c r="O39" i="255" s="1"/>
  <c r="P39" i="255" s="1"/>
  <c r="Q39" i="255" s="1"/>
  <c r="R39" i="255" s="1"/>
  <c r="S39" i="255" s="1"/>
  <c r="T39" i="255" s="1"/>
  <c r="U39" i="255" s="1"/>
  <c r="V39" i="255" s="1"/>
  <c r="W39" i="255" s="1"/>
  <c r="X39" i="255" s="1"/>
  <c r="Y39" i="255" s="1"/>
  <c r="Z39" i="255" s="1"/>
  <c r="AA39" i="255" s="1"/>
  <c r="AB39" i="255" s="1"/>
  <c r="AC39" i="255" s="1"/>
  <c r="O87" i="191"/>
  <c r="O88" i="191" s="1"/>
  <c r="N41" i="231"/>
  <c r="O41" i="231" s="1"/>
  <c r="P41" i="231" s="1"/>
  <c r="Q41" i="231" s="1"/>
  <c r="R41" i="231" s="1"/>
  <c r="S41" i="231" s="1"/>
  <c r="T41" i="231" s="1"/>
  <c r="U41" i="231" s="1"/>
  <c r="V41" i="231" s="1"/>
  <c r="W41" i="231" s="1"/>
  <c r="X41" i="231" s="1"/>
  <c r="Y41" i="231" s="1"/>
  <c r="Z41" i="231" s="1"/>
  <c r="AA41" i="231" s="1"/>
  <c r="AB41" i="231" s="1"/>
  <c r="AC41" i="231" s="1"/>
  <c r="N41" i="255"/>
  <c r="O41" i="255" s="1"/>
  <c r="P41" i="255" s="1"/>
  <c r="Q41" i="255" s="1"/>
  <c r="R41" i="255" s="1"/>
  <c r="S41" i="255" s="1"/>
  <c r="T41" i="255" s="1"/>
  <c r="U41" i="255" s="1"/>
  <c r="V41" i="255" s="1"/>
  <c r="W41" i="255" s="1"/>
  <c r="X41" i="255" s="1"/>
  <c r="Y41" i="255" s="1"/>
  <c r="Z41" i="255" s="1"/>
  <c r="AA41" i="255" s="1"/>
  <c r="AB41" i="255" s="1"/>
  <c r="AC41" i="255" s="1"/>
  <c r="N41" i="253"/>
  <c r="O41" i="253" s="1"/>
  <c r="P41" i="253" s="1"/>
  <c r="Q41" i="253" s="1"/>
  <c r="R41" i="253" s="1"/>
  <c r="S41" i="253" s="1"/>
  <c r="T41" i="253" s="1"/>
  <c r="U41" i="253" s="1"/>
  <c r="V41" i="253" s="1"/>
  <c r="W41" i="253" s="1"/>
  <c r="X41" i="253" s="1"/>
  <c r="Y41" i="253" s="1"/>
  <c r="Z41" i="253" s="1"/>
  <c r="AA41" i="253" s="1"/>
  <c r="AB41" i="253" s="1"/>
  <c r="AC41" i="253" s="1"/>
  <c r="L26" i="251"/>
  <c r="J30" i="231"/>
  <c r="J30" i="253"/>
  <c r="J30" i="255"/>
  <c r="J27" i="253"/>
  <c r="J27" i="255"/>
  <c r="J27" i="231"/>
  <c r="N27" i="251"/>
  <c r="O27" i="251" s="1"/>
  <c r="P27" i="251" s="1"/>
  <c r="Q27" i="251" s="1"/>
  <c r="R27" i="251" s="1"/>
  <c r="S27" i="251" s="1"/>
  <c r="T27" i="251" s="1"/>
  <c r="U27" i="251" s="1"/>
  <c r="V27" i="251" s="1"/>
  <c r="W27" i="251" s="1"/>
  <c r="X27" i="251" s="1"/>
  <c r="Y27" i="251" s="1"/>
  <c r="Z27" i="251" s="1"/>
  <c r="AA27" i="251" s="1"/>
  <c r="AB27" i="251" s="1"/>
  <c r="AC27" i="251" s="1"/>
  <c r="N40" i="255"/>
  <c r="O40" i="255" s="1"/>
  <c r="P40" i="255" s="1"/>
  <c r="Q40" i="255" s="1"/>
  <c r="R40" i="255" s="1"/>
  <c r="S40" i="255" s="1"/>
  <c r="T40" i="255" s="1"/>
  <c r="U40" i="255" s="1"/>
  <c r="V40" i="255" s="1"/>
  <c r="W40" i="255" s="1"/>
  <c r="X40" i="255" s="1"/>
  <c r="Y40" i="255" s="1"/>
  <c r="Z40" i="255" s="1"/>
  <c r="AA40" i="255" s="1"/>
  <c r="AB40" i="255" s="1"/>
  <c r="AC40" i="255" s="1"/>
  <c r="N40" i="253"/>
  <c r="O40" i="253" s="1"/>
  <c r="P40" i="253" s="1"/>
  <c r="Q40" i="253" s="1"/>
  <c r="R40" i="253" s="1"/>
  <c r="S40" i="253" s="1"/>
  <c r="T40" i="253" s="1"/>
  <c r="U40" i="253" s="1"/>
  <c r="V40" i="253" s="1"/>
  <c r="W40" i="253" s="1"/>
  <c r="X40" i="253" s="1"/>
  <c r="Y40" i="253" s="1"/>
  <c r="Z40" i="253" s="1"/>
  <c r="AA40" i="253" s="1"/>
  <c r="AB40" i="253" s="1"/>
  <c r="AC40" i="253" s="1"/>
  <c r="N40" i="231"/>
  <c r="O40" i="231" s="1"/>
  <c r="P40" i="231" s="1"/>
  <c r="Q40" i="231" s="1"/>
  <c r="R40" i="231" s="1"/>
  <c r="S40" i="231" s="1"/>
  <c r="T40" i="231" s="1"/>
  <c r="U40" i="231" s="1"/>
  <c r="V40" i="231" s="1"/>
  <c r="W40" i="231" s="1"/>
  <c r="X40" i="231" s="1"/>
  <c r="Y40" i="231" s="1"/>
  <c r="Z40" i="231" s="1"/>
  <c r="AA40" i="231" s="1"/>
  <c r="AB40" i="231" s="1"/>
  <c r="AC40" i="231" s="1"/>
  <c r="L29" i="251"/>
  <c r="L28" i="251"/>
  <c r="P87" i="191"/>
  <c r="P88" i="191" s="1"/>
  <c r="J25" i="253"/>
  <c r="J25" i="231"/>
  <c r="J25" i="255"/>
  <c r="L25" i="251"/>
  <c r="M28" i="251"/>
  <c r="N29" i="251"/>
  <c r="O29" i="251" s="1"/>
  <c r="P29" i="251" s="1"/>
  <c r="Q29" i="251" s="1"/>
  <c r="R29" i="251" s="1"/>
  <c r="S29" i="251" s="1"/>
  <c r="T29" i="251" s="1"/>
  <c r="U29" i="251" s="1"/>
  <c r="V29" i="251" s="1"/>
  <c r="W29" i="251" s="1"/>
  <c r="X29" i="251" s="1"/>
  <c r="Y29" i="251" s="1"/>
  <c r="Z29" i="251" s="1"/>
  <c r="AA29" i="251" s="1"/>
  <c r="AB29" i="251" s="1"/>
  <c r="AC29" i="251" s="1"/>
  <c r="J28" i="255"/>
  <c r="J28" i="231"/>
  <c r="J28" i="253"/>
  <c r="I31" i="253"/>
  <c r="I32" i="253" s="1"/>
  <c r="L30" i="251"/>
  <c r="N44" i="251"/>
  <c r="N45" i="251" s="1"/>
  <c r="O36" i="251"/>
  <c r="L27" i="251"/>
  <c r="M27" i="251"/>
  <c r="N37" i="231"/>
  <c r="O37" i="231" s="1"/>
  <c r="P37" i="231" s="1"/>
  <c r="Q37" i="231" s="1"/>
  <c r="R37" i="231" s="1"/>
  <c r="S37" i="231" s="1"/>
  <c r="T37" i="231" s="1"/>
  <c r="U37" i="231" s="1"/>
  <c r="V37" i="231" s="1"/>
  <c r="W37" i="231" s="1"/>
  <c r="X37" i="231" s="1"/>
  <c r="Y37" i="231" s="1"/>
  <c r="Z37" i="231" s="1"/>
  <c r="AA37" i="231" s="1"/>
  <c r="AB37" i="231" s="1"/>
  <c r="AC37" i="231" s="1"/>
  <c r="N37" i="253"/>
  <c r="O37" i="253" s="1"/>
  <c r="P37" i="253" s="1"/>
  <c r="Q37" i="253" s="1"/>
  <c r="R37" i="253" s="1"/>
  <c r="S37" i="253" s="1"/>
  <c r="T37" i="253" s="1"/>
  <c r="U37" i="253" s="1"/>
  <c r="V37" i="253" s="1"/>
  <c r="W37" i="253" s="1"/>
  <c r="X37" i="253" s="1"/>
  <c r="Y37" i="253" s="1"/>
  <c r="Z37" i="253" s="1"/>
  <c r="AA37" i="253" s="1"/>
  <c r="AB37" i="253" s="1"/>
  <c r="AC37" i="253" s="1"/>
  <c r="N37" i="255"/>
  <c r="O37" i="255" s="1"/>
  <c r="P37" i="255" s="1"/>
  <c r="Q37" i="255" s="1"/>
  <c r="R37" i="255" s="1"/>
  <c r="S37" i="255" s="1"/>
  <c r="T37" i="255" s="1"/>
  <c r="U37" i="255" s="1"/>
  <c r="V37" i="255" s="1"/>
  <c r="W37" i="255" s="1"/>
  <c r="X37" i="255" s="1"/>
  <c r="Y37" i="255" s="1"/>
  <c r="Z37" i="255" s="1"/>
  <c r="AA37" i="255" s="1"/>
  <c r="AB37" i="255" s="1"/>
  <c r="AC37" i="255" s="1"/>
  <c r="M24" i="251"/>
  <c r="N24" i="251"/>
  <c r="O24" i="251" s="1"/>
  <c r="P24" i="251" s="1"/>
  <c r="Q24" i="251" s="1"/>
  <c r="R24" i="251" s="1"/>
  <c r="S24" i="251" s="1"/>
  <c r="T24" i="251" s="1"/>
  <c r="U24" i="251" s="1"/>
  <c r="V24" i="251" s="1"/>
  <c r="W24" i="251" s="1"/>
  <c r="X24" i="251" s="1"/>
  <c r="Y24" i="251" s="1"/>
  <c r="Z24" i="251" s="1"/>
  <c r="AA24" i="251" s="1"/>
  <c r="AB24" i="251" s="1"/>
  <c r="AC24" i="251" s="1"/>
  <c r="M25" i="251"/>
  <c r="I31" i="251"/>
  <c r="I32" i="251" s="1"/>
  <c r="L24" i="251"/>
  <c r="M30" i="251"/>
  <c r="N43" i="231"/>
  <c r="O43" i="231" s="1"/>
  <c r="P43" i="231" s="1"/>
  <c r="Q43" i="231" s="1"/>
  <c r="R43" i="231" s="1"/>
  <c r="S43" i="231" s="1"/>
  <c r="T43" i="231" s="1"/>
  <c r="U43" i="231" s="1"/>
  <c r="V43" i="231" s="1"/>
  <c r="W43" i="231" s="1"/>
  <c r="X43" i="231" s="1"/>
  <c r="Y43" i="231" s="1"/>
  <c r="Z43" i="231" s="1"/>
  <c r="AA43" i="231" s="1"/>
  <c r="AB43" i="231" s="1"/>
  <c r="AC43" i="231" s="1"/>
  <c r="N43" i="253"/>
  <c r="O43" i="253" s="1"/>
  <c r="P43" i="253" s="1"/>
  <c r="Q43" i="253" s="1"/>
  <c r="R43" i="253" s="1"/>
  <c r="S43" i="253" s="1"/>
  <c r="T43" i="253" s="1"/>
  <c r="U43" i="253" s="1"/>
  <c r="V43" i="253" s="1"/>
  <c r="W43" i="253" s="1"/>
  <c r="X43" i="253" s="1"/>
  <c r="Y43" i="253" s="1"/>
  <c r="Z43" i="253" s="1"/>
  <c r="AA43" i="253" s="1"/>
  <c r="AB43" i="253" s="1"/>
  <c r="AC43" i="253" s="1"/>
  <c r="N43" i="255"/>
  <c r="O43" i="255" s="1"/>
  <c r="P43" i="255" s="1"/>
  <c r="Q43" i="255" s="1"/>
  <c r="R43" i="255" s="1"/>
  <c r="S43" i="255" s="1"/>
  <c r="T43" i="255" s="1"/>
  <c r="U43" i="255" s="1"/>
  <c r="V43" i="255" s="1"/>
  <c r="W43" i="255" s="1"/>
  <c r="X43" i="255" s="1"/>
  <c r="Y43" i="255" s="1"/>
  <c r="Z43" i="255" s="1"/>
  <c r="AA43" i="255" s="1"/>
  <c r="AB43" i="255" s="1"/>
  <c r="AC43" i="255" s="1"/>
  <c r="J23" i="255"/>
  <c r="O100" i="191"/>
  <c r="J23" i="253"/>
  <c r="J23" i="231"/>
  <c r="I31" i="255"/>
  <c r="I32" i="255" s="1"/>
  <c r="N30" i="251"/>
  <c r="O30" i="251" s="1"/>
  <c r="P30" i="251" s="1"/>
  <c r="Q30" i="251" s="1"/>
  <c r="R30" i="251" s="1"/>
  <c r="S30" i="251" s="1"/>
  <c r="T30" i="251" s="1"/>
  <c r="U30" i="251" s="1"/>
  <c r="V30" i="251" s="1"/>
  <c r="W30" i="251" s="1"/>
  <c r="X30" i="251" s="1"/>
  <c r="Y30" i="251" s="1"/>
  <c r="Z30" i="251" s="1"/>
  <c r="AA30" i="251" s="1"/>
  <c r="AB30" i="251" s="1"/>
  <c r="AC30" i="251" s="1"/>
  <c r="N36" i="253"/>
  <c r="N36" i="231"/>
  <c r="N36" i="255"/>
  <c r="N110" i="191"/>
  <c r="N111" i="191" s="1"/>
  <c r="N26" i="251"/>
  <c r="O26" i="251" s="1"/>
  <c r="P26" i="251" s="1"/>
  <c r="Q26" i="251" s="1"/>
  <c r="R26" i="251" s="1"/>
  <c r="S26" i="251" s="1"/>
  <c r="T26" i="251" s="1"/>
  <c r="U26" i="251" s="1"/>
  <c r="V26" i="251" s="1"/>
  <c r="W26" i="251" s="1"/>
  <c r="X26" i="251" s="1"/>
  <c r="Y26" i="251" s="1"/>
  <c r="Z26" i="251" s="1"/>
  <c r="AA26" i="251" s="1"/>
  <c r="AB26" i="251" s="1"/>
  <c r="AC26" i="251" s="1"/>
  <c r="N28" i="251"/>
  <c r="O28" i="251" s="1"/>
  <c r="P28" i="251" s="1"/>
  <c r="Q28" i="251" s="1"/>
  <c r="R28" i="251" s="1"/>
  <c r="S28" i="251" s="1"/>
  <c r="T28" i="251" s="1"/>
  <c r="U28" i="251" s="1"/>
  <c r="V28" i="251" s="1"/>
  <c r="W28" i="251" s="1"/>
  <c r="X28" i="251" s="1"/>
  <c r="Y28" i="251" s="1"/>
  <c r="Z28" i="251" s="1"/>
  <c r="AA28" i="251" s="1"/>
  <c r="AB28" i="251" s="1"/>
  <c r="AC28" i="251" s="1"/>
  <c r="J26" i="231"/>
  <c r="J26" i="255"/>
  <c r="J26" i="253"/>
  <c r="N42" i="253"/>
  <c r="O42" i="253" s="1"/>
  <c r="P42" i="253" s="1"/>
  <c r="Q42" i="253" s="1"/>
  <c r="R42" i="253" s="1"/>
  <c r="S42" i="253" s="1"/>
  <c r="T42" i="253" s="1"/>
  <c r="U42" i="253" s="1"/>
  <c r="V42" i="253" s="1"/>
  <c r="W42" i="253" s="1"/>
  <c r="X42" i="253" s="1"/>
  <c r="Y42" i="253" s="1"/>
  <c r="Z42" i="253" s="1"/>
  <c r="AA42" i="253" s="1"/>
  <c r="AB42" i="253" s="1"/>
  <c r="AC42" i="253" s="1"/>
  <c r="N42" i="231"/>
  <c r="O42" i="231" s="1"/>
  <c r="P42" i="231" s="1"/>
  <c r="Q42" i="231" s="1"/>
  <c r="R42" i="231" s="1"/>
  <c r="S42" i="231" s="1"/>
  <c r="T42" i="231" s="1"/>
  <c r="U42" i="231" s="1"/>
  <c r="V42" i="231" s="1"/>
  <c r="W42" i="231" s="1"/>
  <c r="X42" i="231" s="1"/>
  <c r="Y42" i="231" s="1"/>
  <c r="Z42" i="231" s="1"/>
  <c r="AA42" i="231" s="1"/>
  <c r="AB42" i="231" s="1"/>
  <c r="AC42" i="231" s="1"/>
  <c r="N42" i="255"/>
  <c r="O42" i="255" s="1"/>
  <c r="P42" i="255" s="1"/>
  <c r="Q42" i="255" s="1"/>
  <c r="R42" i="255" s="1"/>
  <c r="S42" i="255" s="1"/>
  <c r="T42" i="255" s="1"/>
  <c r="U42" i="255" s="1"/>
  <c r="V42" i="255" s="1"/>
  <c r="W42" i="255" s="1"/>
  <c r="X42" i="255" s="1"/>
  <c r="Y42" i="255" s="1"/>
  <c r="Z42" i="255" s="1"/>
  <c r="AA42" i="255" s="1"/>
  <c r="AB42" i="255" s="1"/>
  <c r="AC42" i="255" s="1"/>
  <c r="J24" i="253"/>
  <c r="J24" i="231"/>
  <c r="J24" i="255"/>
  <c r="J29" i="253"/>
  <c r="J29" i="255"/>
  <c r="J29" i="231"/>
  <c r="M29" i="251"/>
  <c r="N25" i="251"/>
  <c r="O25" i="251" s="1"/>
  <c r="P25" i="251" s="1"/>
  <c r="Q25" i="251" s="1"/>
  <c r="R25" i="251" s="1"/>
  <c r="S25" i="251" s="1"/>
  <c r="T25" i="251" s="1"/>
  <c r="U25" i="251" s="1"/>
  <c r="V25" i="251" s="1"/>
  <c r="W25" i="251" s="1"/>
  <c r="X25" i="251" s="1"/>
  <c r="Y25" i="251" s="1"/>
  <c r="Z25" i="251" s="1"/>
  <c r="AA25" i="251" s="1"/>
  <c r="AB25" i="251" s="1"/>
  <c r="AC25" i="251" s="1"/>
  <c r="O36" i="255" l="1"/>
  <c r="N44" i="255"/>
  <c r="N45" i="255" s="1"/>
  <c r="S77" i="191"/>
  <c r="N23" i="251"/>
  <c r="K28" i="231"/>
  <c r="K28" i="253"/>
  <c r="K28" i="255"/>
  <c r="N31" i="191"/>
  <c r="K24" i="255"/>
  <c r="K24" i="231"/>
  <c r="K24" i="253"/>
  <c r="J31" i="253"/>
  <c r="J32" i="253" s="1"/>
  <c r="P36" i="251"/>
  <c r="O44" i="251"/>
  <c r="O45" i="251" s="1"/>
  <c r="Q77" i="191"/>
  <c r="L23" i="251"/>
  <c r="L31" i="251" s="1"/>
  <c r="L32" i="251" s="1"/>
  <c r="K29" i="253"/>
  <c r="K29" i="255"/>
  <c r="K29" i="231"/>
  <c r="O36" i="231"/>
  <c r="N44" i="231"/>
  <c r="N45" i="231" s="1"/>
  <c r="K30" i="231"/>
  <c r="K30" i="253"/>
  <c r="K30" i="255"/>
  <c r="J31" i="255"/>
  <c r="J32" i="255" s="1"/>
  <c r="Q87" i="191"/>
  <c r="K27" i="231"/>
  <c r="K27" i="253"/>
  <c r="K27" i="255"/>
  <c r="K26" i="255"/>
  <c r="K26" i="231"/>
  <c r="K26" i="253"/>
  <c r="M23" i="251"/>
  <c r="M31" i="251" s="1"/>
  <c r="M32" i="251" s="1"/>
  <c r="R77" i="191"/>
  <c r="K23" i="253"/>
  <c r="P100" i="191"/>
  <c r="K23" i="255"/>
  <c r="K23" i="231"/>
  <c r="K31" i="231" s="1"/>
  <c r="K32" i="231" s="1"/>
  <c r="K25" i="253"/>
  <c r="K25" i="231"/>
  <c r="K25" i="255"/>
  <c r="N44" i="253"/>
  <c r="N45" i="253" s="1"/>
  <c r="O36" i="253"/>
  <c r="J31" i="231"/>
  <c r="J32" i="231" s="1"/>
  <c r="N64" i="191"/>
  <c r="N65" i="191" s="1"/>
  <c r="Q88" i="191" l="1"/>
  <c r="O54" i="191"/>
  <c r="O31" i="191"/>
  <c r="P36" i="253"/>
  <c r="O44" i="253"/>
  <c r="O45" i="253" s="1"/>
  <c r="K31" i="253"/>
  <c r="K32" i="253" s="1"/>
  <c r="O44" i="231"/>
  <c r="O45" i="231" s="1"/>
  <c r="P36" i="231"/>
  <c r="Q36" i="251"/>
  <c r="P44" i="251"/>
  <c r="P45" i="251" s="1"/>
  <c r="S87" i="191"/>
  <c r="S88" i="191" s="1"/>
  <c r="N31" i="251"/>
  <c r="N32" i="251" s="1"/>
  <c r="O23" i="251"/>
  <c r="R87" i="191"/>
  <c r="R88" i="191" s="1"/>
  <c r="K31" i="255"/>
  <c r="K32" i="255" s="1"/>
  <c r="O110" i="191"/>
  <c r="O111" i="191" s="1"/>
  <c r="N41" i="191"/>
  <c r="N42" i="191" s="1"/>
  <c r="P54" i="191"/>
  <c r="P110" i="191"/>
  <c r="P111" i="191" s="1"/>
  <c r="O44" i="255"/>
  <c r="O45" i="255" s="1"/>
  <c r="P36" i="255"/>
  <c r="P64" i="191" l="1"/>
  <c r="P65" i="191" s="1"/>
  <c r="L24" i="253"/>
  <c r="L24" i="255"/>
  <c r="L24" i="231"/>
  <c r="N23" i="255"/>
  <c r="S100" i="191"/>
  <c r="N23" i="253"/>
  <c r="N23" i="231"/>
  <c r="L27" i="255"/>
  <c r="L27" i="253"/>
  <c r="L27" i="231"/>
  <c r="Q44" i="251"/>
  <c r="Q45" i="251" s="1"/>
  <c r="R36" i="251"/>
  <c r="Q110" i="191"/>
  <c r="M24" i="253"/>
  <c r="M24" i="255"/>
  <c r="M24" i="231"/>
  <c r="Q54" i="191"/>
  <c r="Q36" i="231"/>
  <c r="P44" i="231"/>
  <c r="P45" i="231" s="1"/>
  <c r="P44" i="255"/>
  <c r="P45" i="255" s="1"/>
  <c r="Q36" i="255"/>
  <c r="M26" i="255"/>
  <c r="M26" i="253"/>
  <c r="M26" i="231"/>
  <c r="N28" i="231"/>
  <c r="O28" i="231" s="1"/>
  <c r="P28" i="231" s="1"/>
  <c r="Q28" i="231" s="1"/>
  <c r="R28" i="231" s="1"/>
  <c r="S28" i="231" s="1"/>
  <c r="T28" i="231" s="1"/>
  <c r="U28" i="231" s="1"/>
  <c r="V28" i="231" s="1"/>
  <c r="W28" i="231" s="1"/>
  <c r="X28" i="231" s="1"/>
  <c r="Y28" i="231" s="1"/>
  <c r="Z28" i="231" s="1"/>
  <c r="AA28" i="231" s="1"/>
  <c r="AB28" i="231" s="1"/>
  <c r="AC28" i="231" s="1"/>
  <c r="N28" i="253"/>
  <c r="O28" i="253" s="1"/>
  <c r="P28" i="253" s="1"/>
  <c r="Q28" i="253" s="1"/>
  <c r="R28" i="253" s="1"/>
  <c r="S28" i="253" s="1"/>
  <c r="T28" i="253" s="1"/>
  <c r="U28" i="253" s="1"/>
  <c r="V28" i="253" s="1"/>
  <c r="W28" i="253" s="1"/>
  <c r="X28" i="253" s="1"/>
  <c r="Y28" i="253" s="1"/>
  <c r="Z28" i="253" s="1"/>
  <c r="AA28" i="253" s="1"/>
  <c r="AB28" i="253" s="1"/>
  <c r="AC28" i="253" s="1"/>
  <c r="N28" i="255"/>
  <c r="O28" i="255" s="1"/>
  <c r="P28" i="255" s="1"/>
  <c r="Q28" i="255" s="1"/>
  <c r="R28" i="255" s="1"/>
  <c r="S28" i="255" s="1"/>
  <c r="T28" i="255" s="1"/>
  <c r="U28" i="255" s="1"/>
  <c r="V28" i="255" s="1"/>
  <c r="W28" i="255" s="1"/>
  <c r="X28" i="255" s="1"/>
  <c r="Y28" i="255" s="1"/>
  <c r="Z28" i="255" s="1"/>
  <c r="AA28" i="255" s="1"/>
  <c r="AB28" i="255" s="1"/>
  <c r="AC28" i="255" s="1"/>
  <c r="N24" i="255"/>
  <c r="O24" i="255" s="1"/>
  <c r="P24" i="255" s="1"/>
  <c r="Q24" i="255" s="1"/>
  <c r="R24" i="255" s="1"/>
  <c r="S24" i="255" s="1"/>
  <c r="T24" i="255" s="1"/>
  <c r="U24" i="255" s="1"/>
  <c r="V24" i="255" s="1"/>
  <c r="W24" i="255" s="1"/>
  <c r="X24" i="255" s="1"/>
  <c r="Y24" i="255" s="1"/>
  <c r="Z24" i="255" s="1"/>
  <c r="AA24" i="255" s="1"/>
  <c r="AB24" i="255" s="1"/>
  <c r="AC24" i="255" s="1"/>
  <c r="N24" i="231"/>
  <c r="O24" i="231" s="1"/>
  <c r="P24" i="231" s="1"/>
  <c r="Q24" i="231" s="1"/>
  <c r="R24" i="231" s="1"/>
  <c r="S24" i="231" s="1"/>
  <c r="T24" i="231" s="1"/>
  <c r="U24" i="231" s="1"/>
  <c r="V24" i="231" s="1"/>
  <c r="W24" i="231" s="1"/>
  <c r="X24" i="231" s="1"/>
  <c r="Y24" i="231" s="1"/>
  <c r="Z24" i="231" s="1"/>
  <c r="AA24" i="231" s="1"/>
  <c r="AB24" i="231" s="1"/>
  <c r="AC24" i="231" s="1"/>
  <c r="N24" i="253"/>
  <c r="O24" i="253" s="1"/>
  <c r="P24" i="253" s="1"/>
  <c r="Q24" i="253" s="1"/>
  <c r="R24" i="253" s="1"/>
  <c r="S24" i="253" s="1"/>
  <c r="T24" i="253" s="1"/>
  <c r="U24" i="253" s="1"/>
  <c r="V24" i="253" s="1"/>
  <c r="W24" i="253" s="1"/>
  <c r="X24" i="253" s="1"/>
  <c r="Y24" i="253" s="1"/>
  <c r="Z24" i="253" s="1"/>
  <c r="AA24" i="253" s="1"/>
  <c r="AB24" i="253" s="1"/>
  <c r="AC24" i="253" s="1"/>
  <c r="N29" i="253"/>
  <c r="O29" i="253" s="1"/>
  <c r="P29" i="253" s="1"/>
  <c r="Q29" i="253" s="1"/>
  <c r="R29" i="253" s="1"/>
  <c r="S29" i="253" s="1"/>
  <c r="T29" i="253" s="1"/>
  <c r="U29" i="253" s="1"/>
  <c r="V29" i="253" s="1"/>
  <c r="W29" i="253" s="1"/>
  <c r="X29" i="253" s="1"/>
  <c r="Y29" i="253" s="1"/>
  <c r="Z29" i="253" s="1"/>
  <c r="AA29" i="253" s="1"/>
  <c r="AB29" i="253" s="1"/>
  <c r="AC29" i="253" s="1"/>
  <c r="N29" i="255"/>
  <c r="O29" i="255" s="1"/>
  <c r="P29" i="255" s="1"/>
  <c r="Q29" i="255" s="1"/>
  <c r="R29" i="255" s="1"/>
  <c r="S29" i="255" s="1"/>
  <c r="T29" i="255" s="1"/>
  <c r="U29" i="255" s="1"/>
  <c r="V29" i="255" s="1"/>
  <c r="W29" i="255" s="1"/>
  <c r="X29" i="255" s="1"/>
  <c r="Y29" i="255" s="1"/>
  <c r="Z29" i="255" s="1"/>
  <c r="AA29" i="255" s="1"/>
  <c r="AB29" i="255" s="1"/>
  <c r="AC29" i="255" s="1"/>
  <c r="N29" i="231"/>
  <c r="O29" i="231" s="1"/>
  <c r="P29" i="231" s="1"/>
  <c r="Q29" i="231" s="1"/>
  <c r="R29" i="231" s="1"/>
  <c r="S29" i="231" s="1"/>
  <c r="T29" i="231" s="1"/>
  <c r="U29" i="231" s="1"/>
  <c r="V29" i="231" s="1"/>
  <c r="W29" i="231" s="1"/>
  <c r="X29" i="231" s="1"/>
  <c r="Y29" i="231" s="1"/>
  <c r="Z29" i="231" s="1"/>
  <c r="AA29" i="231" s="1"/>
  <c r="AB29" i="231" s="1"/>
  <c r="AC29" i="231" s="1"/>
  <c r="O31" i="251"/>
  <c r="O32" i="251" s="1"/>
  <c r="P23" i="251"/>
  <c r="N27" i="255"/>
  <c r="O27" i="255" s="1"/>
  <c r="P27" i="255" s="1"/>
  <c r="Q27" i="255" s="1"/>
  <c r="R27" i="255" s="1"/>
  <c r="S27" i="255" s="1"/>
  <c r="T27" i="255" s="1"/>
  <c r="U27" i="255" s="1"/>
  <c r="V27" i="255" s="1"/>
  <c r="W27" i="255" s="1"/>
  <c r="X27" i="255" s="1"/>
  <c r="Y27" i="255" s="1"/>
  <c r="Z27" i="255" s="1"/>
  <c r="AA27" i="255" s="1"/>
  <c r="AB27" i="255" s="1"/>
  <c r="AC27" i="255" s="1"/>
  <c r="N27" i="231"/>
  <c r="O27" i="231" s="1"/>
  <c r="P27" i="231" s="1"/>
  <c r="Q27" i="231" s="1"/>
  <c r="R27" i="231" s="1"/>
  <c r="S27" i="231" s="1"/>
  <c r="T27" i="231" s="1"/>
  <c r="U27" i="231" s="1"/>
  <c r="V27" i="231" s="1"/>
  <c r="W27" i="231" s="1"/>
  <c r="X27" i="231" s="1"/>
  <c r="Y27" i="231" s="1"/>
  <c r="Z27" i="231" s="1"/>
  <c r="AA27" i="231" s="1"/>
  <c r="AB27" i="231" s="1"/>
  <c r="AC27" i="231" s="1"/>
  <c r="N27" i="253"/>
  <c r="O27" i="253" s="1"/>
  <c r="P27" i="253" s="1"/>
  <c r="Q27" i="253" s="1"/>
  <c r="R27" i="253" s="1"/>
  <c r="S27" i="253" s="1"/>
  <c r="T27" i="253" s="1"/>
  <c r="U27" i="253" s="1"/>
  <c r="V27" i="253" s="1"/>
  <c r="W27" i="253" s="1"/>
  <c r="X27" i="253" s="1"/>
  <c r="Y27" i="253" s="1"/>
  <c r="Z27" i="253" s="1"/>
  <c r="AA27" i="253" s="1"/>
  <c r="AB27" i="253" s="1"/>
  <c r="AC27" i="253" s="1"/>
  <c r="M25" i="253"/>
  <c r="M25" i="255"/>
  <c r="M25" i="231"/>
  <c r="L30" i="253"/>
  <c r="L30" i="231"/>
  <c r="L30" i="255"/>
  <c r="L23" i="255"/>
  <c r="L23" i="253"/>
  <c r="Q100" i="191"/>
  <c r="Q111" i="191" s="1"/>
  <c r="L23" i="231"/>
  <c r="M30" i="253"/>
  <c r="M30" i="255"/>
  <c r="M30" i="231"/>
  <c r="M23" i="231"/>
  <c r="M23" i="253"/>
  <c r="M23" i="255"/>
  <c r="R100" i="191"/>
  <c r="N30" i="255"/>
  <c r="O30" i="255" s="1"/>
  <c r="P30" i="255" s="1"/>
  <c r="Q30" i="255" s="1"/>
  <c r="R30" i="255" s="1"/>
  <c r="S30" i="255" s="1"/>
  <c r="T30" i="255" s="1"/>
  <c r="U30" i="255" s="1"/>
  <c r="V30" i="255" s="1"/>
  <c r="W30" i="255" s="1"/>
  <c r="X30" i="255" s="1"/>
  <c r="Y30" i="255" s="1"/>
  <c r="Z30" i="255" s="1"/>
  <c r="AA30" i="255" s="1"/>
  <c r="AB30" i="255" s="1"/>
  <c r="AC30" i="255" s="1"/>
  <c r="N30" i="253"/>
  <c r="O30" i="253" s="1"/>
  <c r="P30" i="253" s="1"/>
  <c r="Q30" i="253" s="1"/>
  <c r="R30" i="253" s="1"/>
  <c r="S30" i="253" s="1"/>
  <c r="T30" i="253" s="1"/>
  <c r="U30" i="253" s="1"/>
  <c r="V30" i="253" s="1"/>
  <c r="W30" i="253" s="1"/>
  <c r="X30" i="253" s="1"/>
  <c r="Y30" i="253" s="1"/>
  <c r="Z30" i="253" s="1"/>
  <c r="AA30" i="253" s="1"/>
  <c r="AB30" i="253" s="1"/>
  <c r="AC30" i="253" s="1"/>
  <c r="N30" i="231"/>
  <c r="O30" i="231" s="1"/>
  <c r="P30" i="231" s="1"/>
  <c r="Q30" i="231" s="1"/>
  <c r="R30" i="231" s="1"/>
  <c r="S30" i="231" s="1"/>
  <c r="T30" i="231" s="1"/>
  <c r="U30" i="231" s="1"/>
  <c r="V30" i="231" s="1"/>
  <c r="W30" i="231" s="1"/>
  <c r="X30" i="231" s="1"/>
  <c r="Y30" i="231" s="1"/>
  <c r="Z30" i="231" s="1"/>
  <c r="AA30" i="231" s="1"/>
  <c r="AB30" i="231" s="1"/>
  <c r="AC30" i="231" s="1"/>
  <c r="Q36" i="253"/>
  <c r="P44" i="253"/>
  <c r="P45" i="253" s="1"/>
  <c r="O41" i="191"/>
  <c r="O42" i="191" s="1"/>
  <c r="O64" i="191"/>
  <c r="O65" i="191" s="1"/>
  <c r="N25" i="255"/>
  <c r="O25" i="255" s="1"/>
  <c r="P25" i="255" s="1"/>
  <c r="Q25" i="255" s="1"/>
  <c r="R25" i="255" s="1"/>
  <c r="S25" i="255" s="1"/>
  <c r="T25" i="255" s="1"/>
  <c r="U25" i="255" s="1"/>
  <c r="V25" i="255" s="1"/>
  <c r="W25" i="255" s="1"/>
  <c r="X25" i="255" s="1"/>
  <c r="Y25" i="255" s="1"/>
  <c r="Z25" i="255" s="1"/>
  <c r="AA25" i="255" s="1"/>
  <c r="AB25" i="255" s="1"/>
  <c r="AC25" i="255" s="1"/>
  <c r="N25" i="253"/>
  <c r="O25" i="253" s="1"/>
  <c r="P25" i="253" s="1"/>
  <c r="Q25" i="253" s="1"/>
  <c r="R25" i="253" s="1"/>
  <c r="S25" i="253" s="1"/>
  <c r="T25" i="253" s="1"/>
  <c r="U25" i="253" s="1"/>
  <c r="V25" i="253" s="1"/>
  <c r="W25" i="253" s="1"/>
  <c r="X25" i="253" s="1"/>
  <c r="Y25" i="253" s="1"/>
  <c r="Z25" i="253" s="1"/>
  <c r="AA25" i="253" s="1"/>
  <c r="AB25" i="253" s="1"/>
  <c r="AC25" i="253" s="1"/>
  <c r="N25" i="231"/>
  <c r="O25" i="231" s="1"/>
  <c r="P25" i="231" s="1"/>
  <c r="Q25" i="231" s="1"/>
  <c r="R25" i="231" s="1"/>
  <c r="S25" i="231" s="1"/>
  <c r="T25" i="231" s="1"/>
  <c r="U25" i="231" s="1"/>
  <c r="V25" i="231" s="1"/>
  <c r="W25" i="231" s="1"/>
  <c r="X25" i="231" s="1"/>
  <c r="Y25" i="231" s="1"/>
  <c r="Z25" i="231" s="1"/>
  <c r="AA25" i="231" s="1"/>
  <c r="AB25" i="231" s="1"/>
  <c r="AC25" i="231" s="1"/>
  <c r="N26" i="231"/>
  <c r="O26" i="231" s="1"/>
  <c r="P26" i="231" s="1"/>
  <c r="Q26" i="231" s="1"/>
  <c r="R26" i="231" s="1"/>
  <c r="S26" i="231" s="1"/>
  <c r="T26" i="231" s="1"/>
  <c r="U26" i="231" s="1"/>
  <c r="V26" i="231" s="1"/>
  <c r="W26" i="231" s="1"/>
  <c r="X26" i="231" s="1"/>
  <c r="Y26" i="231" s="1"/>
  <c r="Z26" i="231" s="1"/>
  <c r="AA26" i="231" s="1"/>
  <c r="AB26" i="231" s="1"/>
  <c r="AC26" i="231" s="1"/>
  <c r="N26" i="255"/>
  <c r="O26" i="255" s="1"/>
  <c r="P26" i="255" s="1"/>
  <c r="Q26" i="255" s="1"/>
  <c r="R26" i="255" s="1"/>
  <c r="S26" i="255" s="1"/>
  <c r="T26" i="255" s="1"/>
  <c r="U26" i="255" s="1"/>
  <c r="V26" i="255" s="1"/>
  <c r="W26" i="255" s="1"/>
  <c r="X26" i="255" s="1"/>
  <c r="Y26" i="255" s="1"/>
  <c r="Z26" i="255" s="1"/>
  <c r="AA26" i="255" s="1"/>
  <c r="AB26" i="255" s="1"/>
  <c r="AC26" i="255" s="1"/>
  <c r="N26" i="253"/>
  <c r="O26" i="253" s="1"/>
  <c r="P26" i="253" s="1"/>
  <c r="Q26" i="253" s="1"/>
  <c r="R26" i="253" s="1"/>
  <c r="S26" i="253" s="1"/>
  <c r="T26" i="253" s="1"/>
  <c r="U26" i="253" s="1"/>
  <c r="V26" i="253" s="1"/>
  <c r="W26" i="253" s="1"/>
  <c r="X26" i="253" s="1"/>
  <c r="Y26" i="253" s="1"/>
  <c r="Z26" i="253" s="1"/>
  <c r="AA26" i="253" s="1"/>
  <c r="AB26" i="253" s="1"/>
  <c r="AC26" i="253" s="1"/>
  <c r="L29" i="253"/>
  <c r="L29" i="255"/>
  <c r="L29" i="231"/>
  <c r="M27" i="231"/>
  <c r="M27" i="253"/>
  <c r="M27" i="255"/>
  <c r="L28" i="255"/>
  <c r="L28" i="253"/>
  <c r="L28" i="231"/>
  <c r="L25" i="231"/>
  <c r="L25" i="253"/>
  <c r="L25" i="255"/>
  <c r="M28" i="255"/>
  <c r="M28" i="253"/>
  <c r="M28" i="231"/>
  <c r="L26" i="253"/>
  <c r="L26" i="255"/>
  <c r="L26" i="231"/>
  <c r="M29" i="255"/>
  <c r="M29" i="253"/>
  <c r="M29" i="231"/>
  <c r="M31" i="231" l="1"/>
  <c r="M32" i="231" s="1"/>
  <c r="L31" i="231"/>
  <c r="L32" i="231" s="1"/>
  <c r="P41" i="191"/>
  <c r="Q44" i="255"/>
  <c r="Q45" i="255" s="1"/>
  <c r="R36" i="255"/>
  <c r="R36" i="253"/>
  <c r="Q44" i="253"/>
  <c r="Q45" i="253" s="1"/>
  <c r="M31" i="253"/>
  <c r="M32" i="253" s="1"/>
  <c r="L31" i="255"/>
  <c r="L32" i="255" s="1"/>
  <c r="Q23" i="251"/>
  <c r="P31" i="251"/>
  <c r="P32" i="251" s="1"/>
  <c r="S110" i="191"/>
  <c r="S111" i="191" s="1"/>
  <c r="N31" i="253"/>
  <c r="N32" i="253" s="1"/>
  <c r="O23" i="253"/>
  <c r="R44" i="251"/>
  <c r="R45" i="251" s="1"/>
  <c r="S36" i="251"/>
  <c r="Q64" i="191"/>
  <c r="Q65" i="191" s="1"/>
  <c r="O23" i="255"/>
  <c r="N31" i="255"/>
  <c r="N32" i="255" s="1"/>
  <c r="P31" i="191"/>
  <c r="P42" i="191" s="1"/>
  <c r="R54" i="191"/>
  <c r="Q44" i="231"/>
  <c r="Q45" i="231" s="1"/>
  <c r="R36" i="231"/>
  <c r="M31" i="255"/>
  <c r="M32" i="255" s="1"/>
  <c r="L31" i="253"/>
  <c r="L32" i="253" s="1"/>
  <c r="R110" i="191"/>
  <c r="R111" i="191" s="1"/>
  <c r="O23" i="231"/>
  <c r="N31" i="231"/>
  <c r="N32" i="231" s="1"/>
  <c r="S36" i="255" l="1"/>
  <c r="R44" i="255"/>
  <c r="R45" i="255" s="1"/>
  <c r="Q41" i="191"/>
  <c r="Q31" i="191"/>
  <c r="R64" i="191"/>
  <c r="R65" i="191" s="1"/>
  <c r="S36" i="253"/>
  <c r="R44" i="253"/>
  <c r="R45" i="253" s="1"/>
  <c r="Q31" i="251"/>
  <c r="Q32" i="251" s="1"/>
  <c r="R23" i="251"/>
  <c r="S36" i="231"/>
  <c r="R44" i="231"/>
  <c r="R45" i="231" s="1"/>
  <c r="O31" i="255"/>
  <c r="O32" i="255" s="1"/>
  <c r="P23" i="255"/>
  <c r="O31" i="253"/>
  <c r="O32" i="253" s="1"/>
  <c r="P23" i="253"/>
  <c r="R31" i="191"/>
  <c r="S44" i="251"/>
  <c r="S45" i="251" s="1"/>
  <c r="T36" i="251"/>
  <c r="S54" i="191"/>
  <c r="P23" i="231"/>
  <c r="O31" i="231"/>
  <c r="O32" i="231" s="1"/>
  <c r="Q42" i="191" l="1"/>
  <c r="S44" i="231"/>
  <c r="S45" i="231" s="1"/>
  <c r="T36" i="231"/>
  <c r="S44" i="255"/>
  <c r="S45" i="255" s="1"/>
  <c r="T36" i="255"/>
  <c r="R41" i="191"/>
  <c r="R42" i="191" s="1"/>
  <c r="S31" i="191"/>
  <c r="Q23" i="253"/>
  <c r="P31" i="253"/>
  <c r="P32" i="253" s="1"/>
  <c r="T36" i="253"/>
  <c r="S44" i="253"/>
  <c r="S45" i="253" s="1"/>
  <c r="Q23" i="231"/>
  <c r="P31" i="231"/>
  <c r="P32" i="231" s="1"/>
  <c r="T44" i="251"/>
  <c r="T45" i="251" s="1"/>
  <c r="U36" i="251"/>
  <c r="Q23" i="255"/>
  <c r="P31" i="255"/>
  <c r="P32" i="255" s="1"/>
  <c r="R31" i="251"/>
  <c r="R32" i="251" s="1"/>
  <c r="S23" i="251"/>
  <c r="S64" i="191"/>
  <c r="S65" i="191" s="1"/>
  <c r="V36" i="251" l="1"/>
  <c r="U44" i="251"/>
  <c r="U45" i="251" s="1"/>
  <c r="U36" i="255"/>
  <c r="T44" i="255"/>
  <c r="T45" i="255" s="1"/>
  <c r="Q31" i="253"/>
  <c r="Q32" i="253" s="1"/>
  <c r="R23" i="253"/>
  <c r="T44" i="231"/>
  <c r="T45" i="231" s="1"/>
  <c r="U36" i="231"/>
  <c r="S41" i="191"/>
  <c r="S42" i="191" s="1"/>
  <c r="S31" i="251"/>
  <c r="S32" i="251" s="1"/>
  <c r="T23" i="251"/>
  <c r="R23" i="255"/>
  <c r="Q31" i="255"/>
  <c r="Q32" i="255" s="1"/>
  <c r="Q31" i="231"/>
  <c r="Q32" i="231" s="1"/>
  <c r="R23" i="231"/>
  <c r="U36" i="253"/>
  <c r="T44" i="253"/>
  <c r="T45" i="253" s="1"/>
  <c r="U44" i="255" l="1"/>
  <c r="U45" i="255" s="1"/>
  <c r="V36" i="255"/>
  <c r="S23" i="231"/>
  <c r="R31" i="231"/>
  <c r="R32" i="231" s="1"/>
  <c r="T31" i="251"/>
  <c r="T32" i="251" s="1"/>
  <c r="U23" i="251"/>
  <c r="V36" i="231"/>
  <c r="U44" i="231"/>
  <c r="U45" i="231" s="1"/>
  <c r="S23" i="253"/>
  <c r="R31" i="253"/>
  <c r="R32" i="253" s="1"/>
  <c r="U44" i="253"/>
  <c r="U45" i="253" s="1"/>
  <c r="V36" i="253"/>
  <c r="S23" i="255"/>
  <c r="R31" i="255"/>
  <c r="R32" i="255" s="1"/>
  <c r="W36" i="251"/>
  <c r="V44" i="251"/>
  <c r="V45" i="251" s="1"/>
  <c r="X36" i="251" l="1"/>
  <c r="W44" i="251"/>
  <c r="W45" i="251" s="1"/>
  <c r="S31" i="231"/>
  <c r="S32" i="231" s="1"/>
  <c r="T23" i="231"/>
  <c r="W36" i="253"/>
  <c r="V44" i="253"/>
  <c r="V45" i="253" s="1"/>
  <c r="W36" i="231"/>
  <c r="V44" i="231"/>
  <c r="V45" i="231" s="1"/>
  <c r="V23" i="251"/>
  <c r="U31" i="251"/>
  <c r="U32" i="251" s="1"/>
  <c r="W36" i="255"/>
  <c r="V44" i="255"/>
  <c r="V45" i="255" s="1"/>
  <c r="T23" i="255"/>
  <c r="S31" i="255"/>
  <c r="S32" i="255" s="1"/>
  <c r="S31" i="253"/>
  <c r="S32" i="253" s="1"/>
  <c r="T23" i="253"/>
  <c r="X36" i="231" l="1"/>
  <c r="W44" i="231"/>
  <c r="W45" i="231" s="1"/>
  <c r="U23" i="253"/>
  <c r="T31" i="253"/>
  <c r="T32" i="253" s="1"/>
  <c r="U23" i="231"/>
  <c r="T31" i="231"/>
  <c r="T32" i="231" s="1"/>
  <c r="X36" i="255"/>
  <c r="W44" i="255"/>
  <c r="W45" i="255" s="1"/>
  <c r="T31" i="255"/>
  <c r="T32" i="255" s="1"/>
  <c r="U23" i="255"/>
  <c r="V31" i="251"/>
  <c r="V32" i="251" s="1"/>
  <c r="W23" i="251"/>
  <c r="W44" i="253"/>
  <c r="W45" i="253" s="1"/>
  <c r="X36" i="253"/>
  <c r="Y36" i="251"/>
  <c r="X44" i="251"/>
  <c r="X45" i="251" s="1"/>
  <c r="Z36" i="251" l="1"/>
  <c r="Y44" i="251"/>
  <c r="Y45" i="251" s="1"/>
  <c r="U31" i="253"/>
  <c r="U32" i="253" s="1"/>
  <c r="V23" i="253"/>
  <c r="X23" i="251"/>
  <c r="W31" i="251"/>
  <c r="W32" i="251" s="1"/>
  <c r="Y36" i="253"/>
  <c r="X44" i="253"/>
  <c r="X45" i="253" s="1"/>
  <c r="V23" i="255"/>
  <c r="U31" i="255"/>
  <c r="U32" i="255" s="1"/>
  <c r="X44" i="255"/>
  <c r="X45" i="255" s="1"/>
  <c r="Y36" i="255"/>
  <c r="U31" i="231"/>
  <c r="U32" i="231" s="1"/>
  <c r="V23" i="231"/>
  <c r="X44" i="231"/>
  <c r="X45" i="231" s="1"/>
  <c r="Y36" i="231"/>
  <c r="Y44" i="231" l="1"/>
  <c r="Y45" i="231" s="1"/>
  <c r="Z36" i="231"/>
  <c r="Z36" i="255"/>
  <c r="Y44" i="255"/>
  <c r="Y45" i="255" s="1"/>
  <c r="W23" i="253"/>
  <c r="V31" i="253"/>
  <c r="V32" i="253" s="1"/>
  <c r="Z36" i="253"/>
  <c r="Y44" i="253"/>
  <c r="Y45" i="253" s="1"/>
  <c r="W23" i="231"/>
  <c r="V31" i="231"/>
  <c r="V32" i="231" s="1"/>
  <c r="V31" i="255"/>
  <c r="V32" i="255" s="1"/>
  <c r="W23" i="255"/>
  <c r="X31" i="251"/>
  <c r="X32" i="251" s="1"/>
  <c r="Y23" i="251"/>
  <c r="Z44" i="251"/>
  <c r="Z45" i="251" s="1"/>
  <c r="AA36" i="251"/>
  <c r="AB36" i="251" l="1"/>
  <c r="AA44" i="251"/>
  <c r="AA45" i="251" s="1"/>
  <c r="W31" i="255"/>
  <c r="W32" i="255" s="1"/>
  <c r="X23" i="255"/>
  <c r="Z44" i="253"/>
  <c r="Z45" i="253" s="1"/>
  <c r="AA36" i="253"/>
  <c r="Y31" i="251"/>
  <c r="Y32" i="251" s="1"/>
  <c r="Z23" i="251"/>
  <c r="AA36" i="231"/>
  <c r="Z44" i="231"/>
  <c r="Z45" i="231" s="1"/>
  <c r="AA36" i="255"/>
  <c r="Z44" i="255"/>
  <c r="Z45" i="255" s="1"/>
  <c r="X23" i="231"/>
  <c r="W31" i="231"/>
  <c r="W32" i="231" s="1"/>
  <c r="X23" i="253"/>
  <c r="W31" i="253"/>
  <c r="W32" i="253" s="1"/>
  <c r="Y23" i="253" l="1"/>
  <c r="X31" i="253"/>
  <c r="X32" i="253" s="1"/>
  <c r="Z31" i="251"/>
  <c r="Z32" i="251" s="1"/>
  <c r="AA23" i="251"/>
  <c r="Y23" i="255"/>
  <c r="X31" i="255"/>
  <c r="X32" i="255" s="1"/>
  <c r="AB36" i="255"/>
  <c r="AA44" i="255"/>
  <c r="AA45" i="255" s="1"/>
  <c r="AA44" i="253"/>
  <c r="AA45" i="253" s="1"/>
  <c r="AB36" i="253"/>
  <c r="X31" i="231"/>
  <c r="X32" i="231" s="1"/>
  <c r="Y23" i="231"/>
  <c r="AB36" i="231"/>
  <c r="AA44" i="231"/>
  <c r="AA45" i="231" s="1"/>
  <c r="AC36" i="251"/>
  <c r="AC44" i="251" s="1"/>
  <c r="AC45" i="251" s="1"/>
  <c r="AB44" i="251"/>
  <c r="AB45" i="251" s="1"/>
  <c r="Z23" i="231" l="1"/>
  <c r="Y31" i="231"/>
  <c r="Y32" i="231" s="1"/>
  <c r="AA31" i="251"/>
  <c r="AA32" i="251" s="1"/>
  <c r="AB23" i="251"/>
  <c r="AB44" i="253"/>
  <c r="AB45" i="253" s="1"/>
  <c r="AC36" i="253"/>
  <c r="AC44" i="253" s="1"/>
  <c r="AC45" i="253" s="1"/>
  <c r="AC36" i="255"/>
  <c r="AC44" i="255" s="1"/>
  <c r="AC45" i="255" s="1"/>
  <c r="AB44" i="255"/>
  <c r="AB45" i="255" s="1"/>
  <c r="AC36" i="231"/>
  <c r="AC44" i="231" s="1"/>
  <c r="AC45" i="231" s="1"/>
  <c r="AB44" i="231"/>
  <c r="AB45" i="231" s="1"/>
  <c r="Y31" i="255"/>
  <c r="Y32" i="255" s="1"/>
  <c r="Z23" i="255"/>
  <c r="Y31" i="253"/>
  <c r="Y32" i="253" s="1"/>
  <c r="Z23" i="253"/>
  <c r="Z31" i="253" l="1"/>
  <c r="Z32" i="253" s="1"/>
  <c r="AA23" i="253"/>
  <c r="AA23" i="255"/>
  <c r="Z31" i="255"/>
  <c r="Z32" i="255" s="1"/>
  <c r="AB31" i="251"/>
  <c r="AB32" i="251" s="1"/>
  <c r="AC23" i="251"/>
  <c r="AC31" i="251" s="1"/>
  <c r="AC32" i="251" s="1"/>
  <c r="Z31" i="231"/>
  <c r="Z32" i="231" s="1"/>
  <c r="AA23" i="231"/>
  <c r="AB23" i="255" l="1"/>
  <c r="AA31" i="255"/>
  <c r="AA32" i="255" s="1"/>
  <c r="AB23" i="231"/>
  <c r="AA31" i="231"/>
  <c r="AA32" i="231" s="1"/>
  <c r="AB23" i="253"/>
  <c r="AA31" i="253"/>
  <c r="AA32" i="253" s="1"/>
  <c r="AC23" i="231" l="1"/>
  <c r="AC31" i="231" s="1"/>
  <c r="AC32" i="231" s="1"/>
  <c r="AB31" i="231"/>
  <c r="AB32" i="231" s="1"/>
  <c r="AB31" i="253"/>
  <c r="AB32" i="253" s="1"/>
  <c r="AC23" i="253"/>
  <c r="AC31" i="253" s="1"/>
  <c r="AC32" i="253" s="1"/>
  <c r="AC23" i="255"/>
  <c r="AC31" i="255" s="1"/>
  <c r="AC32" i="255" s="1"/>
  <c r="AB31" i="255"/>
  <c r="AB32" i="255" s="1"/>
</calcChain>
</file>

<file path=xl/comments1.xml><?xml version="1.0" encoding="utf-8"?>
<comments xmlns="http://schemas.openxmlformats.org/spreadsheetml/2006/main">
  <authors>
    <author>Hogan, Susan</author>
  </authors>
  <commentList>
    <comment ref="I66" author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 ref="K66" authorId="0">
      <text>
        <r>
          <rPr>
            <b/>
            <sz val="9"/>
            <color rgb="FF000000"/>
            <rFont val="Tahoma"/>
            <family val="2"/>
          </rPr>
          <t>Hogan, Susan:</t>
        </r>
        <r>
          <rPr>
            <sz val="9"/>
            <color rgb="FF000000"/>
            <rFont val="Tahoma"/>
            <family val="2"/>
          </rPr>
          <t xml:space="preserve">
This is the last year in the CRCP. The years count backward from FRCP_y1.
</t>
        </r>
      </text>
    </comment>
  </commentList>
</comments>
</file>

<file path=xl/comments10.xml><?xml version="1.0" encoding="utf-8"?>
<comments xmlns="http://schemas.openxmlformats.org/spreadsheetml/2006/main">
  <authors>
    <author>Nick Cimdins</author>
  </authors>
  <commentList>
    <comment ref="G24" authorId="0">
      <text>
        <r>
          <rPr>
            <b/>
            <sz val="9"/>
            <color indexed="81"/>
            <rFont val="Tahoma"/>
            <family val="2"/>
          </rPr>
          <t>Nick Cimdins:</t>
        </r>
        <r>
          <rPr>
            <sz val="9"/>
            <color indexed="81"/>
            <rFont val="Tahoma"/>
            <family val="2"/>
          </rPr>
          <t xml:space="preserve">
580 is the potential connection figure for Huntly</t>
        </r>
      </text>
    </comment>
  </commentList>
</comments>
</file>

<file path=xl/comments2.xml><?xml version="1.0" encoding="utf-8"?>
<comments xmlns="http://schemas.openxmlformats.org/spreadsheetml/2006/main">
  <authors>
    <author>Seymour, Jonathan</author>
  </authors>
  <commentList>
    <comment ref="B15" authorId="0">
      <text>
        <r>
          <rPr>
            <sz val="9"/>
            <color indexed="81"/>
            <rFont val="Tahoma"/>
            <family val="2"/>
          </rPr>
          <t>Amended asset classes to match PTRM</t>
        </r>
      </text>
    </comment>
  </commentList>
</comments>
</file>

<file path=xl/comments3.xml><?xml version="1.0" encoding="utf-8"?>
<comments xmlns="http://schemas.openxmlformats.org/spreadsheetml/2006/main">
  <authors>
    <author>Seymour, Jonathan</author>
  </authors>
  <commentList>
    <comment ref="B15" authorId="0">
      <text>
        <r>
          <rPr>
            <sz val="9"/>
            <color indexed="81"/>
            <rFont val="Tahoma"/>
            <family val="2"/>
          </rPr>
          <t>Amended asset classes to match PTRM</t>
        </r>
      </text>
    </comment>
  </commentList>
</comments>
</file>

<file path=xl/comments4.xml><?xml version="1.0" encoding="utf-8"?>
<comments xmlns="http://schemas.openxmlformats.org/spreadsheetml/2006/main">
  <authors>
    <author>Seymour, Jonathan</author>
  </authors>
  <commentList>
    <comment ref="C20" authorId="0">
      <text>
        <r>
          <rPr>
            <sz val="9"/>
            <color indexed="81"/>
            <rFont val="Tahoma"/>
            <family val="2"/>
          </rPr>
          <t>Fixed errors in formula to include all categories.</t>
        </r>
      </text>
    </comment>
    <comment ref="C29" authorId="0">
      <text>
        <r>
          <rPr>
            <sz val="9"/>
            <color indexed="81"/>
            <rFont val="Tahoma"/>
            <family val="2"/>
          </rPr>
          <t>Changed to formula instead of separate input.</t>
        </r>
      </text>
    </comment>
    <comment ref="B32" authorId="0">
      <text>
        <r>
          <rPr>
            <sz val="9"/>
            <color indexed="81"/>
            <rFont val="Tahoma"/>
            <family val="2"/>
          </rPr>
          <t>Amended asset classes to match PTRM</t>
        </r>
      </text>
    </comment>
  </commentList>
</comments>
</file>

<file path=xl/comments5.xml><?xml version="1.0" encoding="utf-8"?>
<comments xmlns="http://schemas.openxmlformats.org/spreadsheetml/2006/main">
  <authors>
    <author>Paloni, Sarah</author>
  </authors>
  <commentList>
    <comment ref="B14" authorId="0">
      <text>
        <r>
          <rPr>
            <b/>
            <sz val="9"/>
            <color indexed="81"/>
            <rFont val="Tahoma"/>
            <family val="2"/>
          </rPr>
          <t xml:space="preserve">AER:
</t>
        </r>
        <r>
          <rPr>
            <sz val="9"/>
            <color indexed="81"/>
            <rFont val="Tahoma"/>
            <family val="2"/>
          </rPr>
          <t>For our draft decision, the placeholder equity averaging period can be determined as follows: 
•  proposed by the service provider in its initial regulatory proposal, and agreed by the AER; or 
•  if the AER does not agree to the averaging period proposed by a service provider or if no averaging period has been proposed by a service provider, the averaging period would be determined by the AER in accordance with the Rate of Return Guideline.  
For our final decision, the equity averaging period can be determined as follows:
•  proposed by the service provider in the Framework and Approach process or in its initial regulatory proposal, and agreed by the AER; or
• if the AER does not agree to the averaging period proposed by a service provider or if no averaging period has been proposed by a service provider, the averaging period would be determined by the AER in accordance with the Rate of Return Guideline, and notified to the service provider within a reasonable time prior to the commencement of the regulatory control period.</t>
        </r>
        <r>
          <rPr>
            <b/>
            <sz val="9"/>
            <color indexed="81"/>
            <rFont val="Tahoma"/>
            <family val="2"/>
          </rPr>
          <t xml:space="preserve">
</t>
        </r>
      </text>
    </comment>
    <comment ref="B25" authorId="0">
      <text>
        <r>
          <rPr>
            <b/>
            <sz val="9"/>
            <color indexed="81"/>
            <rFont val="Tahoma"/>
            <family val="2"/>
          </rPr>
          <t xml:space="preserve">AER:
</t>
        </r>
        <r>
          <rPr>
            <sz val="9"/>
            <color indexed="81"/>
            <rFont val="Tahoma"/>
            <family val="2"/>
          </rPr>
          <t xml:space="preserve">For our draft decision, the placeholder debt averaging period can be determined as follows: 
•  proposed by the service provider in its initial regulatory proposal, and agreed by the AER; or 
•  if the AER does not agree to the averaging period proposed by a service provider or if no averaging period has been proposed by a service provider, the averaging period would be determined by the AER in accordance with the Rate of Return Guideline.  
For our final decision, the debt averaging periods can be determined as follows:
•  proposed by the service provider in the Framework and Approach process or in its initial regulatory proposal, and agreed by the AER; or
• if the AER does not agree to the averaging periods proposed by a service provider, the averaging periods would be determined by the AER, and notified to the service provider within a reasonable time prior to the commencement of the regulatory control period.
</t>
        </r>
      </text>
    </comment>
    <comment ref="C42" authorId="0">
      <text>
        <r>
          <rPr>
            <b/>
            <sz val="9"/>
            <color indexed="81"/>
            <rFont val="Tahoma"/>
            <family val="2"/>
          </rPr>
          <t xml:space="preserve">AER:
</t>
        </r>
        <r>
          <rPr>
            <sz val="9"/>
            <color indexed="81"/>
            <rFont val="Tahoma"/>
            <family val="2"/>
          </rPr>
          <t xml:space="preserve">Debt and equity raising expenditure requires total expenditure for the whole regulatory period. 
</t>
        </r>
      </text>
    </comment>
    <comment ref="C46" authorId="0">
      <text>
        <r>
          <rPr>
            <b/>
            <sz val="9"/>
            <color indexed="81"/>
            <rFont val="Tahoma"/>
            <family val="2"/>
          </rPr>
          <t>AER:</t>
        </r>
        <r>
          <rPr>
            <sz val="9"/>
            <color indexed="81"/>
            <rFont val="Tahoma"/>
            <family val="2"/>
          </rPr>
          <t xml:space="preserve">
Provide formulas for the inputs in Table 22.5 'Cost of capital measures' unless numbers do not require updating. </t>
        </r>
      </text>
    </comment>
  </commentList>
</comments>
</file>

<file path=xl/comments6.xml><?xml version="1.0" encoding="utf-8"?>
<comments xmlns="http://schemas.openxmlformats.org/spreadsheetml/2006/main">
  <authors>
    <author>Holder, Toby</author>
  </authors>
  <commentList>
    <comment ref="I15" authorId="0">
      <text>
        <r>
          <rPr>
            <sz val="9"/>
            <color indexed="81"/>
            <rFont val="Tahoma"/>
            <family val="2"/>
          </rPr>
          <t>Estimate based on RBA statement on monetray policy. Upsdate when known.</t>
        </r>
      </text>
    </comment>
    <comment ref="J15" authorId="0">
      <text>
        <r>
          <rPr>
            <sz val="9"/>
            <color indexed="81"/>
            <rFont val="Tahoma"/>
            <family val="2"/>
          </rPr>
          <t>Estimate based on RBA statement on monetray policy. Upsdate when known.</t>
        </r>
      </text>
    </comment>
  </commentList>
</comments>
</file>

<file path=xl/comments7.xml><?xml version="1.0" encoding="utf-8"?>
<comments xmlns="http://schemas.openxmlformats.org/spreadsheetml/2006/main">
  <authors>
    <author>Seymour, Jonathan</author>
  </authors>
  <commentList>
    <comment ref="K29" authorId="0">
      <text>
        <r>
          <rPr>
            <sz val="9"/>
            <color indexed="81"/>
            <rFont val="Tahoma"/>
            <family val="2"/>
          </rPr>
          <t>Changed to being reported as nominal instead of real.
In response to AusNet and MultiNet request.</t>
        </r>
      </text>
    </comment>
  </commentList>
</comments>
</file>

<file path=xl/comments8.xml><?xml version="1.0" encoding="utf-8"?>
<comments xmlns="http://schemas.openxmlformats.org/spreadsheetml/2006/main">
  <authors>
    <author>Seymour, Jonathan</author>
  </authors>
  <commentList>
    <comment ref="I17" authorId="0">
      <text>
        <r>
          <rPr>
            <sz val="9"/>
            <color indexed="81"/>
            <rFont val="Tahoma"/>
            <family val="2"/>
          </rPr>
          <t>Changed to being reported as nominal instead of real.
In response to AusNet and MultiNet request.</t>
        </r>
      </text>
    </comment>
  </commentList>
</comments>
</file>

<file path=xl/comments9.xml><?xml version="1.0" encoding="utf-8"?>
<comments xmlns="http://schemas.openxmlformats.org/spreadsheetml/2006/main">
  <authors>
    <author>Huynh, Kim</author>
  </authors>
  <commentList>
    <comment ref="D16" authorId="0">
      <text>
        <r>
          <rPr>
            <b/>
            <sz val="9"/>
            <color indexed="81"/>
            <rFont val="Tahoma"/>
            <family val="2"/>
          </rPr>
          <t>Huynh, Kim:</t>
        </r>
        <r>
          <rPr>
            <sz val="9"/>
            <color indexed="81"/>
            <rFont val="Tahoma"/>
            <family val="2"/>
          </rPr>
          <t xml:space="preserve">
</t>
        </r>
      </text>
    </comment>
  </commentList>
</comments>
</file>

<file path=xl/sharedStrings.xml><?xml version="1.0" encoding="utf-8"?>
<sst xmlns="http://schemas.openxmlformats.org/spreadsheetml/2006/main" count="5590" uniqueCount="1555">
  <si>
    <t>If the service provider proposes changes to its tariff structure for the next access arrangement period, please provide an explanation in this template or in the proposal submission as to how historical consumption and demand data reconciles with the new tariff stucture.</t>
  </si>
  <si>
    <t>The pro formas in this spreadsheet must be filled out as part of an access arrangement proposal</t>
  </si>
  <si>
    <t>Identify the dollar unit used in the template.</t>
  </si>
  <si>
    <t>Standalone cost per unit of reference service</t>
  </si>
  <si>
    <t>Avoidable cost per unit of reference service</t>
  </si>
  <si>
    <t>This template asks for information regarding changes in provisions</t>
  </si>
  <si>
    <t>This template asks for information relating to operating expenditure inclusive of related party margins.</t>
  </si>
  <si>
    <t>This template asks for information relating to ancillary reference services</t>
  </si>
  <si>
    <t>This template asks for information on customers numbers</t>
  </si>
  <si>
    <t>This template asks for information on network characteristics.</t>
  </si>
  <si>
    <t xml:space="preserve">Services Provided  </t>
  </si>
  <si>
    <t>select</t>
  </si>
  <si>
    <t>Total Overhead cost</t>
  </si>
  <si>
    <t xml:space="preserve"> This may require the insertion of new lines in each table.</t>
  </si>
  <si>
    <t>CPI Index</t>
  </si>
  <si>
    <t>Annual CPI</t>
  </si>
  <si>
    <t>Example</t>
  </si>
  <si>
    <t>Costs ($nominal)</t>
  </si>
  <si>
    <t>City Gate</t>
  </si>
  <si>
    <t>Total cost</t>
  </si>
  <si>
    <t>Recurrent?</t>
  </si>
  <si>
    <t>Field Regulator</t>
  </si>
  <si>
    <t>District Regulator</t>
  </si>
  <si>
    <t>Total network length</t>
  </si>
  <si>
    <t xml:space="preserve">                           </t>
  </si>
  <si>
    <t>Name of related party</t>
  </si>
  <si>
    <t>Description of how this transaction amount was determined</t>
  </si>
  <si>
    <t>Description of how this amount is reflected in the Regulatory Templates, including the asset class or cost category</t>
  </si>
  <si>
    <t>Business address</t>
  </si>
  <si>
    <t>Suburb</t>
  </si>
  <si>
    <t>State</t>
  </si>
  <si>
    <t>Postal address</t>
  </si>
  <si>
    <t>Contact name/s</t>
  </si>
  <si>
    <t>Contact phone/s</t>
  </si>
  <si>
    <t>Contact email address/s</t>
  </si>
  <si>
    <t>Less customer contributions</t>
  </si>
  <si>
    <t>Previous access arrangement period</t>
  </si>
  <si>
    <t>Current access arrangement period</t>
  </si>
  <si>
    <t>Capital expenditure</t>
  </si>
  <si>
    <t>Nominal risk free rate</t>
  </si>
  <si>
    <t>Inflation rate</t>
  </si>
  <si>
    <t>Credit rating</t>
  </si>
  <si>
    <t>Market risk premium</t>
  </si>
  <si>
    <t>Corporate tax rate</t>
  </si>
  <si>
    <t>Debt to equity ratio</t>
  </si>
  <si>
    <t>Step Changes</t>
  </si>
  <si>
    <t>Total step changes</t>
  </si>
  <si>
    <t>Fixed customer tariff numbers</t>
  </si>
  <si>
    <t>Unit used in this sheet</t>
  </si>
  <si>
    <t>Opening Balance</t>
  </si>
  <si>
    <t>Other adjustments</t>
  </si>
  <si>
    <t>Closing Balance</t>
  </si>
  <si>
    <t>Movement in total provisions</t>
  </si>
  <si>
    <t>Total contributions</t>
  </si>
  <si>
    <t>Actual</t>
  </si>
  <si>
    <t>Forecast</t>
  </si>
  <si>
    <t>IT</t>
  </si>
  <si>
    <t>Distribution mains</t>
  </si>
  <si>
    <t>Gross customer disconnections</t>
  </si>
  <si>
    <t>Instructions</t>
  </si>
  <si>
    <t>Service Pipes</t>
  </si>
  <si>
    <t>Meters</t>
  </si>
  <si>
    <t>Other</t>
  </si>
  <si>
    <t>Total</t>
  </si>
  <si>
    <t>Cast Iron</t>
  </si>
  <si>
    <t>PVC</t>
  </si>
  <si>
    <t>Unprotected steel</t>
  </si>
  <si>
    <t>Protected steel</t>
  </si>
  <si>
    <t>Average customer numbers</t>
  </si>
  <si>
    <t>Gross customer connections</t>
  </si>
  <si>
    <t>Band definition</t>
  </si>
  <si>
    <t>Equity beta</t>
  </si>
  <si>
    <t>Please follow the instructions below when completing the pro formas in this spreadsheet:</t>
  </si>
  <si>
    <t>Next access arrangement period</t>
  </si>
  <si>
    <t>Approved</t>
  </si>
  <si>
    <t>.</t>
  </si>
  <si>
    <t>Regulatory templates</t>
  </si>
  <si>
    <t>for access arrangement period</t>
  </si>
  <si>
    <t>Gas Distribution Regulatory Information Notice</t>
  </si>
  <si>
    <t>Actual cost incurred by related party</t>
  </si>
  <si>
    <t>Step changes should be EXCLUSIVE of base level opex</t>
  </si>
  <si>
    <t>&lt;insert material type&gt;</t>
  </si>
  <si>
    <t>Polyamide</t>
  </si>
  <si>
    <t>&lt;insert place of loss&gt;</t>
  </si>
  <si>
    <t>Payment made by distributor</t>
  </si>
  <si>
    <t>Payment made to distributor</t>
  </si>
  <si>
    <t>Actual cost incurred by distributor</t>
  </si>
  <si>
    <t>Overheads</t>
  </si>
  <si>
    <t>&lt;insert step change&gt;</t>
  </si>
  <si>
    <t>&lt;insert project name&gt;</t>
  </si>
  <si>
    <t>&lt;insert meter type&gt;</t>
  </si>
  <si>
    <t>Refurbishable meters</t>
  </si>
  <si>
    <t>Volume</t>
  </si>
  <si>
    <t>Total cost of new meters acquired for meter replacement</t>
  </si>
  <si>
    <t>Total number of new meters acquired for meter replacement</t>
  </si>
  <si>
    <t>Unit cost</t>
  </si>
  <si>
    <t xml:space="preserve">The asset classes currently listed are from service providers' 2010 RAB RFM. </t>
  </si>
  <si>
    <t>This template asks for information relating to capitalised overhead expenditure.</t>
  </si>
  <si>
    <t>2005-06</t>
  </si>
  <si>
    <t>2006-07</t>
  </si>
  <si>
    <t>2007-08</t>
  </si>
  <si>
    <t>2008-09</t>
  </si>
  <si>
    <t>2009-10</t>
  </si>
  <si>
    <t>2010-11</t>
  </si>
  <si>
    <t>2011-12</t>
  </si>
  <si>
    <t>2012-13</t>
  </si>
  <si>
    <t>2013-14</t>
  </si>
  <si>
    <t>2014-15</t>
  </si>
  <si>
    <t>2015-16</t>
  </si>
  <si>
    <t>2016-17</t>
  </si>
  <si>
    <t>2017-18</t>
  </si>
  <si>
    <t>2018-19</t>
  </si>
  <si>
    <t>2019-20</t>
  </si>
  <si>
    <t>2004-05</t>
  </si>
  <si>
    <t>Services replaced (number)</t>
  </si>
  <si>
    <t>Length of mains replaced (metres)</t>
  </si>
  <si>
    <t>%</t>
  </si>
  <si>
    <t>Actual v approved</t>
  </si>
  <si>
    <t>Variance</t>
  </si>
  <si>
    <t>Number of new I&amp;C contract connections</t>
  </si>
  <si>
    <t>Number of new I&amp;C tariff connections</t>
  </si>
  <si>
    <t>Difference</t>
  </si>
  <si>
    <t>Total number of new connections</t>
  </si>
  <si>
    <t>Average demand throughput consumption</t>
  </si>
  <si>
    <t>Total demand throughput consumption</t>
  </si>
  <si>
    <t>Source(s) of data:</t>
  </si>
  <si>
    <t>&lt;insert pass through event&gt;</t>
  </si>
  <si>
    <t>This template asks for information relating to cost pass through events.</t>
  </si>
  <si>
    <t>&lt;Insert reference service&gt;</t>
  </si>
  <si>
    <t>&lt;insert tariff class&gt;</t>
  </si>
  <si>
    <t>This template asks the service provider to allocate total revenue to reference and non-reference services.</t>
  </si>
  <si>
    <t>&lt;Insert rebateable services&gt;</t>
  </si>
  <si>
    <t>&lt;Insert non-reference services&gt;</t>
  </si>
  <si>
    <t>Total meters removed</t>
  </si>
  <si>
    <t>Total costs</t>
  </si>
  <si>
    <t>Equity raising costs</t>
  </si>
  <si>
    <t>Debt term</t>
  </si>
  <si>
    <t>Equity term -risk free rate</t>
  </si>
  <si>
    <t>Total direct costs (excl escalation)</t>
  </si>
  <si>
    <t>Escalation</t>
  </si>
  <si>
    <t>Total direct costs (incl escalation)</t>
  </si>
  <si>
    <t>Less: Contributions</t>
  </si>
  <si>
    <t>Total of all projects</t>
  </si>
  <si>
    <t>Gross total capex (incl escalation)</t>
  </si>
  <si>
    <t>Total escalation</t>
  </si>
  <si>
    <t>Gross total capex (excl escalation)</t>
  </si>
  <si>
    <t>Net total capex (excl escalation)</t>
  </si>
  <si>
    <t>Net total capex (incl escalation)</t>
  </si>
  <si>
    <t>EBA</t>
  </si>
  <si>
    <t>Aluminium</t>
  </si>
  <si>
    <t>Steel</t>
  </si>
  <si>
    <t>Concrete</t>
  </si>
  <si>
    <t>Non-EBA</t>
  </si>
  <si>
    <t>Plastic</t>
  </si>
  <si>
    <t>Connections/ Market expansion</t>
  </si>
  <si>
    <t>Augmentation/ Growth capacity development</t>
  </si>
  <si>
    <t>Mains and service renewal</t>
  </si>
  <si>
    <t>Facilities renewal and upgrade</t>
  </si>
  <si>
    <t>Meter renewal and upgrade</t>
  </si>
  <si>
    <t>Related party margin</t>
  </si>
  <si>
    <t>Reported expenditure is to be entered EXCLUSIVE of any profit margins or management fees paid directly or indirectly to related party contractors (which is not an actual incurred cost of the related party contractor). Include any related party margins or management fees in the separate 'Related party margin' line item.</t>
  </si>
  <si>
    <t>Capital expenditure amounts entered should be GROSS of customer contributions. There is a separate line item for customer contributions from which net capital expenditure is derived.</t>
  </si>
  <si>
    <t>Supporting documentation (business case, costing spreadsheet, contracts)</t>
  </si>
  <si>
    <t>Overhead rate</t>
  </si>
  <si>
    <t xml:space="preserve">Mains &amp; services renewal </t>
  </si>
  <si>
    <t>Facilities renewal &amp; upgrade</t>
  </si>
  <si>
    <t>IT &amp; communications</t>
  </si>
  <si>
    <t>Rate of contributions</t>
  </si>
  <si>
    <t>Value of contribution</t>
  </si>
  <si>
    <t>Average value of contribution</t>
  </si>
  <si>
    <t>Contribution (rate of contributions x number of connections x average value)</t>
  </si>
  <si>
    <t>Total number of new connections (from tab 27 - Customer numbers)</t>
  </si>
  <si>
    <t>Total number of refurbished meters used for meter replacement</t>
  </si>
  <si>
    <t>Opex overheads</t>
  </si>
  <si>
    <t>Capex overheads</t>
  </si>
  <si>
    <t>Total overheads</t>
  </si>
  <si>
    <t>Table 17a.1</t>
  </si>
  <si>
    <t>This template asks for information relating to meter replacement</t>
  </si>
  <si>
    <t>&lt;insert meter family&gt;</t>
  </si>
  <si>
    <t>Original installation year</t>
  </si>
  <si>
    <t>Total units within network</t>
  </si>
  <si>
    <t>Expected life</t>
  </si>
  <si>
    <t>Original installation date</t>
  </si>
  <si>
    <t>Result</t>
  </si>
  <si>
    <t>Next access arrangement</t>
  </si>
  <si>
    <t>Liabilities paid from provision charged to opex</t>
  </si>
  <si>
    <t>Liabilities paid from provision charged to capex</t>
  </si>
  <si>
    <t>Increase /decrease in provision charged to opex</t>
  </si>
  <si>
    <t>Increase/decrease in provision charged to capex</t>
  </si>
  <si>
    <t>Meters decommissioned</t>
  </si>
  <si>
    <t>&lt;insert other meter replacement cost&gt;</t>
  </si>
  <si>
    <t>Volume (of compliance tests)</t>
  </si>
  <si>
    <t>Internal identification code</t>
  </si>
  <si>
    <t>Asset category</t>
  </si>
  <si>
    <t>CM</t>
  </si>
  <si>
    <t>HPM</t>
  </si>
  <si>
    <t>HPS</t>
  </si>
  <si>
    <t>MPM</t>
  </si>
  <si>
    <t>MPS</t>
  </si>
  <si>
    <t>TM</t>
  </si>
  <si>
    <t>Contract meters</t>
  </si>
  <si>
    <t>HP mains</t>
  </si>
  <si>
    <t>HP services</t>
  </si>
  <si>
    <t>MP mains</t>
  </si>
  <si>
    <t>MP services</t>
  </si>
  <si>
    <t>Tariff meters</t>
  </si>
  <si>
    <t>Percent allocation</t>
  </si>
  <si>
    <t>Volume of meter replacements</t>
  </si>
  <si>
    <t>Total opex</t>
  </si>
  <si>
    <t>Gross total capex (excl escalation) excluding overheads and RPM</t>
  </si>
  <si>
    <t>Gross total capex (incl escalation) excluding overheads and RPM</t>
  </si>
  <si>
    <t>Gross total capex (incl escalation) including overheads, excluding RPM</t>
  </si>
  <si>
    <t>Gross total capex (incl escalation) including overheads and RPM</t>
  </si>
  <si>
    <t>Net total capex (incl escalation) including overheads and RPM</t>
  </si>
  <si>
    <t>Reasons for the removal</t>
  </si>
  <si>
    <t>TJ</t>
  </si>
  <si>
    <t>2020-21</t>
  </si>
  <si>
    <t>Total revenue</t>
  </si>
  <si>
    <t>Surcharge or premium revenue</t>
  </si>
  <si>
    <t>Government contributions</t>
  </si>
  <si>
    <t>Customer contributions</t>
  </si>
  <si>
    <t>$/day</t>
  </si>
  <si>
    <t>Tariff type</t>
  </si>
  <si>
    <t>Description of tariff type</t>
  </si>
  <si>
    <t>&lt;NSP to insert any additional items&gt;</t>
  </si>
  <si>
    <t>Average</t>
  </si>
  <si>
    <t>Forecast smoothed revenues ($nominal)</t>
  </si>
  <si>
    <t>Annual price path (per cent, nominal)</t>
  </si>
  <si>
    <t>Annual impact on customer bill (%)</t>
  </si>
  <si>
    <t>Annual change</t>
  </si>
  <si>
    <t>&lt;Service provider to insert any additional items&gt;</t>
  </si>
  <si>
    <t>Distribution costs as a proportion of a typical customer's gas bill (per cent)</t>
  </si>
  <si>
    <t>This template asks for an estimate of the service provider's proposal on indicative gas bills. It includes entries for various major tariff structures.</t>
  </si>
  <si>
    <t>Total 2015-20</t>
  </si>
  <si>
    <t>This template asks for information on the service provider's capex including related party margins. It is divided into tables for actual/forecast capex and for approved capex.</t>
  </si>
  <si>
    <t>Table 21 - Indicative impact of the regulatory proposal on the average residential and business customer gas bills</t>
  </si>
  <si>
    <t>eg Residential customer bill - reference service</t>
  </si>
  <si>
    <t>eg Business customer bill - reference service</t>
  </si>
  <si>
    <t>Annual price path ($/GJ, nominal)</t>
  </si>
  <si>
    <t>Energy delivered forecast (GJ)</t>
  </si>
  <si>
    <t>In table 21 enter the required details into the yellow cells.</t>
  </si>
  <si>
    <t>In table 31.1 report the actual costs incurred as a result of an event that gave rise to a cost pass through.</t>
  </si>
  <si>
    <t>In table 31.2 report the costs approved by the relevant regulator for the cost pass through event.</t>
  </si>
  <si>
    <t>In tables 31.1 and 31.2 enter the required details into the yellow cells. This may require the insertion of new lines in each table. Provide details/links to supporting information.</t>
  </si>
  <si>
    <t>This template applies to gas extensions that commenced in the CURRENT access arrangement period or are forecast for the NEXT access arrangement period</t>
  </si>
  <si>
    <t>Table 1.1 provides CPI index figures used to calculate CPI escalators to be used in the RIN</t>
  </si>
  <si>
    <t xml:space="preserve">All input amounts should be gross of contributions. Contributions are to be separately entered on the allocated line. </t>
  </si>
  <si>
    <t>The asset classes listed are sourced from service provider's 2010 RAB RFM. Service providers are to change/add to these asset classes if deemed necessary and backcast the data accordingly.</t>
  </si>
  <si>
    <t>In tables 20.1 and 20.2 reported expenditure is to be entered INCLUSIVE of any profit margins or management fees paid directly or indirectly to related party contractors (which is not an actual incurred cost of the related party contractor).</t>
  </si>
  <si>
    <t>Historical tariff band information should be provided on the same basis as the tariff band forecasts for the next access arrangment period are provided.</t>
  </si>
  <si>
    <t xml:space="preserve">Provide the assumptions used where necessary in the proposal submission or in this template. </t>
  </si>
  <si>
    <t>2003-04</t>
  </si>
  <si>
    <t>2002-03</t>
  </si>
  <si>
    <t>2001-02</t>
  </si>
  <si>
    <t>2000-01</t>
  </si>
  <si>
    <t>1999-00</t>
  </si>
  <si>
    <t>Expected testing year</t>
  </si>
  <si>
    <t>Expected removal year</t>
  </si>
  <si>
    <t>Capex overhead amount</t>
  </si>
  <si>
    <t>Ensure all dependent links are correct.</t>
  </si>
  <si>
    <t>Change/add to these asset classes if deemed necessary and backcast the data accordingly.</t>
  </si>
  <si>
    <t>In tables 25.1 and 25.2 enter the required details into the yellow cells. This may require the insertion of new lines in each table.</t>
  </si>
  <si>
    <t xml:space="preserve">Fixed Customer tariff </t>
  </si>
  <si>
    <t xml:space="preserve">ABS series ID A2325846C, 25/1/12 release
</t>
  </si>
  <si>
    <t>ABS series ID A2325846C, 22/1/14 release</t>
  </si>
  <si>
    <t>Costs (real $2015)</t>
  </si>
  <si>
    <t>Estimated</t>
  </si>
  <si>
    <t>SERVICE PROVIDERS ARE NOT TO MAKE ANY CHANGES TO THIS TEMPLATE EXCEPT AS INDICATED</t>
  </si>
  <si>
    <t>Service providers should insert inflation forecasts (yellow cells)</t>
  </si>
  <si>
    <t>Tables 1.2 provide the CPI escalators for converting nominal values to real values.</t>
  </si>
  <si>
    <t>Extension name</t>
  </si>
  <si>
    <t>Extension description</t>
  </si>
  <si>
    <t>Following years for NPV analysis</t>
  </si>
  <si>
    <t>O&amp;M incl. contributions</t>
  </si>
  <si>
    <t>O&amp;M excl. contributions</t>
  </si>
  <si>
    <t>The tariffs should include any new town surcharges or premiums applied to the extension in excess of the reference tariffs usually applied to the relevant customer calss.</t>
  </si>
  <si>
    <t>This template asks for divisions between cost categories used to escalate unit costs. The expenditure is to include related party margins and overheads.</t>
  </si>
  <si>
    <t>Brass</t>
  </si>
  <si>
    <t>General</t>
  </si>
  <si>
    <t>TRS &amp; DRS - valves &amp; regulators</t>
  </si>
  <si>
    <t>Regulatory costs</t>
  </si>
  <si>
    <t>IT system</t>
  </si>
  <si>
    <t>Capitalised regulatory costs</t>
  </si>
  <si>
    <t>Labour</t>
  </si>
  <si>
    <t>Materials</t>
  </si>
  <si>
    <t>TRS</t>
  </si>
  <si>
    <t>RC</t>
  </si>
  <si>
    <t>ITS</t>
  </si>
  <si>
    <t>IT System</t>
  </si>
  <si>
    <t>ERC</t>
  </si>
  <si>
    <t>[insert project name]</t>
  </si>
  <si>
    <t>Nature of the relationship - eg. percentage ownership by/of related party of/by Gas Distributor</t>
  </si>
  <si>
    <t>[capex category]</t>
  </si>
  <si>
    <t>&lt;insert category/project name&gt;</t>
  </si>
  <si>
    <t>&lt;enter meter type 1&gt;</t>
  </si>
  <si>
    <t>&lt;enter meter type 2&gt;</t>
  </si>
  <si>
    <t>&lt;enter band definition&gt;</t>
  </si>
  <si>
    <t>&lt;enter band name&gt;</t>
  </si>
  <si>
    <t>Average  tariff business consumption</t>
  </si>
  <si>
    <t>ActewAGL Distribution</t>
  </si>
  <si>
    <t>ACN / ABN</t>
  </si>
  <si>
    <t>CA</t>
  </si>
  <si>
    <t>CATEGORY ANALYSIS</t>
  </si>
  <si>
    <t>REGULATORY REPORTING STATEMENT</t>
  </si>
  <si>
    <t>CPI</t>
  </si>
  <si>
    <t>Address 1</t>
  </si>
  <si>
    <t>EB</t>
  </si>
  <si>
    <t>ECONOMIC BENCHMARKING</t>
  </si>
  <si>
    <t>Address 2</t>
  </si>
  <si>
    <t>PTRM</t>
  </si>
  <si>
    <t>POST TAX REVENUE MODEL</t>
  </si>
  <si>
    <t>Reset</t>
  </si>
  <si>
    <t>RFM</t>
  </si>
  <si>
    <t>ROLL FORWARD MODEL</t>
  </si>
  <si>
    <t>WACC</t>
  </si>
  <si>
    <t>WEIGHTED AVERAGE COST OF CAPITAL</t>
  </si>
  <si>
    <t>p/code</t>
  </si>
  <si>
    <t>Ausgrid</t>
  </si>
  <si>
    <t>AusNet (D)</t>
  </si>
  <si>
    <t>AusNet (T)</t>
  </si>
  <si>
    <t>Endeavour Energy</t>
  </si>
  <si>
    <t>Energex</t>
  </si>
  <si>
    <t>Forthcoming regulatory control period</t>
  </si>
  <si>
    <t>Ergon Energy</t>
  </si>
  <si>
    <t>Essential Energy</t>
  </si>
  <si>
    <t>Jemena Electricity</t>
  </si>
  <si>
    <t>Current regulatory control period</t>
  </si>
  <si>
    <t>Powercor Australia</t>
  </si>
  <si>
    <t>Powerlink</t>
  </si>
  <si>
    <t>Previous regulatory control period</t>
  </si>
  <si>
    <t>SA Power Networks</t>
  </si>
  <si>
    <t>TasNetworks (D)</t>
  </si>
  <si>
    <t>TasNetworks (T)</t>
  </si>
  <si>
    <t>Sector</t>
  </si>
  <si>
    <t>Gas</t>
  </si>
  <si>
    <t>TransGrid</t>
  </si>
  <si>
    <t>Segment</t>
  </si>
  <si>
    <t>Distribution</t>
  </si>
  <si>
    <t>United Energy</t>
  </si>
  <si>
    <t>Source</t>
  </si>
  <si>
    <t>Regulatory proposal</t>
  </si>
  <si>
    <t>Regulatory Year Ending</t>
  </si>
  <si>
    <t>Reporting Period Type</t>
  </si>
  <si>
    <t>Model or RIN Type</t>
  </si>
  <si>
    <t>Security Classification</t>
  </si>
  <si>
    <t>Consolidated</t>
  </si>
  <si>
    <t>RIN response - version no.</t>
  </si>
  <si>
    <t>Amended RIN submission - amendment reason</t>
  </si>
  <si>
    <t>Template - version no.</t>
  </si>
  <si>
    <t>Table 2.1 - Real cost escalators ( % )</t>
  </si>
  <si>
    <t xml:space="preserve">Current access arrangement </t>
  </si>
  <si>
    <t>Table 2.2 - Input / Cost Mix (Weights)</t>
  </si>
  <si>
    <t>Cumulative Factor</t>
  </si>
  <si>
    <t>[add each subcategory / project escalation line]</t>
  </si>
  <si>
    <t>Table 3.1 - Capex by driver (forecast)</t>
  </si>
  <si>
    <t>Table 3.2 - Capex by driver (approved)</t>
  </si>
  <si>
    <t>Actual vs Approved</t>
  </si>
  <si>
    <t>Number of mains metres per connection</t>
  </si>
  <si>
    <t>Number of meters per connection</t>
  </si>
  <si>
    <t>Unit rates per metre of mains per connection</t>
  </si>
  <si>
    <t>Unit rates per service per connection</t>
  </si>
  <si>
    <t>Table 4.2.6 - I&amp;C contract</t>
  </si>
  <si>
    <t>TABLE 4.3 -  CUSTOMER CONTRIBUTIONS</t>
  </si>
  <si>
    <t>TABLE 4.1 -  NEW CUSTOMER CONNECTIONS</t>
  </si>
  <si>
    <t>Table 4.1.1 - Number of new customer connections</t>
  </si>
  <si>
    <t xml:space="preserve">Variance </t>
  </si>
  <si>
    <t>0's</t>
  </si>
  <si>
    <t xml:space="preserve">Mains </t>
  </si>
  <si>
    <t>Services</t>
  </si>
  <si>
    <t>Direct internal labour</t>
  </si>
  <si>
    <t>TOTALS</t>
  </si>
  <si>
    <t>[ enter meter type 1 ]</t>
  </si>
  <si>
    <t>[ enter meter type 2 ]</t>
  </si>
  <si>
    <t>&lt; insert project name &gt;</t>
  </si>
  <si>
    <t>&lt; insert sub-category &gt;</t>
  </si>
  <si>
    <t xml:space="preserve">4. CAPITAL EXPENDITURE SUMMARY (by driver) </t>
  </si>
  <si>
    <t>2. REAL COST ESCALATORS</t>
  </si>
  <si>
    <t>1. CPI ESCALATION</t>
  </si>
  <si>
    <t>Table 1.2 - CPI p.a.</t>
  </si>
  <si>
    <t xml:space="preserve">% </t>
  </si>
  <si>
    <t>Augmentation growth capacity</t>
  </si>
  <si>
    <t>Table 17.2 - Gross capex including RPM (approved)</t>
  </si>
  <si>
    <t>17. GROSS CAPITAL EXPENDITURE</t>
  </si>
  <si>
    <t>Table 17.4 - Gross capex excluding RPM (approved)</t>
  </si>
  <si>
    <t>2016-2021</t>
  </si>
  <si>
    <t>16. CAPITAL EXPENDITURE ALLOCATION</t>
  </si>
  <si>
    <t>20. CHANGES IN PROVISIONS</t>
  </si>
  <si>
    <t>Table 20.2 - Changes in provisions by provision incl. RPM</t>
  </si>
  <si>
    <t>Table 20.1.1 - Total Provisions</t>
  </si>
  <si>
    <t>Operating and maintenance expenditure</t>
  </si>
  <si>
    <t>&lt; Insert name of provision &gt;</t>
  </si>
  <si>
    <t>$0, Nominal</t>
  </si>
  <si>
    <t>$0's, Nominal</t>
  </si>
  <si>
    <t>Table 16.1 - Allocation of capital expenditure driver classes  to asset classes</t>
  </si>
  <si>
    <t>21. INDICATIVE BILL IMPACTS</t>
  </si>
  <si>
    <t>22. WACC AND CAPM PARAMETERS</t>
  </si>
  <si>
    <t>24. COST CATEGORY MATRIX</t>
  </si>
  <si>
    <t>25. ANCILLARY REFERENCE SERVICES</t>
  </si>
  <si>
    <t>26. ALLOCATION OF TOTAL REVENUE</t>
  </si>
  <si>
    <t>27. CUSTOMER NUMBERS</t>
  </si>
  <si>
    <t>28. CONSUMPTION AND DEMAND</t>
  </si>
  <si>
    <t>30. NETWORKS CHARACTERISTICS</t>
  </si>
  <si>
    <t>31. PASS THROUGHS</t>
  </si>
  <si>
    <t>Table 21.1 - Typical gas bill - Residential customer</t>
  </si>
  <si>
    <t>Table 21.5 - Distribution bill component - Business customer</t>
  </si>
  <si>
    <t>Table 22.2 - Rate of return on debt - Transition - 'trailing average' approach</t>
  </si>
  <si>
    <t>Table 22.1 - Rate of return on equity</t>
  </si>
  <si>
    <t>Table 22.3 - Other WACC parameters</t>
  </si>
  <si>
    <t>This template asks for inputs used to determine the weighted average cost of capital  (WACC) and capital asset pricing model (CAPM).</t>
  </si>
  <si>
    <t>Table 25.3 - Price</t>
  </si>
  <si>
    <t xml:space="preserve">Total </t>
  </si>
  <si>
    <t xml:space="preserve">Forecast </t>
  </si>
  <si>
    <t>Table 30.2 - City Gates/Regulators</t>
  </si>
  <si>
    <t>Table 31.2 - Pass through event costs (approved)</t>
  </si>
  <si>
    <r>
      <t xml:space="preserve">Instructions
</t>
    </r>
    <r>
      <rPr>
        <sz val="10"/>
        <rFont val="Arial"/>
        <family val="2"/>
      </rPr>
      <t xml:space="preserve">This template aggregates information relating to capital expenditure inclusive of related party margins from tabs 4 to 15.
</t>
    </r>
    <r>
      <rPr>
        <b/>
        <sz val="10"/>
        <color rgb="FFFF0000"/>
        <rFont val="Arial"/>
        <family val="2"/>
      </rPr>
      <t>No input is required</t>
    </r>
    <r>
      <rPr>
        <sz val="10"/>
        <rFont val="Arial"/>
        <family val="2"/>
      </rPr>
      <t>. Please check that the forecast capex aligns with the AAI proposed totals and the capex totals in the PTRM and RFM models.</t>
    </r>
  </si>
  <si>
    <t xml:space="preserve"> </t>
  </si>
  <si>
    <r>
      <rPr>
        <b/>
        <sz val="10"/>
        <color rgb="FFFF0000"/>
        <rFont val="Arial"/>
        <family val="2"/>
      </rPr>
      <t xml:space="preserve">ONE EXTENSION PER SHEET. </t>
    </r>
    <r>
      <rPr>
        <sz val="10"/>
        <color rgb="FFFF0000"/>
        <rFont val="Arial"/>
        <family val="2"/>
      </rPr>
      <t>Please copy and begin a new sheet if more than one extension applies.</t>
    </r>
  </si>
  <si>
    <t>YYYY</t>
  </si>
  <si>
    <t>DD/MM/YYYY</t>
  </si>
  <si>
    <t>Connections / market expansion</t>
  </si>
  <si>
    <r>
      <rPr>
        <b/>
        <sz val="10"/>
        <color rgb="FFFF0000"/>
        <rFont val="Arial"/>
        <family val="2"/>
      </rPr>
      <t>ONE EXTENSION PER SHEET.</t>
    </r>
    <r>
      <rPr>
        <sz val="10"/>
        <color rgb="FFFF0000"/>
        <rFont val="Arial"/>
        <family val="2"/>
      </rPr>
      <t xml:space="preserve"> Please copy and begin a new sheet if more than one extension applies.</t>
    </r>
  </si>
  <si>
    <r>
      <rPr>
        <b/>
        <sz val="10"/>
        <color rgb="FFFF0000"/>
        <rFont val="Arial"/>
        <family val="2"/>
      </rPr>
      <t>ONE EXTENSION PER SHEET</t>
    </r>
    <r>
      <rPr>
        <sz val="10"/>
        <color rgb="FFFF0000"/>
        <rFont val="Arial"/>
        <family val="2"/>
      </rPr>
      <t>. Please copy and begin a new sheet if more than one extension applies.</t>
    </r>
  </si>
  <si>
    <t>Form of control</t>
  </si>
  <si>
    <t>Actual and estimated inflation</t>
  </si>
  <si>
    <t>Estimate</t>
  </si>
  <si>
    <t>ED_EBS751_00001</t>
  </si>
  <si>
    <t>ED_EBS751_00002</t>
  </si>
  <si>
    <t>Previous period</t>
  </si>
  <si>
    <t>ED_EBS751_00003</t>
  </si>
  <si>
    <t>Total opex allowance</t>
  </si>
  <si>
    <t>ED_EBS751_00008</t>
  </si>
  <si>
    <t>ED_EBS751_00011</t>
  </si>
  <si>
    <t>$m, Actual</t>
  </si>
  <si>
    <t>ED_EBS751_00012</t>
  </si>
  <si>
    <t>Total opex (actual)</t>
  </si>
  <si>
    <t>Less approved excludable costs</t>
  </si>
  <si>
    <t>ED_EBS751_00016</t>
  </si>
  <si>
    <t>ED_EBS751_00017</t>
  </si>
  <si>
    <t>ED_EBS751_00018</t>
  </si>
  <si>
    <t>ED_EBS751_00021</t>
  </si>
  <si>
    <t>Carryover</t>
  </si>
  <si>
    <t>Total Carryover Amount ($million, 2015-16)</t>
  </si>
  <si>
    <t>PTRM inputs</t>
  </si>
  <si>
    <t>ED_EBS752_00001</t>
  </si>
  <si>
    <t xml:space="preserve">Less excluded costs </t>
  </si>
  <si>
    <t>ED_EBS752_00002</t>
  </si>
  <si>
    <t>&lt; Enter category proposed for exclusion &gt;  eg. Debt raising costs</t>
  </si>
  <si>
    <t>ED_EBS752_00003</t>
  </si>
  <si>
    <t>&lt;category proposed for exclusion&gt;</t>
  </si>
  <si>
    <t>ED_EBS752_00004</t>
  </si>
  <si>
    <t>ED_EBS752_00005</t>
  </si>
  <si>
    <t>ED_EBS752_00006</t>
  </si>
  <si>
    <t>ED_EBS752_00007</t>
  </si>
  <si>
    <t>ED_EBS752_00008</t>
  </si>
  <si>
    <t>ED_EBS752_00009</t>
  </si>
  <si>
    <t>ED_EBS752_00010</t>
  </si>
  <si>
    <t>ED_EBS752_00011</t>
  </si>
  <si>
    <t>ED_EBS752_99999</t>
  </si>
  <si>
    <t>Adjusted forecast opex ($million, 2015-16)</t>
  </si>
  <si>
    <t>Reported expenditure is to be entered EXCLUSIVE of any profit margins or management fees paid pursuant to arrangements or contracts with any related parties. Include any related party margins or management fees in the separate 'Related party margin' line item.</t>
  </si>
  <si>
    <t>Table 1.1 - CPI   (actual/estimated)</t>
  </si>
  <si>
    <t>4. NEW CUSTOMER CONNECTIONS / GROWTH CAPTIAL EXPENDITURE</t>
  </si>
  <si>
    <t>Number of inlets/services per connection</t>
  </si>
  <si>
    <t>Table 4.2.5 - I&amp;C volume</t>
  </si>
  <si>
    <t>5. MAINS AUGMENTATION CAPITAL EXPENDITURE</t>
  </si>
  <si>
    <t>6. MAINS REPLACEMENT CAPITAL EXPENDITURE</t>
  </si>
  <si>
    <t>Table 6.1.2 - Ad hoc/reactive mains replacement</t>
  </si>
  <si>
    <t>This template asks for information relating to mains replacement capital expenditure.</t>
  </si>
  <si>
    <t>This template asks for information relating to network augmentation capital expenditure</t>
  </si>
  <si>
    <r>
      <rPr>
        <b/>
        <sz val="10"/>
        <rFont val="Arial"/>
        <family val="2"/>
      </rPr>
      <t>Instructions</t>
    </r>
    <r>
      <rPr>
        <sz val="10"/>
        <rFont val="Arial"/>
        <family val="2"/>
      </rPr>
      <t xml:space="preserve">
This template asks for information relating to new connections/ market growth capital expenditure. This does not include expenditure relating to network capacity expansion, which should be included at tab 5 relating to augmentation. </t>
    </r>
  </si>
  <si>
    <t>In table 4.1.1 AGN is to insert each residential and industrial and commerical type of new connection. This may require the insertion of new lines in the table.</t>
  </si>
  <si>
    <t>9. REGULATORS CAPITAL EXPENDITURE</t>
  </si>
  <si>
    <t>8. METER REPLACEMENT CAPITAL EXPENDITURE</t>
  </si>
  <si>
    <t xml:space="preserve">Record data on the meters removed from service as part of the service provider's meter replacement program in Table 8.1. The data should be INCLUSIVE of meters removed through providing ancillary services. </t>
  </si>
  <si>
    <t>Record data on the cost and volume of meters refurbished and procured for the service provider's meter replacement program in Table 8.6. These data are to be exclusive of meters procured for new connections.</t>
  </si>
  <si>
    <t>Table 8.5.1 - New meters acquired</t>
  </si>
  <si>
    <t>Table 8.5.2 - Meters refurbished</t>
  </si>
  <si>
    <t>7. TELEMETRY CAPITAL EXPENDITURE</t>
  </si>
  <si>
    <t>This template asks for information relating to telemetry capital expenditure</t>
  </si>
  <si>
    <t>12. IT CAPITAL EXPENDITURE</t>
  </si>
  <si>
    <t>This template asks for information relating to IT capital expenditure</t>
  </si>
  <si>
    <t>Mains augmentation</t>
  </si>
  <si>
    <t xml:space="preserve">Mains replacement </t>
  </si>
  <si>
    <t>Telemetry</t>
  </si>
  <si>
    <t>Meter replacement</t>
  </si>
  <si>
    <r>
      <rPr>
        <b/>
        <sz val="10"/>
        <rFont val="Times New Roman"/>
        <family val="1"/>
      </rPr>
      <t>Instructions</t>
    </r>
    <r>
      <rPr>
        <sz val="10"/>
        <rFont val="Times New Roman"/>
        <family val="1"/>
      </rPr>
      <t xml:space="preserve">
This template asks for real cost escalators used to escalate unit costs.
Please identify the unit used in this sheet.
</t>
    </r>
  </si>
  <si>
    <t>New homes</t>
  </si>
  <si>
    <t>I&amp;C tariff</t>
  </si>
  <si>
    <t>I&amp;C contract</t>
  </si>
  <si>
    <t>Reported expenditure is to be entered INCLUSIVE of any profit margins or management fees paid pursuant to arrangements or contracts with any related parties.</t>
  </si>
  <si>
    <t>Output growth ($0's)</t>
  </si>
  <si>
    <t>Productivity growth ($0's)</t>
  </si>
  <si>
    <t xml:space="preserve"> Only input data into the yellow input cells.</t>
  </si>
  <si>
    <t>Check all pre-entered formulas to ensure they are operating correctly and as intended.</t>
  </si>
  <si>
    <t>Ensure all links within each worksheet and between worksheets are correct.</t>
  </si>
  <si>
    <t xml:space="preserve"> As stated in the notice, further information must be provided in the accompanying proposal.</t>
  </si>
  <si>
    <t>The service provider is encouraged to add extra rows in a regulatory template if it considers that this is necessary to fully complete the regulatory template in question.</t>
  </si>
  <si>
    <t>INSTRUCTIONS</t>
  </si>
  <si>
    <r>
      <t xml:space="preserve">Complete the </t>
    </r>
    <r>
      <rPr>
        <i/>
        <sz val="11"/>
        <rFont val="Calibri"/>
        <family val="2"/>
        <scheme val="minor"/>
      </rPr>
      <t xml:space="preserve">Business Details </t>
    </r>
    <r>
      <rPr>
        <sz val="11"/>
        <rFont val="Calibri"/>
        <family val="2"/>
        <scheme val="minor"/>
      </rPr>
      <t>pro forma first.</t>
    </r>
  </si>
  <si>
    <t>Metres, 0's</t>
  </si>
  <si>
    <t>23.2 - OPERATING EXPENDITURE EXCLUDING RPM</t>
  </si>
  <si>
    <t>23.1 - OPERATING EXPENDITURE INCLUDING RPM</t>
  </si>
  <si>
    <t xml:space="preserve">In table 23.1.2, only enter amounts APPROVED BY THE RELEVANT REGULATOR. </t>
  </si>
  <si>
    <t xml:space="preserve">In tables 23.2.1 to 23.2.3 enter the required details into the yellow cells. This may require the insertion of new lines in each table. </t>
  </si>
  <si>
    <t xml:space="preserve">In table 23.2.2, only enter amounts APPROVED BY THE RELEVANT REGULATOR. </t>
  </si>
  <si>
    <t>Table 23.3.1 - Total opex rate of change by item</t>
  </si>
  <si>
    <t>In tables 29.1.1 to 29.1.3 enter the required data in the yellow cells. This may require the insertion of new rows.</t>
  </si>
  <si>
    <t>Table 29.1.1 - Revenue Information (incl. surcharge or premium revenue)</t>
  </si>
  <si>
    <t>Table 29.1.2 - Operations and Maintenance Cost</t>
  </si>
  <si>
    <t>Table 29.1.3 - Capital expenditure</t>
  </si>
  <si>
    <t>29.1 - GAS EXTENTIONS - FINANCIAL INFORMATION</t>
  </si>
  <si>
    <t>In tables 29.2 enter the required data in the yellow cells. This may require the insertion of new rows.</t>
  </si>
  <si>
    <t>In table 29.3 enter the required data in the yellow cells. This may require the insertion of new rows</t>
  </si>
  <si>
    <t>Table 29.1 - Gas Extensions - Financial Information</t>
  </si>
  <si>
    <t>In tables 29.4 enter the required data in the yellow cells. This may require the insertion of new rows.</t>
  </si>
  <si>
    <t>29.4 - GAS EXTENSIONS - TARIFFS</t>
  </si>
  <si>
    <t>Table 1 - CPI ESCALATION</t>
  </si>
  <si>
    <t>TABLE 4 - NEW CUSTOMER CONNECTIONS / MARKET EXPANSION CAPITAL EXPENDITURE</t>
  </si>
  <si>
    <t>Table 6 - MAINS REPLACEMENT CAPITAL EXPENDITURE</t>
  </si>
  <si>
    <t>Table 6.1.3 - Total Mains replacement</t>
  </si>
  <si>
    <t>Table 7 - TELEMETRY CAPITAL EXPENDITURE</t>
  </si>
  <si>
    <t>Table 8 - METER REPLACEMENT CAPITAL EXPENDITURE</t>
  </si>
  <si>
    <t>Table 8.9 - Meter removals</t>
  </si>
  <si>
    <t>Table 8.9.1 - Time expired meter removals</t>
  </si>
  <si>
    <t>Table 8.9.2 - Voluntary meter removals</t>
  </si>
  <si>
    <t>Table 8.8 - In service compliance testing results</t>
  </si>
  <si>
    <t>Table 12 - IT CAPITAL EXPENDITURE</t>
  </si>
  <si>
    <t>Table 12.1 - IT Capex (actual/forecast)</t>
  </si>
  <si>
    <t>Table 12.2 - IT Capex (approved)</t>
  </si>
  <si>
    <t>14. CAPITALISED OVERHEAD EXPENDITURE</t>
  </si>
  <si>
    <t xml:space="preserve">For tables 14.1 to 14.5 enter the required details into the yellow cells. This may require the insertion of new lines in each table.
</t>
  </si>
  <si>
    <t>Table  14 - CAPITALISED OVERHEAD EXPENDITURE</t>
  </si>
  <si>
    <t>Table  14.1 - Total overhead expenditure (actual/forecast)</t>
  </si>
  <si>
    <t>15. RELATED PARTY TRANSACTIONS</t>
  </si>
  <si>
    <t>In Table 15.1 and 15.2 enter the required data in the yellow cells. This may require the insertion of new rows.</t>
  </si>
  <si>
    <t>Table 15.4 - Related party margin (approved)</t>
  </si>
  <si>
    <t>Table 15.6 - Per cent of capex outsourced to related party (approved)</t>
  </si>
  <si>
    <t>Table 15.7 - Capex outsourced to related party (actual)</t>
  </si>
  <si>
    <t>Table 15.8 - Capex outsourced to related party (approved)</t>
  </si>
  <si>
    <t>Table 15 - RELATED PARTY TRANSACTIONS</t>
  </si>
  <si>
    <t>Table 16 - CAPITAL EXPENDITURE ALLOCATION</t>
  </si>
  <si>
    <t>Table 17 - GROSS CAPITAL EXPENDITURE</t>
  </si>
  <si>
    <t>Table 20 - CHANGES IN PROVISIONS</t>
  </si>
  <si>
    <t>Table 20.1 - Changes in provisions (including RPM)</t>
  </si>
  <si>
    <t>Table 20.1.2 - Allocation of movement in total provisions</t>
  </si>
  <si>
    <t>Land</t>
  </si>
  <si>
    <t>Table 20.1.3 - Allocation of movements in provisions for capex</t>
  </si>
  <si>
    <t>Table 22 - WACC AND CAPM PARAMETERS</t>
  </si>
  <si>
    <t>Table 23 - OPERATING EXPENDITURE</t>
  </si>
  <si>
    <t>Table 23.1.1 - Operating and maintenance expenditure (actual/forecast)</t>
  </si>
  <si>
    <t>Table 23.1 - Operating expenditure including RPM</t>
  </si>
  <si>
    <t>Table 23.1.2 - Operating and maintenance expenditure (approved)</t>
  </si>
  <si>
    <t>Table 23.2 - Operating expenditure excluding RPM</t>
  </si>
  <si>
    <t>Table 23.2.1 - Operating and maintenance expenditure (actual/forecast)</t>
  </si>
  <si>
    <t>Table 23.2.2 - Operating and maintenance expenditure (approved)</t>
  </si>
  <si>
    <t>Table 23.3 - OPERATING EXPENDITURE RATE OF CHANGE</t>
  </si>
  <si>
    <t>Table 24 - COST CATEGORY MATRIX</t>
  </si>
  <si>
    <t>Table 24.1 - Capex</t>
  </si>
  <si>
    <t>Table 24.2 - Opex</t>
  </si>
  <si>
    <t>Table 25 - ANCILLARY REFERENCE SERVICES</t>
  </si>
  <si>
    <t>Table 25.1 - Volume</t>
  </si>
  <si>
    <t>Table 25.2 - Revenue</t>
  </si>
  <si>
    <t>Table 26 - ALLOCATION OF TOTAL REVENUE</t>
  </si>
  <si>
    <t>Table 26.1 - Reference services</t>
  </si>
  <si>
    <t>Table 26.2 - Ancillary reference services</t>
  </si>
  <si>
    <t>Table 26.3 - Rebateable services</t>
  </si>
  <si>
    <t>Table 26.4 - Non-reference services</t>
  </si>
  <si>
    <t>Table 27 - CUSTOMER NUMBERS</t>
  </si>
  <si>
    <t>Table 27.1 - Tariff Customer Numbers</t>
  </si>
  <si>
    <t>Table 28 - CONSUMPTION AND DEMAND</t>
  </si>
  <si>
    <t>Table 29.4 - GAS EXTENSIONS - TARIFFS</t>
  </si>
  <si>
    <t>Table 29.4.1 - Residential tariffs</t>
  </si>
  <si>
    <t>Table 29.4.2 - Business tariffs</t>
  </si>
  <si>
    <t>Table 29.4.3 - Contract tariffs</t>
  </si>
  <si>
    <t>Table 30 - NETWORK CHARACTERISTICS</t>
  </si>
  <si>
    <t>Table 30.3 - Unaccounted for Gas - transmission and distribution</t>
  </si>
  <si>
    <t>Table 31 - PASS THROUGHS</t>
  </si>
  <si>
    <t>Table 31.1 - Pass through event costs (actual)</t>
  </si>
  <si>
    <t>$0's, real June 2016</t>
  </si>
  <si>
    <t>$0's, nominal</t>
  </si>
  <si>
    <t>SUBMISSION PARTICULARS INPUT SHEETS</t>
  </si>
  <si>
    <t>BUSINESS &amp; OTHER DETAILS</t>
  </si>
  <si>
    <t>Table 5 - MAINS AUGMENTATION CAPITAL EXPENDITURE</t>
  </si>
  <si>
    <t>Data quality (actual, estimate, public, consolidated)</t>
  </si>
  <si>
    <t>Table 15.3 - Related party margin (actual/forecast)</t>
  </si>
  <si>
    <t>Table 15.5 - Per cent of capex outsourced to related party (actual/forecast)</t>
  </si>
  <si>
    <t>Table 17.1 - Gross capex including RPM (actual/forecast)</t>
  </si>
  <si>
    <t>Table 17.3 - Gross capex excluding RPM (actual/forecast)</t>
  </si>
  <si>
    <t>Table of Contents</t>
  </si>
  <si>
    <t>Electricity to gas</t>
  </si>
  <si>
    <t>Table 4.1.2 -  Volume of mains / services / meters per connection</t>
  </si>
  <si>
    <t>Table 4.2.1 -  Unit rates - mains / services / meters</t>
  </si>
  <si>
    <t>New medium density / high rise</t>
  </si>
  <si>
    <t>Table 4.2.7 - Total New Customer Connection expenditure</t>
  </si>
  <si>
    <t>Direct contractor expenditure</t>
  </si>
  <si>
    <t>Direct internal labour expenditure</t>
  </si>
  <si>
    <t>Total labour expenditure</t>
  </si>
  <si>
    <t>TABLE 4.2 -  NEW CUSTOMER CONNECTION EXPENDITURE</t>
  </si>
  <si>
    <t>Inlet / service pipes</t>
  </si>
  <si>
    <t xml:space="preserve">Total contractor expenditure </t>
  </si>
  <si>
    <t xml:space="preserve">Other internal direct expenditure </t>
  </si>
  <si>
    <t xml:space="preserve">Total material expenditure </t>
  </si>
  <si>
    <t xml:space="preserve">Total direct expenditure </t>
  </si>
  <si>
    <t>Total overhead cost</t>
  </si>
  <si>
    <t xml:space="preserve">Total other direct expenditure </t>
  </si>
  <si>
    <t>Total gross expenditure on I&amp;C volume connections</t>
  </si>
  <si>
    <t>Total Net expenditure on I&amp;C volume connections</t>
  </si>
  <si>
    <t>Total gross expenditure on new I&amp;C contract connections</t>
  </si>
  <si>
    <t>Total Net expenditure on new I&amp;C contract connections</t>
  </si>
  <si>
    <t>Total gross expenditure on new connections</t>
  </si>
  <si>
    <t>Total Net expenditure on new connections</t>
  </si>
  <si>
    <t>Number of connections that made a contribution</t>
  </si>
  <si>
    <t>If the expenditure for the connection is not split by the line items specified, provide assumptions on how the expenditure is split between line items. This can be provided as a note to this template or in the written RIN submission.</t>
  </si>
  <si>
    <t>Table 5.1 - Mains augmentation expenditure (actual/forecast)</t>
  </si>
  <si>
    <t>Other internal direct expenditure</t>
  </si>
  <si>
    <t>Total direct expenditure</t>
  </si>
  <si>
    <t>Total Direct expenditure</t>
  </si>
  <si>
    <t>Related party margin expenditure</t>
  </si>
  <si>
    <t>Reported expenditure is to be entered EXCLUSIVE of any profit margins or management fees paid pursuant to arrangements or contracts with any related parties. Include any Related party margin expenditure or management fees in the separate 'Related party margin expenditure' line item.</t>
  </si>
  <si>
    <t>Total overhead expenditure</t>
  </si>
  <si>
    <t>Total gross expenditure</t>
  </si>
  <si>
    <t>Total net expenditure</t>
  </si>
  <si>
    <t>Table 5.2 - Mains augmentation expenditure (approved)</t>
  </si>
  <si>
    <t>Total volume</t>
  </si>
  <si>
    <t>Low pressure - high pressure</t>
  </si>
  <si>
    <t>Low pressure - medium pressure</t>
  </si>
  <si>
    <t>Low pressure - low pressure</t>
  </si>
  <si>
    <t>Medium pressure - medium pressure</t>
  </si>
  <si>
    <t>Medium pressure - high pressure</t>
  </si>
  <si>
    <t>Direct expenditure</t>
  </si>
  <si>
    <t>Total direct contractor expenditure</t>
  </si>
  <si>
    <t xml:space="preserve">Total direct internal labor expenditure </t>
  </si>
  <si>
    <t xml:space="preserve">Total Other internal direct expenditure </t>
  </si>
  <si>
    <t>Equity raising expenditure</t>
  </si>
  <si>
    <t xml:space="preserve">Direct expenditure </t>
  </si>
  <si>
    <t>Total Gross expenditure</t>
  </si>
  <si>
    <t>Record Other internal expenditure attributable to the service provider's meter replacement program in tables 8.8.</t>
  </si>
  <si>
    <t>Contractor expenditure</t>
  </si>
  <si>
    <t>Other expenditure</t>
  </si>
  <si>
    <t>Table 8.6 - Other meter replacement expenditure (actual/forecast)</t>
  </si>
  <si>
    <t>Total other meter replacement expenditure</t>
  </si>
  <si>
    <t>Less contributions</t>
  </si>
  <si>
    <t>Table 8.2 - Meter replacement expenditure  (actual/forecast)</t>
  </si>
  <si>
    <t>Table 8.3 - Replacement meter installation expenditure (actual/forecast)</t>
  </si>
  <si>
    <t>Table 8.3.1 - Residential meter replacement installation expenditure</t>
  </si>
  <si>
    <t>Table 8.3.2 - Industrial and commercial meter replacement installation expenditure</t>
  </si>
  <si>
    <t>Table 8.3.3 - Water meter replacement installation expenditure</t>
  </si>
  <si>
    <t>Table 8.3.4 - Total meter replacement installation expenditure</t>
  </si>
  <si>
    <t>Table 8.5 - Meter replacement expenditure by meter type (actual/forecast)</t>
  </si>
  <si>
    <t>Table 8.4 - Meter replacement expenditure by category / project  (approved)</t>
  </si>
  <si>
    <t>[ enter meter type 3 ]</t>
  </si>
  <si>
    <t>&lt;enter meter type 3&gt;</t>
  </si>
  <si>
    <t>Total number of meters refurbished and acquired</t>
  </si>
  <si>
    <t xml:space="preserve">Total gross expenditure on refurbishing and acquiring meters </t>
  </si>
  <si>
    <t>Total gross expenditure on refurbished meters used for meter replacement</t>
  </si>
  <si>
    <t>Total Overhead expenditure</t>
  </si>
  <si>
    <t>This template asks for information relating to regulatory capital expenditure</t>
  </si>
  <si>
    <t xml:space="preserve">Total net expenditure </t>
  </si>
  <si>
    <t>Regulatory expenditure</t>
  </si>
  <si>
    <t xml:space="preserve">This template asks for information on forecast payments by the service provider to a related party or vice versa over the next access arrangement period. </t>
  </si>
  <si>
    <t>Table 14.1.1 - Network overhead expenditure</t>
  </si>
  <si>
    <t>Table 14.1.2 - Corporate overhead expenditure</t>
  </si>
  <si>
    <t>Capitalised regulatory expenditure</t>
  </si>
  <si>
    <t>&lt; Overhead expenditure item &gt;</t>
  </si>
  <si>
    <t>Where the related party expenditure has been allocated to different asset classes or cost categories, the description of the basis of allocation and the quantum of the allocator</t>
  </si>
  <si>
    <t>Table 22.4 - Debt and equity raising  expenditure</t>
  </si>
  <si>
    <t>Debt raising expenditure</t>
  </si>
  <si>
    <t>Total expenditure</t>
  </si>
  <si>
    <t>Internal labour expenditure</t>
  </si>
  <si>
    <t>Total quantities</t>
  </si>
  <si>
    <t>Contract customers</t>
  </si>
  <si>
    <t>Total gross capital expenditure</t>
  </si>
  <si>
    <t>Total net capital expenditure</t>
  </si>
  <si>
    <t>Band (Gj)</t>
  </si>
  <si>
    <t>Table 30.1.1 - Low pressure</t>
  </si>
  <si>
    <t>Table 30.1.3 - High pressure</t>
  </si>
  <si>
    <t>Table 30.1.4 - Transmission</t>
  </si>
  <si>
    <t>Table 6.1.1 - Proactive mains replacement expenditure</t>
  </si>
  <si>
    <t>Table 6.1 - Mains replacement expenditure (actual/forecast)</t>
  </si>
  <si>
    <t>Table 7.2 - Telemetry expenditure (approved)</t>
  </si>
  <si>
    <t>Table 7.1 - Telemetry expenditure (actual / forecast)</t>
  </si>
  <si>
    <t xml:space="preserve">REAL $ CONVERSION OF HISTORICAL DATA </t>
  </si>
  <si>
    <t>Table 8.1 - Number of meters removed (actual/forecast)</t>
  </si>
  <si>
    <t>Variance (actual vs approved)
%</t>
  </si>
  <si>
    <t>Date last modified:</t>
  </si>
  <si>
    <t>dms_ABN_List</t>
  </si>
  <si>
    <t>dms_State_List</t>
  </si>
  <si>
    <t>dms_Sector_List</t>
  </si>
  <si>
    <t>dms_Segment_List</t>
  </si>
  <si>
    <t>dms_FormControl</t>
  </si>
  <si>
    <t>ACT</t>
  </si>
  <si>
    <t>Electricity</t>
  </si>
  <si>
    <t>Revenue yield</t>
  </si>
  <si>
    <t>ActewAGL Distribution (Tx Assets)</t>
  </si>
  <si>
    <t>Revenue cap</t>
  </si>
  <si>
    <t>SA</t>
  </si>
  <si>
    <t>NSW</t>
  </si>
  <si>
    <t>Ausgrid (Tx Assets)</t>
  </si>
  <si>
    <t>Vic</t>
  </si>
  <si>
    <t>Transmission</t>
  </si>
  <si>
    <t>Australian Distribution Co.</t>
  </si>
  <si>
    <t>Australian Transmission Co.</t>
  </si>
  <si>
    <t>CitiPower</t>
  </si>
  <si>
    <t>Weighted average price cap</t>
  </si>
  <si>
    <t>Directlink</t>
  </si>
  <si>
    <t>Qld</t>
  </si>
  <si>
    <t>ElectraNet</t>
  </si>
  <si>
    <t>Murraylink</t>
  </si>
  <si>
    <t>Tas</t>
  </si>
  <si>
    <t>Revised regulatory proposal</t>
  </si>
  <si>
    <t>Draft decision</t>
  </si>
  <si>
    <t>Final decision</t>
  </si>
  <si>
    <t>After appeal</t>
  </si>
  <si>
    <t>Total customer numbers</t>
  </si>
  <si>
    <t>Broken pipe - cracked</t>
  </si>
  <si>
    <t>Broken pipe - full break</t>
  </si>
  <si>
    <t>Corrosion</t>
  </si>
  <si>
    <t>Joint leak</t>
  </si>
  <si>
    <t>3rd party damage</t>
  </si>
  <si>
    <t>High density polyethylene (250)</t>
  </si>
  <si>
    <t>High density polyethylene (575)</t>
  </si>
  <si>
    <t>Medium density polyethylene</t>
  </si>
  <si>
    <t>Table 28.1 - Consumption and demand</t>
  </si>
  <si>
    <t>In tables 30.1 to 30.5 enter the required data in the yellow cells. This may require the insertion of new rows.</t>
  </si>
  <si>
    <t>Table 30.1 - Network Length by pressure</t>
  </si>
  <si>
    <t>Number of actual leak repairs/replacements</t>
  </si>
  <si>
    <t>Number of leaks per kilometre</t>
  </si>
  <si>
    <t>Crack related leaks per kilometre</t>
  </si>
  <si>
    <t>Table 26.5 - Total revenue</t>
  </si>
  <si>
    <t>Total reference services revenue</t>
  </si>
  <si>
    <t>Total ancillary reference services revenue</t>
  </si>
  <si>
    <t>Total rebateable services revenue</t>
  </si>
  <si>
    <t>Total non-reference services revenue</t>
  </si>
  <si>
    <t>Table 30.2.1</t>
  </si>
  <si>
    <t>Low pressure</t>
  </si>
  <si>
    <t>Medium pressure</t>
  </si>
  <si>
    <t>High pressure</t>
  </si>
  <si>
    <t>Table 30.1.2 - Medium pressure</t>
  </si>
  <si>
    <t>Table 30.4 - Network Length by suburb/post code</t>
  </si>
  <si>
    <t xml:space="preserve">In table 30.4 insert the length of each asset type in each suburb/post code in AGN's service area in kilometres. </t>
  </si>
  <si>
    <t>[Insert suburb/post code]</t>
  </si>
  <si>
    <t>Tables 30.4 and 30.5 must be filled in for each suburb or post code in AGN's service area.</t>
  </si>
  <si>
    <t>Table 30.5 - Leaks (publicly reported or identified by AGN) by cause of leak by suburb/post code and average forecast leak rate for each asset type by suburb/post code</t>
  </si>
  <si>
    <t>Description</t>
  </si>
  <si>
    <t>Residential customer</t>
  </si>
  <si>
    <t>Business customer</t>
  </si>
  <si>
    <t>Table 21.2 - Typical gas bill - Residential customer</t>
  </si>
  <si>
    <t>Table 21.3 - Typical gas bill - Business customer</t>
  </si>
  <si>
    <t>Table 21.4 - Indicative annual average distribution price impact</t>
  </si>
  <si>
    <t>Table 21.5 - Distribution bill component - Residential customer</t>
  </si>
  <si>
    <t xml:space="preserve">In table 30.5, insert the number of leaks against each cause of leak by for each suburb or post code in DNSP's service area. The forecast leak rate per kilometre relates to estimate rate of all leaks expected for each asset in the suburb/post code in the 2018-22 access arrangement period. The crack related leak per kilometre relates to leaks resulting from cracks only. Please state the assumptions used to estimate the leak rate. For example, if the estimate was based on historical data. </t>
  </si>
  <si>
    <t xml:space="preserve">Less approved excludable costs - allowance </t>
  </si>
  <si>
    <t>ABS CPI index - December (old base)</t>
  </si>
  <si>
    <t>Inflation rate (per cent)</t>
  </si>
  <si>
    <t>ABS CPI index - December (rebased index in March 2012)</t>
  </si>
  <si>
    <t>Forecast opex ($million, 2017)</t>
  </si>
  <si>
    <t>Customer numbers as at 1 January</t>
  </si>
  <si>
    <t>Customer numbers as at 31 December</t>
  </si>
  <si>
    <t>ONE ZONE PER TABLE. If the service provider has more than one zone, copy and paste Table 27.1 accordingly.</t>
  </si>
  <si>
    <t xml:space="preserve">In table 27.1 enter the customer types and required data in the yellow cells. This may require the insertion of new rows for additional customer types and tariff types. For example, commercial customers that have are on a volume based tariff should be identified separately to business customers on a demand based tariff. </t>
  </si>
  <si>
    <t>Table 28.1.1</t>
  </si>
  <si>
    <t>Band name</t>
  </si>
  <si>
    <t>The band name must specify the units (eg. GJ or MHQ).</t>
  </si>
  <si>
    <t>Identified water in main</t>
  </si>
  <si>
    <t>Table 9 - OTHER CAPITAL EXPENDITURE</t>
  </si>
  <si>
    <t>Table 9.1 - Other capital expenditure (actual / forecast )</t>
  </si>
  <si>
    <t>Table 9.2 - Other capital expenditure  (approved)</t>
  </si>
  <si>
    <t>Include all other non-residential customer types in the commercial/industrial customers section.</t>
  </si>
  <si>
    <t>2018</t>
  </si>
  <si>
    <t>2019</t>
  </si>
  <si>
    <t>2020</t>
  </si>
  <si>
    <t>2021</t>
  </si>
  <si>
    <t>2022</t>
  </si>
  <si>
    <t>2014</t>
  </si>
  <si>
    <t>2015</t>
  </si>
  <si>
    <t>2016</t>
  </si>
  <si>
    <t>2017</t>
  </si>
  <si>
    <t>2008</t>
  </si>
  <si>
    <t>2009</t>
  </si>
  <si>
    <t>2010</t>
  </si>
  <si>
    <t>2011</t>
  </si>
  <si>
    <t>2012</t>
  </si>
  <si>
    <t>Calendar</t>
  </si>
  <si>
    <t>Data in these columns used for data validation and database purposes.</t>
  </si>
  <si>
    <t>added new business names, improved column heading formatting</t>
  </si>
  <si>
    <t>FOR ELECTRICITY BUSINESSES ONLY</t>
  </si>
  <si>
    <t>Feeder Types</t>
  </si>
  <si>
    <t>MAIFI flag</t>
  </si>
  <si>
    <t>Feeder Names</t>
  </si>
  <si>
    <t>CBD</t>
  </si>
  <si>
    <t>Urban</t>
  </si>
  <si>
    <t>Short rural</t>
  </si>
  <si>
    <t>long rural</t>
  </si>
  <si>
    <t>EXTRA</t>
  </si>
  <si>
    <t>dms_TradingName_List</t>
  </si>
  <si>
    <t>dms_TradingNameFull_List</t>
  </si>
  <si>
    <t>dms_JurisdictionList</t>
  </si>
  <si>
    <t>dms_FormControl_List</t>
  </si>
  <si>
    <t>dms_RPT_List</t>
  </si>
  <si>
    <t>dms_RPTMonth_List</t>
  </si>
  <si>
    <t>dms_CRCPlength_List</t>
  </si>
  <si>
    <t>dms_FRCPlength_List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</si>
  <si>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</si>
  <si>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</si>
  <si>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</si>
  <si>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</si>
  <si>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</si>
  <si>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</si>
  <si>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</si>
  <si>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</si>
  <si>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</si>
  <si>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</si>
  <si>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</si>
  <si>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dms_ContactName1_List</t>
  </si>
  <si>
    <t>dms_ContactPh1_List</t>
  </si>
  <si>
    <t>dms_ContactEmail_List</t>
  </si>
  <si>
    <t>dms_CBD_flag</t>
  </si>
  <si>
    <t>dms_Urban_flag</t>
  </si>
  <si>
    <t>dms_ShortRural_flag</t>
  </si>
  <si>
    <t>dms_LongRural_flag</t>
  </si>
  <si>
    <t>dms_FeederType_5_flag</t>
  </si>
  <si>
    <t>dms_MAIFI_flag_List</t>
  </si>
  <si>
    <t>dms_FeederName_1</t>
  </si>
  <si>
    <t>dms_FeederName_2</t>
  </si>
  <si>
    <t>dms_FeederName_3</t>
  </si>
  <si>
    <t>dms_FeederName_4</t>
  </si>
  <si>
    <t>dms_FeederName_5</t>
  </si>
  <si>
    <t>Financial</t>
  </si>
  <si>
    <t>June</t>
  </si>
  <si>
    <t>2014-19 Distribution Determination</t>
  </si>
  <si>
    <t>40 Bunda Street</t>
  </si>
  <si>
    <t>CANBERRA</t>
  </si>
  <si>
    <t>2600</t>
  </si>
  <si>
    <t>GPO BOX 366</t>
  </si>
  <si>
    <t>Robert Walker</t>
  </si>
  <si>
    <t>02 6248 3847</t>
  </si>
  <si>
    <t>robert.walker@actewagle.com.au</t>
  </si>
  <si>
    <t>NO</t>
  </si>
  <si>
    <t>YES</t>
  </si>
  <si>
    <t>Long rural</t>
  </si>
  <si>
    <t>distribution determination</t>
  </si>
  <si>
    <t>ActewAGL Gas</t>
  </si>
  <si>
    <t>x</t>
  </si>
  <si>
    <t>Philip Deamer</t>
  </si>
  <si>
    <t>02 6248 3438</t>
  </si>
  <si>
    <t>GasAAReview@actewagl.com.au</t>
  </si>
  <si>
    <t>AGN (SA)</t>
  </si>
  <si>
    <t>AGN (Victoria)</t>
  </si>
  <si>
    <t>Australian Gas Networks Limited</t>
  </si>
  <si>
    <t>December</t>
  </si>
  <si>
    <t>Level 10</t>
  </si>
  <si>
    <t>81 Flinders Street</t>
  </si>
  <si>
    <t>ADELAIDE</t>
  </si>
  <si>
    <t>5000</t>
  </si>
  <si>
    <t>08 8227 1500</t>
  </si>
  <si>
    <t>Amadeus</t>
  </si>
  <si>
    <t>APT Pipelines (NT) Pty Ltd</t>
  </si>
  <si>
    <t>NT</t>
  </si>
  <si>
    <t>n/a</t>
  </si>
  <si>
    <t>Level 19, HSBC Building</t>
  </si>
  <si>
    <t>580 George Street</t>
  </si>
  <si>
    <t>SYDNEY</t>
  </si>
  <si>
    <t>2000</t>
  </si>
  <si>
    <t>Alexandra Curran</t>
  </si>
  <si>
    <t>02 9275 0020</t>
  </si>
  <si>
    <t>alexandra.curran@apa.com.au</t>
  </si>
  <si>
    <t>APA GasNet</t>
  </si>
  <si>
    <t>APA VTS Australia Limited</t>
  </si>
  <si>
    <t>PO Box R41</t>
  </si>
  <si>
    <t>ROYAL EXCHANGE</t>
  </si>
  <si>
    <t>1225</t>
  </si>
  <si>
    <t>02 9693 0000</t>
  </si>
  <si>
    <t>570 George St</t>
  </si>
  <si>
    <t>John Thomson</t>
  </si>
  <si>
    <t>(02) 9269 2312</t>
  </si>
  <si>
    <t>john.thomson@ausgrid.com.au</t>
  </si>
  <si>
    <t>AusNet Services (D)</t>
  </si>
  <si>
    <t>2016-20 Distribution Determination</t>
  </si>
  <si>
    <t>Level 32</t>
  </si>
  <si>
    <t>2 Southbank Boulevard</t>
  </si>
  <si>
    <t>SOUTHBANK</t>
  </si>
  <si>
    <t>3006</t>
  </si>
  <si>
    <t>Locked Bag 14051</t>
  </si>
  <si>
    <t>MELBOURNE CITY MAIL CENTRE</t>
  </si>
  <si>
    <t>VIC</t>
  </si>
  <si>
    <t>Hannah Williams</t>
  </si>
  <si>
    <t>03 9683 4088</t>
  </si>
  <si>
    <t>hwilliams@powercor.com.au</t>
  </si>
  <si>
    <t>AusNet (Gas)</t>
  </si>
  <si>
    <t>AusNet Gas Services</t>
  </si>
  <si>
    <t>X</t>
  </si>
  <si>
    <t>March</t>
  </si>
  <si>
    <t>transmission determination</t>
  </si>
  <si>
    <t>8001</t>
  </si>
  <si>
    <t>Clare Thompson</t>
  </si>
  <si>
    <t>03 9695 6670</t>
  </si>
  <si>
    <t>clare.e.thompson@ausnetservices.com.au</t>
  </si>
  <si>
    <t>-</t>
  </si>
  <si>
    <t>123 Straight Street</t>
  </si>
  <si>
    <t>PO Box 123</t>
  </si>
  <si>
    <t>Bob Smith</t>
  </si>
  <si>
    <t>02 1234 5678</t>
  </si>
  <si>
    <t>bob@auselec.net.au</t>
  </si>
  <si>
    <t>40 Market Street</t>
  </si>
  <si>
    <t>MELBOURNE</t>
  </si>
  <si>
    <t>3000</t>
  </si>
  <si>
    <t>Locked Bag 14090</t>
  </si>
  <si>
    <t>52-55 East Terrace</t>
  </si>
  <si>
    <t>Rymill Park</t>
  </si>
  <si>
    <t>PO Box 7096</t>
  </si>
  <si>
    <t>Hutt Street Post Office</t>
  </si>
  <si>
    <t>Bill Jackson</t>
  </si>
  <si>
    <t>08 8404 7969</t>
  </si>
  <si>
    <t>jackson.bill@electranet.com.au</t>
  </si>
  <si>
    <t>51 Huntingwood Drive</t>
  </si>
  <si>
    <t>HUNTINGWOOD</t>
  </si>
  <si>
    <t>2148</t>
  </si>
  <si>
    <t>PO Box 811</t>
  </si>
  <si>
    <t>SEVEN HILLS</t>
  </si>
  <si>
    <t>1730</t>
  </si>
  <si>
    <t>Jon Hocking</t>
  </si>
  <si>
    <t>02 9853 4386 / 0407 348 156</t>
  </si>
  <si>
    <t>Jon.Hocking@Endeavourenergy.com.au</t>
  </si>
  <si>
    <t>2015-20 Distribution Determination</t>
  </si>
  <si>
    <t>26 Reddacliff Street</t>
  </si>
  <si>
    <t>NEWSTEAD</t>
  </si>
  <si>
    <t>4006</t>
  </si>
  <si>
    <t>QLD</t>
  </si>
  <si>
    <t>Nicola Roscoe</t>
  </si>
  <si>
    <t>07 3664 5891</t>
  </si>
  <si>
    <t>nicolaroscoe@energex.com.au</t>
  </si>
  <si>
    <t>22 Walker Street</t>
  </si>
  <si>
    <t>TOWNSVILLE</t>
  </si>
  <si>
    <t>4810</t>
  </si>
  <si>
    <t>Po Box 264</t>
  </si>
  <si>
    <t>FORTITUDE VALLEY</t>
  </si>
  <si>
    <t>Jenny Doyle, Group Manager Regulatory Affairs</t>
  </si>
  <si>
    <t>(07) 3851 6416</t>
  </si>
  <si>
    <t>jenny.doyle@ergon.com.au</t>
  </si>
  <si>
    <t>8 Buller Street</t>
  </si>
  <si>
    <t>PORT MACQUARIE</t>
  </si>
  <si>
    <t>2444</t>
  </si>
  <si>
    <t>PO Box 5730</t>
  </si>
  <si>
    <t>Catherine Waddell</t>
  </si>
  <si>
    <t>02 6338 3553</t>
  </si>
  <si>
    <t>catherine.waddell@essentialenergy.com.au</t>
  </si>
  <si>
    <t>Level 16</t>
  </si>
  <si>
    <t>567 Collins Street</t>
  </si>
  <si>
    <t>PO Box 16182</t>
  </si>
  <si>
    <t>Robert McMillan</t>
  </si>
  <si>
    <t>03 9173 7000</t>
  </si>
  <si>
    <t>robert.mcmillan@jemena.com.au</t>
  </si>
  <si>
    <t>JGN</t>
  </si>
  <si>
    <t>Jemena Gas Networks</t>
  </si>
  <si>
    <t>Multinet Gas</t>
  </si>
  <si>
    <t>Multinet Gas (DB No.1) Pty Ltd (ACN 086 026 986), Multinet Gas (DB No.2) Pty Ltd (ACN 086 230 122)</t>
  </si>
  <si>
    <t>Locked bag 14090</t>
  </si>
  <si>
    <t>Queensland Electricity Transmission Corporation Limited trading as Powerlink Queensland</t>
  </si>
  <si>
    <t>33 Harold St</t>
  </si>
  <si>
    <t>VIRGINIA</t>
  </si>
  <si>
    <t>4014</t>
  </si>
  <si>
    <t>PO Box 1193</t>
  </si>
  <si>
    <t>Jennifer Harris</t>
  </si>
  <si>
    <t>07 3860 2667</t>
  </si>
  <si>
    <t>jharris@powerlink.com.au</t>
  </si>
  <si>
    <t>Roma to Brisbane Pipeline</t>
  </si>
  <si>
    <t>APT Petroleum Pipelines Limited t/a Roma to Brisbane Pipeline</t>
  </si>
  <si>
    <t>009 737 393</t>
  </si>
  <si>
    <t>1 Anzac Highway</t>
  </si>
  <si>
    <t>KESWICK</t>
  </si>
  <si>
    <t>5035</t>
  </si>
  <si>
    <t>GPO Box 77</t>
  </si>
  <si>
    <t>Damien O'Connor</t>
  </si>
  <si>
    <t>08 8404 5066</t>
  </si>
  <si>
    <t>damien.oconnor@sapowernetworks.com.au</t>
  </si>
  <si>
    <t>21 Kirksway Place</t>
  </si>
  <si>
    <t>HOBART</t>
  </si>
  <si>
    <t>7000</t>
  </si>
  <si>
    <t>GPO Box 191</t>
  </si>
  <si>
    <t>Leigh Mayne</t>
  </si>
  <si>
    <t>03 6270 3691</t>
  </si>
  <si>
    <t>rrp2012@auroraenergy.com.au</t>
  </si>
  <si>
    <t>Critical Infrastructure</t>
  </si>
  <si>
    <t>High density commercial</t>
  </si>
  <si>
    <t>High density rural</t>
  </si>
  <si>
    <t>Low density rural</t>
  </si>
  <si>
    <t>1-7 Maria Street</t>
  </si>
  <si>
    <t>LENAH VALLEY</t>
  </si>
  <si>
    <t>7008</t>
  </si>
  <si>
    <t>PO Box 606</t>
  </si>
  <si>
    <t>MOONAH</t>
  </si>
  <si>
    <t>7009</t>
  </si>
  <si>
    <t>Heath Dillon</t>
  </si>
  <si>
    <t>03 6274 3664</t>
  </si>
  <si>
    <t>heath.dillon@transend.com.au</t>
  </si>
  <si>
    <t>180 Thomas Street</t>
  </si>
  <si>
    <t>HAYMARKET</t>
  </si>
  <si>
    <t>PO Box A1000</t>
  </si>
  <si>
    <t>SYDNEY SOUTH</t>
  </si>
  <si>
    <t>1235</t>
  </si>
  <si>
    <t>Andrew Kingsmill</t>
  </si>
  <si>
    <t>02 9284 3149</t>
  </si>
  <si>
    <t>andrew.kingsmill@transgrid.com.au</t>
  </si>
  <si>
    <t>Level 3</t>
  </si>
  <si>
    <t>6 Nexus Court</t>
  </si>
  <si>
    <t>MULGRAVE</t>
  </si>
  <si>
    <t>3149</t>
  </si>
  <si>
    <t>PO Box 449</t>
  </si>
  <si>
    <t>MOUNT WAVERLEY</t>
  </si>
  <si>
    <t>Mathew Abraham</t>
  </si>
  <si>
    <t>03 8846 9758</t>
  </si>
  <si>
    <t>mathew.abraham@ue.com.au</t>
  </si>
  <si>
    <t>Western Power (D)</t>
  </si>
  <si>
    <t>WA</t>
  </si>
  <si>
    <t>363 Wellington Street</t>
  </si>
  <si>
    <t>PERTH</t>
  </si>
  <si>
    <t>6000</t>
  </si>
  <si>
    <t>GPO Box L921</t>
  </si>
  <si>
    <t>Judy Hunter</t>
  </si>
  <si>
    <t>08 9326 6239</t>
  </si>
  <si>
    <t>judy.hunter@westernpower.com.au</t>
  </si>
  <si>
    <t>Western Power (T)</t>
  </si>
  <si>
    <t>For EB &amp; Reset RINs only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</si>
  <si>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</si>
  <si>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Drop down selector box for CA &amp; Reset RINs.</t>
  </si>
  <si>
    <t>For CA &amp; Reset RINs only</t>
  </si>
  <si>
    <t>for DNSP only</t>
  </si>
  <si>
    <t>Reason for interruption</t>
  </si>
  <si>
    <t>dms_Reason_Interruption_Detailed</t>
  </si>
  <si>
    <t>dms_Reason_Interruption</t>
  </si>
  <si>
    <t xml:space="preserve">dms_Model_List </t>
  </si>
  <si>
    <t>DELETE NR 'CRY' IF NOT AN ANNUAL RIN (EB, CA , ARR)</t>
  </si>
  <si>
    <t>dms_RYE_Formula_Result</t>
  </si>
  <si>
    <t>dms_0203_ProjectType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</si>
  <si>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</si>
  <si>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</si>
  <si>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</si>
  <si>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</si>
  <si>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</si>
  <si>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</si>
  <si>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</si>
  <si>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</si>
  <si>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</si>
  <si>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</si>
  <si>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</si>
  <si>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</si>
  <si>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</si>
  <si>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Animal</t>
  </si>
  <si>
    <t>Animal impact</t>
  </si>
  <si>
    <t>ARR</t>
  </si>
  <si>
    <t>ANNUAL REPORTING STATEMENT</t>
  </si>
  <si>
    <t>=LEFT(dms_SingleYear_FinalYear_Result,2)&amp;RIGHT(dms_SingleYear_FinalYear_Result,2)</t>
  </si>
  <si>
    <t>Formula errors are OK</t>
  </si>
  <si>
    <t>New line on new route - single circuit</t>
  </si>
  <si>
    <t>Circuit line length in km</t>
  </si>
  <si>
    <t>days</t>
  </si>
  <si>
    <t>minutes/customer</t>
  </si>
  <si>
    <t>Customer / km</t>
  </si>
  <si>
    <t>km</t>
  </si>
  <si>
    <t>Animal nesting/burrowing, etc and other</t>
  </si>
  <si>
    <t>Asset failure</t>
  </si>
  <si>
    <t>New line on new route - dual circuit</t>
  </si>
  <si>
    <t>MWh/customer</t>
  </si>
  <si>
    <t>Number of spans</t>
  </si>
  <si>
    <t>New line on new route - other</t>
  </si>
  <si>
    <t>MVA added</t>
  </si>
  <si>
    <t>$0s</t>
  </si>
  <si>
    <t>interruptions/customer</t>
  </si>
  <si>
    <t>kVA / customer</t>
  </si>
  <si>
    <t>LV</t>
  </si>
  <si>
    <t>Overloads</t>
  </si>
  <si>
    <t>Line rebuild over existing route - single circuit</t>
  </si>
  <si>
    <t>Distribution substation</t>
  </si>
  <si>
    <t>Planned</t>
  </si>
  <si>
    <t>=LEFT(dms_MultiYear_FinalYear_Result,2)&amp;RIGHT(dms_MultiYear_FinalYear_Result,2)</t>
  </si>
  <si>
    <t>Line rebuild over existing route - dual circuit</t>
  </si>
  <si>
    <t>Number</t>
  </si>
  <si>
    <t>total spend $0s</t>
  </si>
  <si>
    <t>(per cent)</t>
  </si>
  <si>
    <t>HV</t>
  </si>
  <si>
    <t>Network business</t>
  </si>
  <si>
    <t>Reconductor - Single circuit</t>
  </si>
  <si>
    <t>net circuit km added</t>
  </si>
  <si>
    <t>Years</t>
  </si>
  <si>
    <t>Zone substation</t>
  </si>
  <si>
    <t>Third party</t>
  </si>
  <si>
    <t>=LEFT(dms_CRCP_FinalYear_Result,2)&amp;RIGHT(dms_CRCP_FinalYear_Result,2)</t>
  </si>
  <si>
    <t>Reconductor - Dual circuit</t>
  </si>
  <si>
    <t>Subtransmission</t>
  </si>
  <si>
    <t>Unknown</t>
  </si>
  <si>
    <t>Trees</t>
  </si>
  <si>
    <t>insert description of 'other'</t>
  </si>
  <si>
    <t>Vegetation</t>
  </si>
  <si>
    <t>Weather</t>
  </si>
  <si>
    <t>Defects</t>
  </si>
  <si>
    <t>2 - STPIS Exclusion (3.3)(a)</t>
  </si>
  <si>
    <t>Network error</t>
  </si>
  <si>
    <t>3 - STPIS Exclusion (3.3)(a)</t>
  </si>
  <si>
    <t>Spans</t>
  </si>
  <si>
    <t>Switching and protection error</t>
  </si>
  <si>
    <t>4 - STPIS Exclusion (3.3)(a)</t>
  </si>
  <si>
    <t>Fire</t>
  </si>
  <si>
    <t>5 - STPIS Exclusion (3.3)(a)</t>
  </si>
  <si>
    <t/>
  </si>
  <si>
    <t>6 - STPIS Exclusion (3.3)(a)</t>
  </si>
  <si>
    <t>Dig-in</t>
  </si>
  <si>
    <t>7 - STPIS Exclusion (3.3)(a)</t>
  </si>
  <si>
    <t>Unauthorised access</t>
  </si>
  <si>
    <t>For all files either AER or business needs to be able to specify the type of submission</t>
  </si>
  <si>
    <t>For PTRM &amp; RFM templates we must provide a choice in case they change their form of control - otherwise it is drawn from the business specific lookup table above.</t>
  </si>
  <si>
    <t>These are indeces and lookup values for various dates. All step from the value placed in FRCP_y1 on the business and other details worksheet</t>
  </si>
  <si>
    <t>for TNSP only</t>
  </si>
  <si>
    <t>Vehicle impact</t>
  </si>
  <si>
    <t>dms_SourceList</t>
  </si>
  <si>
    <t>dms_FormControl_Choices</t>
  </si>
  <si>
    <t>dms_FRCPlength_Num_List</t>
  </si>
  <si>
    <t>dms_FinalYear_List</t>
  </si>
  <si>
    <t>dms_CRCPlength_Num_List</t>
  </si>
  <si>
    <t>dms_CFinalYear_List</t>
  </si>
  <si>
    <t>dms_FRCP_years</t>
  </si>
  <si>
    <t>dms_CRCP_years</t>
  </si>
  <si>
    <t>dms_CRCP_index</t>
  </si>
  <si>
    <t>dms_FRCP_y1</t>
  </si>
  <si>
    <t>CRCP_y1</t>
  </si>
  <si>
    <t>dms_CRCP_yZ</t>
  </si>
  <si>
    <t>Blow-in/Fall-in - NSP responsibility</t>
  </si>
  <si>
    <t>dms_FRCP_y2</t>
  </si>
  <si>
    <t>CRCP_y2</t>
  </si>
  <si>
    <t>dms_CRCP_yY</t>
  </si>
  <si>
    <t>number</t>
  </si>
  <si>
    <t>Grow-in - NSP responsibility</t>
  </si>
  <si>
    <t>dms_FRCP_y3</t>
  </si>
  <si>
    <t>CRCP_y3</t>
  </si>
  <si>
    <t>dms_CRCP_yX</t>
  </si>
  <si>
    <t>Blow-in/Fall-in - Other responsible party</t>
  </si>
  <si>
    <t>PTRM update 1</t>
  </si>
  <si>
    <t>dms_FRCP_y4</t>
  </si>
  <si>
    <t>CRCP_y4</t>
  </si>
  <si>
    <t>dms_CRCP_yW</t>
  </si>
  <si>
    <t>Grow-in - Other responsible party</t>
  </si>
  <si>
    <t>PTRM update 2</t>
  </si>
  <si>
    <t>dms_FRCP_y5</t>
  </si>
  <si>
    <t>CRCP_y5</t>
  </si>
  <si>
    <t>dms_CRCP_yV</t>
  </si>
  <si>
    <t>PTRM update 3</t>
  </si>
  <si>
    <t>dms_FRCP_y6</t>
  </si>
  <si>
    <t>CRCP_y6</t>
  </si>
  <si>
    <t>dms_CRCP_yU</t>
  </si>
  <si>
    <t>PTRM update 4</t>
  </si>
  <si>
    <t>dms_FRCP_y7</t>
  </si>
  <si>
    <t>CRCP_y7</t>
  </si>
  <si>
    <t>dms_CRCP_yT</t>
  </si>
  <si>
    <t>PTRM update 5</t>
  </si>
  <si>
    <t>dms_FRCP_y8</t>
  </si>
  <si>
    <t>CRCP_y8</t>
  </si>
  <si>
    <t>dms_CRCP_yS</t>
  </si>
  <si>
    <t>PTRM update 6</t>
  </si>
  <si>
    <t>dms_FRCP_y9</t>
  </si>
  <si>
    <t>CRCP_y9</t>
  </si>
  <si>
    <t>dms_CRCP_yR</t>
  </si>
  <si>
    <t>PTRM update 7</t>
  </si>
  <si>
    <t>dms_FRCP_y10</t>
  </si>
  <si>
    <t>CRCP_y10</t>
  </si>
  <si>
    <t>dms_CRCP_yQ</t>
  </si>
  <si>
    <t>dms_FRCP_y11</t>
  </si>
  <si>
    <t>CRCP_y11</t>
  </si>
  <si>
    <t>dms_CRCP_yP</t>
  </si>
  <si>
    <t>Reporting</t>
  </si>
  <si>
    <t>dms_FRCP_y12</t>
  </si>
  <si>
    <t>CRCP_y12</t>
  </si>
  <si>
    <t>dms_CRCP_yO</t>
  </si>
  <si>
    <t>dms_FRCP_y13</t>
  </si>
  <si>
    <t>CRCP_y13</t>
  </si>
  <si>
    <t>dms_CRCP_yN</t>
  </si>
  <si>
    <t>dms_FRCP_y14</t>
  </si>
  <si>
    <t>CRCP_y14</t>
  </si>
  <si>
    <t>dms_CRCP_yM</t>
  </si>
  <si>
    <t>dms_FRCP_y15</t>
  </si>
  <si>
    <t>CRCP_y15</t>
  </si>
  <si>
    <t>dms_CRCP_yL</t>
  </si>
  <si>
    <t>These are drop down lists for businesses to select the correct FRCP_y1 on the business and other details worksheet.
This also populates the column headings in the worksheets</t>
  </si>
  <si>
    <t>dms_DataQuality_List</t>
  </si>
  <si>
    <t>dms_RCP_fyear_list</t>
  </si>
  <si>
    <t>dms_CRY_ListF</t>
  </si>
  <si>
    <t>dms_CRY_ListC</t>
  </si>
  <si>
    <t>dms_RCP_cyear_list</t>
  </si>
  <si>
    <t>dms_FRCP_fyear_list</t>
  </si>
  <si>
    <t>dms_FRCP_ListF</t>
  </si>
  <si>
    <t>dms_FRCP_ListC</t>
  </si>
  <si>
    <t>dms_FRCP_cyear_list</t>
  </si>
  <si>
    <t>dms_fy1</t>
  </si>
  <si>
    <t>dms_cy1</t>
  </si>
  <si>
    <t>dms_frcp_fy1</t>
  </si>
  <si>
    <t>dms_crcp_cy1</t>
  </si>
  <si>
    <t>dms_fy2</t>
  </si>
  <si>
    <t>dms_cy2</t>
  </si>
  <si>
    <t>dms_frcp_fy2</t>
  </si>
  <si>
    <t>dms_crcp_cy2</t>
  </si>
  <si>
    <t>dms_fy3</t>
  </si>
  <si>
    <t>dms_cy3</t>
  </si>
  <si>
    <t>dms_frcp_fy3</t>
  </si>
  <si>
    <t>dms_crcp_cy3</t>
  </si>
  <si>
    <t>Recast</t>
  </si>
  <si>
    <t>dms_fy4</t>
  </si>
  <si>
    <t>dms_cy4</t>
  </si>
  <si>
    <t>dms_frcp_fy4</t>
  </si>
  <si>
    <t>dms_crcp_cy4</t>
  </si>
  <si>
    <t>Public</t>
  </si>
  <si>
    <t>dms_fy5</t>
  </si>
  <si>
    <t>dms_cy5</t>
  </si>
  <si>
    <t>dms_frcp_fy5</t>
  </si>
  <si>
    <t>dms_crcp_cy5</t>
  </si>
  <si>
    <t>dms_fy6</t>
  </si>
  <si>
    <t>dms_cy6</t>
  </si>
  <si>
    <t>dms_frcp_fy6</t>
  </si>
  <si>
    <t>2021-22</t>
  </si>
  <si>
    <t>dms_crcp_cy6</t>
  </si>
  <si>
    <t>dms_fy7</t>
  </si>
  <si>
    <t>2013</t>
  </si>
  <si>
    <t>dms_cy7</t>
  </si>
  <si>
    <t>dms_frcp_fy7</t>
  </si>
  <si>
    <t>2022-23</t>
  </si>
  <si>
    <t>2023</t>
  </si>
  <si>
    <t>dms_crcp_cy7</t>
  </si>
  <si>
    <t>dms_fy8</t>
  </si>
  <si>
    <t>dms_cy8</t>
  </si>
  <si>
    <t>dms_frcp_fy8</t>
  </si>
  <si>
    <t>2023-24</t>
  </si>
  <si>
    <t>2024</t>
  </si>
  <si>
    <t>dms_crcp_cy8</t>
  </si>
  <si>
    <t>dms_fy9</t>
  </si>
  <si>
    <t>dms_cy9</t>
  </si>
  <si>
    <t>dms_frcp_fy9</t>
  </si>
  <si>
    <t>2024-25</t>
  </si>
  <si>
    <t>2025</t>
  </si>
  <si>
    <t>dms_crcp_cy9</t>
  </si>
  <si>
    <t>dms_fy10</t>
  </si>
  <si>
    <t>dms_cy10</t>
  </si>
  <si>
    <t>dms_frcp_fy10</t>
  </si>
  <si>
    <t>2025-26</t>
  </si>
  <si>
    <t>2026</t>
  </si>
  <si>
    <t>dms_crcp_cy10</t>
  </si>
  <si>
    <t>dms_fy11</t>
  </si>
  <si>
    <t>dms_cy11</t>
  </si>
  <si>
    <t>dms_frcp_fy11</t>
  </si>
  <si>
    <t>2026-27</t>
  </si>
  <si>
    <t>2027</t>
  </si>
  <si>
    <t>dms_crcp_cy11</t>
  </si>
  <si>
    <t>dms_fy12</t>
  </si>
  <si>
    <t>dms_cy12</t>
  </si>
  <si>
    <t>dms_frcp_fy12</t>
  </si>
  <si>
    <t>2027-28</t>
  </si>
  <si>
    <t>2028</t>
  </si>
  <si>
    <t>dms_crcp_cy12</t>
  </si>
  <si>
    <t>dms_fy13</t>
  </si>
  <si>
    <t>dms_cy13</t>
  </si>
  <si>
    <t>dms_frcp_fy13</t>
  </si>
  <si>
    <t>2028-29</t>
  </si>
  <si>
    <t>2029</t>
  </si>
  <si>
    <t>dms_crcp_cy13</t>
  </si>
  <si>
    <t>dms_fy14</t>
  </si>
  <si>
    <t>dms_cy14</t>
  </si>
  <si>
    <t>dms_frcp_fy14</t>
  </si>
  <si>
    <t>2029-30</t>
  </si>
  <si>
    <t>2030</t>
  </si>
  <si>
    <t>dms_crcp_cy14</t>
  </si>
  <si>
    <t>dms_fy15</t>
  </si>
  <si>
    <t>dms_cy15</t>
  </si>
  <si>
    <t>dms_frcp_fy15</t>
  </si>
  <si>
    <t>2030-31</t>
  </si>
  <si>
    <t>2031</t>
  </si>
  <si>
    <t>dms_crcp_cy15</t>
  </si>
  <si>
    <r>
      <t xml:space="preserve">Complete the following business details regulatory template </t>
    </r>
    <r>
      <rPr>
        <b/>
        <sz val="10"/>
        <color indexed="10"/>
        <rFont val="Arial"/>
        <family val="2"/>
      </rPr>
      <t>before</t>
    </r>
    <r>
      <rPr>
        <sz val="1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</si>
  <si>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ENTITY DETAILS</t>
  </si>
  <si>
    <t>Short name</t>
  </si>
  <si>
    <t>Select business name from drop down list first</t>
  </si>
  <si>
    <t>REGULATORY CONTROL PERIODS</t>
  </si>
  <si>
    <t>Current regulatory year</t>
  </si>
  <si>
    <t>CRY</t>
  </si>
  <si>
    <t>APPLY NR 'CRY' IF AN ANNUAL RIN (EB, CA , ARR) - including multi year annual RINs eg. Recast CA. EB</t>
  </si>
  <si>
    <t>Please select the correct submission type from the dropdown list.</t>
  </si>
  <si>
    <t>Submission Date</t>
  </si>
  <si>
    <t>dd/mm/yyyy</t>
  </si>
  <si>
    <t>dms_SubmissionDate</t>
  </si>
  <si>
    <t>Please enter date this file submitted to AER (dd/mm/yyyy)</t>
  </si>
  <si>
    <t>EBSS - First application of scheme in forthcoming period?</t>
  </si>
  <si>
    <t>No</t>
  </si>
  <si>
    <t>dms_Sector</t>
  </si>
  <si>
    <t>=INDEX(dms_Sector_List,MATCH(dms_TradingName,dms_TradingName_List))</t>
  </si>
  <si>
    <t>dms_Segment</t>
  </si>
  <si>
    <t>=INDEX(dms_Segment_List,MATCH(dms_TradingName,dms_TradingName_List))</t>
  </si>
  <si>
    <t>dms_RYE</t>
  </si>
  <si>
    <t>=IF(dms_MultiYear_Flag=1,LEFT(dms_Specified_FinalYear,2)&amp;RIGHT(dms_Specified_FinalYear,2),INDEX(dms_RYE_Formula_Result,MATCH(dms_Model,dms_Model_List)))</t>
  </si>
  <si>
    <t>dms_RPT</t>
  </si>
  <si>
    <t>=INDEX(dms_RPT_List,MATCH(dms_TradingName,dms_TradingName_List))</t>
  </si>
  <si>
    <t>dms_Model</t>
  </si>
  <si>
    <t>Drop down selection</t>
  </si>
  <si>
    <t>dms_Classification</t>
  </si>
  <si>
    <t>Always Public</t>
  </si>
  <si>
    <t>dms_TemplateNumber</t>
  </si>
  <si>
    <t>Dollar $ real month</t>
  </si>
  <si>
    <t>dms_RPTMonth</t>
  </si>
  <si>
    <t>=INDEX(dms_RPTMonth_List,MATCH(dms_TradingName,dms_TradingName_List))</t>
  </si>
  <si>
    <t>Dollar $ real  (the last month before the FRCP_y1)</t>
  </si>
  <si>
    <t>dms_DollarReal</t>
  </si>
  <si>
    <t>=IF(SUM(dms_SingleYear_Model)&gt;0,CONCATENATE(dms_RPTMonth)&amp;" "&amp;VALUE((LEFT(CRY,2))&amp;RIGHT(CRY,2)),CONCATENATE(dms_RPTMonth)&amp;" "&amp;VALUE((LEFT(dms_CRCP_FinalYear_Result,2)&amp;RIGHT(dms_CRCP_FinalYear_Result,2))))</t>
  </si>
  <si>
    <t>=INDEX(dms_FormControl_List,MATCH(dms_TradingName,dms_TradingName_List))</t>
  </si>
  <si>
    <t>dms_RINversion</t>
  </si>
  <si>
    <t>Jurisdiction</t>
  </si>
  <si>
    <t>dms_Jurisdiction</t>
  </si>
  <si>
    <t>=INDEX(dms_JurisdictionList,MATCH(dms_TradingName,dms_TradingName_List))</t>
  </si>
  <si>
    <t>Backcast Multiyear EB, CA or ARR?</t>
  </si>
  <si>
    <t>dms_MultiYear_Flag</t>
  </si>
  <si>
    <t>1=y, 0-n</t>
  </si>
  <si>
    <t>dms_Specified_FinalYear</t>
  </si>
  <si>
    <t>The result here is returned to dms_CRCP_FinalYear_Result if dms_MultiYear_Flag is set to 1</t>
  </si>
  <si>
    <t>Single Year Model T/F</t>
  </si>
  <si>
    <t>dms_EB</t>
  </si>
  <si>
    <t>dms_CA</t>
  </si>
  <si>
    <t>=dms_SingleYear_Model</t>
  </si>
  <si>
    <t>dms_ARR</t>
  </si>
  <si>
    <t>Single Year Final Year Reference</t>
  </si>
  <si>
    <t>dms_SingleYear_FinalYear_Ref</t>
  </si>
  <si>
    <t>This is the reference for EB, CA &amp; ARR RINs</t>
  </si>
  <si>
    <t>Single Year Final Year Result</t>
  </si>
  <si>
    <t>dms_SingleYear_FinalYear_Result</t>
  </si>
  <si>
    <t>=INDIRECT(dms_SingleYear_FinalYear_Ref)</t>
  </si>
  <si>
    <t>Formula errors OK</t>
  </si>
  <si>
    <t>FRCP length in years</t>
  </si>
  <si>
    <t>dms_FRCPlength_Num</t>
  </si>
  <si>
    <t>=INDEX(dms_FRCPlength_List,MATCH(dms_TradingName,dms_TradingName_List))</t>
  </si>
  <si>
    <t>Multi Year Final Year Reference</t>
  </si>
  <si>
    <t>dms_MultiYear_FinalYear_Ref</t>
  </si>
  <si>
    <t>=INDEX(dms_FinalYear_List,MATCH(dms_FRCPlength_Num,dms_FRCPlength_Num_List))</t>
  </si>
  <si>
    <t>Multi Year Final Year Result</t>
  </si>
  <si>
    <t>dms_MultiYear_FinalYear_Result</t>
  </si>
  <si>
    <t>=IF(dms_MultiYear_Flag=0,INDIRECT(dms_MultiYear_FinalYear_Ref),dms_Specified_FinalYear)</t>
  </si>
  <si>
    <t>CRCP length in years</t>
  </si>
  <si>
    <t>dms_CRCPlength_Num</t>
  </si>
  <si>
    <t>=INDEX(dms_CRCPlength_List,MATCH(dms_TradingName,dms_TradingName_List))</t>
  </si>
  <si>
    <t>CRCP Final Year Reference</t>
  </si>
  <si>
    <t>dms_CRCP_FinalYear_Ref</t>
  </si>
  <si>
    <t>=INDEX(dms_CFinalYear_List,MATCH(dms_CRCPlength_Num,dms_CRCPlength_Num_List))</t>
  </si>
  <si>
    <t>CRCP First Year Result</t>
  </si>
  <si>
    <t>dms_CRCP_FirstYear_Result</t>
  </si>
  <si>
    <t>=INDEX(dms_CRCP_years,MATCH(dms_CRCPlength_Num,dms_CRCP_index))</t>
  </si>
  <si>
    <t>CRCP Final Year Result</t>
  </si>
  <si>
    <t>dms_CRCP_FinalYear_Result</t>
  </si>
  <si>
    <t>=IF(dms_MultiYear_Flag=0,(IF(SUM(dms_SingleYear_Model)&gt;0,CRY,dms_CRCP_yZ)),dms_Specified_FinalYear)</t>
  </si>
  <si>
    <t>Table 6.6.3 - Public lighting repair - no. business days</t>
  </si>
  <si>
    <t>dms_663</t>
  </si>
  <si>
    <t>Distribution Determination Reference</t>
  </si>
  <si>
    <t xml:space="preserve">Backcast templates only - unit of measure </t>
  </si>
  <si>
    <t>dms_Backcast_UOM</t>
  </si>
  <si>
    <r>
      <t xml:space="preserve">If the cover sheet is for </t>
    </r>
    <r>
      <rPr>
        <b/>
        <sz val="11"/>
        <color theme="5" tint="-0.249977111117893"/>
        <rFont val="Arial"/>
        <family val="2"/>
      </rPr>
      <t>Backcast</t>
    </r>
    <r>
      <rPr>
        <sz val="11"/>
        <color theme="5" tint="-0.249977111117893"/>
        <rFont val="Arial"/>
        <family val="2"/>
      </rPr>
      <t xml:space="preserve"> data ensure to apply </t>
    </r>
    <r>
      <rPr>
        <b/>
        <sz val="11"/>
        <color theme="5" tint="-0.249977111117893"/>
        <rFont val="Arial"/>
        <family val="2"/>
      </rPr>
      <t xml:space="preserve">dms_Backcast_UOM </t>
    </r>
    <r>
      <rPr>
        <sz val="11"/>
        <color theme="5" tint="-0.249977111117893"/>
        <rFont val="Arial"/>
        <family val="2"/>
      </rPr>
      <t>named range to this field. Otherwise, do not apply this named range.</t>
    </r>
  </si>
  <si>
    <t>EB/CA Unit of Measure for Monetary Values</t>
  </si>
  <si>
    <t>dms_dollar_nom_UOM</t>
  </si>
  <si>
    <t>If the cover sheet is attached to an EB files make sure this field is set</t>
  </si>
  <si>
    <t>discard this record?</t>
  </si>
  <si>
    <t>dms_DISCARD</t>
  </si>
  <si>
    <t>If record is to be discarded from DB set this flag to YES</t>
  </si>
  <si>
    <t>USES NAMED RANGES FLAG</t>
  </si>
  <si>
    <t>yes</t>
  </si>
  <si>
    <t>dms_Defined_Names_Used</t>
  </si>
  <si>
    <t xml:space="preserve">086 015 036 </t>
  </si>
  <si>
    <t>Transmission pipelines</t>
  </si>
  <si>
    <t>Distribution pipelines</t>
  </si>
  <si>
    <t>Service pipes</t>
  </si>
  <si>
    <t>Cathodic protection</t>
  </si>
  <si>
    <t>SCADA and remote control</t>
  </si>
  <si>
    <t>Buildings</t>
  </si>
  <si>
    <t>Other - IT</t>
  </si>
  <si>
    <t>Other - Non IT</t>
  </si>
  <si>
    <t>Operating costs</t>
  </si>
  <si>
    <t>Network operating costs</t>
  </si>
  <si>
    <t>Customer connections</t>
  </si>
  <si>
    <t>Meter reading services</t>
  </si>
  <si>
    <t>Billing and revenue collection</t>
  </si>
  <si>
    <t>Advertising and marketing</t>
  </si>
  <si>
    <t>Licence fees</t>
  </si>
  <si>
    <t xml:space="preserve">GSL payments </t>
  </si>
  <si>
    <t>Energy Safe Victoria levy</t>
  </si>
  <si>
    <t>Debt raising costs</t>
  </si>
  <si>
    <t>Other operating costs</t>
  </si>
  <si>
    <t>Movement in provisions</t>
  </si>
  <si>
    <t>Maintenance costs</t>
  </si>
  <si>
    <t>Transmission Pipelines</t>
  </si>
  <si>
    <t>Distribution Pipelines</t>
  </si>
  <si>
    <t>Cathodic Protection</t>
  </si>
  <si>
    <t>Supply Regulators</t>
  </si>
  <si>
    <t>SCADA &amp; remote control</t>
  </si>
  <si>
    <t>Total maintenance costs</t>
  </si>
  <si>
    <t>Total operating and maintenance expenditure - Ancillary reference services</t>
  </si>
  <si>
    <t>Total operating and maintenance expenditure - including RPM</t>
  </si>
  <si>
    <t>On-site meter and gas installation test</t>
  </si>
  <si>
    <t>Disconnection</t>
  </si>
  <si>
    <t>Reconnection</t>
  </si>
  <si>
    <t xml:space="preserve">Special meter reading </t>
  </si>
  <si>
    <t xml:space="preserve">Table 23.1.1.1 - Operating and maintenance expenditure (actual/forecast) - Reference Services </t>
  </si>
  <si>
    <t>Total operating &amp; maintenance expenditure - Reference services</t>
  </si>
  <si>
    <t>Total operating costs</t>
  </si>
  <si>
    <t xml:space="preserve">Table 23.1.2.1 - Operating and maintenance expenditure (approved) - Reference Services </t>
  </si>
  <si>
    <t>Total operating and maintenance expenditure - excluding RPM</t>
  </si>
  <si>
    <t xml:space="preserve">Table 23.2.2.1 - Operating and maintenance expenditure (approved) - Reference Services </t>
  </si>
  <si>
    <t xml:space="preserve">Table 23.2.1.1 - Operating and maintenance expenditure (actual/forecast) - Reference Services </t>
  </si>
  <si>
    <t>Table 23.2.1.2 - Ancillary reference services</t>
  </si>
  <si>
    <t>Table 23.2.2.2 - Ancillary reference services</t>
  </si>
  <si>
    <t>Table 23.1.1.2 - Ancillary reference services</t>
  </si>
  <si>
    <t>Table 23.1.2.2 - Ancillary reference services</t>
  </si>
  <si>
    <t>Reported expenditure is to be entered EXCLUSIVE of any profit margins or management fees paid pursuant to arrangements or contracts with any related parties.</t>
  </si>
  <si>
    <t>If the service provider proposes changes to its tariff structure for the next access arrangement period, please copy and paste the relevant tables and provide historical data based on the tariff stucture at that time.</t>
  </si>
  <si>
    <t>Forecast opex for Incentive Mechanism purposes</t>
  </si>
  <si>
    <t>Actual opex for Incentive Mechanism purposes</t>
  </si>
  <si>
    <t>Table 23.4.1.1 - Opex allowance applicable to Incentive Mechanism (Incentive Mechanism target)</t>
  </si>
  <si>
    <t>Table 23.4.1.2 - Actual and estimated opex applicable to Incentive Mechanism</t>
  </si>
  <si>
    <t>Table 23.4.1.3 - Proposed forecast opex for the Incentive Mechanism for the forthcoming regulatory control period</t>
  </si>
  <si>
    <r>
      <t>AusNet Gas is required to populate all input cells (yellow) in tables 23.4.1.1 to 23.4.1.3 presented below.
Efficiency gains are calculated using the formulae below.  Adjusted target and actual amounts are used to calculate the carry-over amounts.
For the first application of the scheme, the efficiency carry forward amount for the first year of the regulatory period is expressed mathematically as: 
                 E</t>
    </r>
    <r>
      <rPr>
        <vertAlign val="subscript"/>
        <sz val="10"/>
        <rFont val="Arial"/>
        <family val="2"/>
      </rPr>
      <t>1</t>
    </r>
    <r>
      <rPr>
        <sz val="10"/>
        <rFont val="Arial"/>
        <family val="2"/>
      </rPr>
      <t xml:space="preserve"> = F</t>
    </r>
    <r>
      <rPr>
        <vertAlign val="subscript"/>
        <sz val="10"/>
        <rFont val="Arial"/>
        <family val="2"/>
      </rPr>
      <t>1</t>
    </r>
    <r>
      <rPr>
        <sz val="10"/>
        <rFont val="Arial"/>
        <family val="2"/>
      </rPr>
      <t xml:space="preserve"> – A</t>
    </r>
    <r>
      <rPr>
        <vertAlign val="subscript"/>
        <sz val="10"/>
        <rFont val="Arial"/>
        <family val="2"/>
      </rPr>
      <t>1</t>
    </r>
    <r>
      <rPr>
        <sz val="10"/>
        <rFont val="Arial"/>
        <family val="2"/>
      </rPr>
      <t xml:space="preserve"> where A</t>
    </r>
    <r>
      <rPr>
        <vertAlign val="subscript"/>
        <sz val="10"/>
        <rFont val="Arial"/>
        <family val="2"/>
      </rPr>
      <t>1</t>
    </r>
    <r>
      <rPr>
        <sz val="10"/>
        <rFont val="Arial"/>
        <family val="2"/>
      </rPr>
      <t xml:space="preserve"> is the actual operating cost for year 1 and F</t>
    </r>
    <r>
      <rPr>
        <vertAlign val="subscript"/>
        <sz val="10"/>
        <rFont val="Arial"/>
        <family val="2"/>
      </rPr>
      <t>1</t>
    </r>
    <r>
      <rPr>
        <sz val="10"/>
        <rFont val="Arial"/>
        <family val="2"/>
      </rPr>
      <t xml:space="preserve"> is the regulatory target operating cost for that year. 
For savings that arose in the second to fifth year of the regulatory period, the efficiency carry forward amount is calculated as:
                 E</t>
    </r>
    <r>
      <rPr>
        <vertAlign val="subscript"/>
        <sz val="10"/>
        <rFont val="Arial"/>
        <family val="2"/>
      </rPr>
      <t>t</t>
    </r>
    <r>
      <rPr>
        <sz val="10"/>
        <rFont val="Arial"/>
        <family val="2"/>
      </rPr>
      <t xml:space="preserve"> = (F</t>
    </r>
    <r>
      <rPr>
        <vertAlign val="subscript"/>
        <sz val="10"/>
        <rFont val="Arial"/>
        <family val="2"/>
      </rPr>
      <t>t</t>
    </r>
    <r>
      <rPr>
        <sz val="10"/>
        <rFont val="Arial"/>
        <family val="2"/>
      </rPr>
      <t xml:space="preserve"> – A</t>
    </r>
    <r>
      <rPr>
        <vertAlign val="subscript"/>
        <sz val="10"/>
        <rFont val="Arial"/>
        <family val="2"/>
      </rPr>
      <t>t</t>
    </r>
    <r>
      <rPr>
        <sz val="10"/>
        <rFont val="Arial"/>
        <family val="2"/>
      </rPr>
      <t>) – (F</t>
    </r>
    <r>
      <rPr>
        <vertAlign val="subscript"/>
        <sz val="10"/>
        <rFont val="Arial"/>
        <family val="2"/>
      </rPr>
      <t>t-1</t>
    </r>
    <r>
      <rPr>
        <sz val="10"/>
        <rFont val="Arial"/>
        <family val="2"/>
      </rPr>
      <t xml:space="preserve"> – A</t>
    </r>
    <r>
      <rPr>
        <vertAlign val="subscript"/>
        <sz val="10"/>
        <rFont val="Arial"/>
        <family val="2"/>
      </rPr>
      <t>t-1</t>
    </r>
    <r>
      <rPr>
        <sz val="10"/>
        <rFont val="Arial"/>
        <family val="2"/>
      </rPr>
      <t>), where: Et is the efficiency benefit/loss in year t;
                 A</t>
    </r>
    <r>
      <rPr>
        <vertAlign val="subscript"/>
        <sz val="10"/>
        <rFont val="Arial"/>
        <family val="2"/>
      </rPr>
      <t>t</t>
    </r>
    <r>
      <rPr>
        <sz val="10"/>
        <rFont val="Arial"/>
        <family val="2"/>
      </rPr>
      <t>, A</t>
    </r>
    <r>
      <rPr>
        <vertAlign val="subscript"/>
        <sz val="10"/>
        <rFont val="Arial"/>
        <family val="2"/>
      </rPr>
      <t>t-1</t>
    </r>
    <r>
      <rPr>
        <sz val="10"/>
        <rFont val="Arial"/>
        <family val="2"/>
      </rPr>
      <t xml:space="preserve"> is the actual operating cost for the years t and t-1 respectively; and
                 F</t>
    </r>
    <r>
      <rPr>
        <vertAlign val="subscript"/>
        <sz val="10"/>
        <rFont val="Arial"/>
        <family val="2"/>
      </rPr>
      <t>t</t>
    </r>
    <r>
      <rPr>
        <sz val="10"/>
        <rFont val="Arial"/>
        <family val="2"/>
      </rPr>
      <t>, F</t>
    </r>
    <r>
      <rPr>
        <vertAlign val="subscript"/>
        <sz val="10"/>
        <rFont val="Arial"/>
        <family val="2"/>
      </rPr>
      <t>t-1</t>
    </r>
    <r>
      <rPr>
        <sz val="10"/>
        <rFont val="Arial"/>
        <family val="2"/>
      </rPr>
      <t xml:space="preserve"> is the forecast operating cost for the years t and t-1 respectively 
Because the revenue determination will  occur prior to the completion of the current period, opex for the final year will be estimated as follows:
                 A</t>
    </r>
    <r>
      <rPr>
        <vertAlign val="subscript"/>
        <sz val="10"/>
        <rFont val="Arial"/>
        <family val="2"/>
      </rPr>
      <t>5</t>
    </r>
    <r>
      <rPr>
        <sz val="10"/>
        <rFont val="Arial"/>
        <family val="2"/>
      </rPr>
      <t xml:space="preserve"> = F</t>
    </r>
    <r>
      <rPr>
        <vertAlign val="subscript"/>
        <sz val="10"/>
        <rFont val="Arial"/>
        <family val="2"/>
      </rPr>
      <t>5</t>
    </r>
    <r>
      <rPr>
        <sz val="10"/>
        <rFont val="Arial"/>
        <family val="2"/>
      </rPr>
      <t xml:space="preserve"> – (F</t>
    </r>
    <r>
      <rPr>
        <vertAlign val="subscript"/>
        <sz val="10"/>
        <rFont val="Arial"/>
        <family val="2"/>
      </rPr>
      <t>4</t>
    </r>
    <r>
      <rPr>
        <sz val="10"/>
        <rFont val="Arial"/>
        <family val="2"/>
      </rPr>
      <t xml:space="preserve"> – A</t>
    </r>
    <r>
      <rPr>
        <vertAlign val="subscript"/>
        <sz val="10"/>
        <rFont val="Arial"/>
        <family val="2"/>
      </rPr>
      <t>4</t>
    </r>
    <r>
      <rPr>
        <sz val="10"/>
        <rFont val="Arial"/>
        <family val="2"/>
      </rPr>
      <t>)</t>
    </r>
  </si>
  <si>
    <t>costs associated with complying with any retailer of last resort requirements (clause 6.4(b)(8)(a))</t>
  </si>
  <si>
    <t>licence fees (clause 6.4(b)(8)(d))</t>
  </si>
  <si>
    <t>unaccounted for gas expenses (clause 6.4(b)(8)(c))</t>
  </si>
  <si>
    <t>amounts for approved Cost Pass Through Events (clause 6.4(b)(8)(b))</t>
  </si>
  <si>
    <t>debt raising costs (clause 6.4(b)(8)(e))</t>
  </si>
  <si>
    <t>movements in provisions (clause 6.4(b)(8)(f))</t>
  </si>
  <si>
    <t>any other activity that the Service Provider and the Regulator agree to exclude from the operation of the efficiency carryover mechanism (clause 6.4(b)(8)(g))</t>
  </si>
  <si>
    <t>Change in scale adjustment (clause 6.4(b)(9)(a))</t>
  </si>
  <si>
    <t>Change in capitalisation policy (clause 6.4(b)(10))</t>
  </si>
  <si>
    <t>23.4  OPEX INCENTIVE MECHANISM</t>
  </si>
  <si>
    <t xml:space="preserve">Table 22.5 - Cost of capital measures </t>
  </si>
  <si>
    <t>Weighted cost of capital (nominal vanilla)</t>
  </si>
  <si>
    <t>Nominated (placeholder) equity averaging period (if nominated)</t>
  </si>
  <si>
    <t>Year 1 nominated debt averaging period</t>
  </si>
  <si>
    <t>Year 2 nominated debt averaging period</t>
  </si>
  <si>
    <t>Year 3 nominated debt averaging period</t>
  </si>
  <si>
    <t>Year 4 nominated debt averaging period</t>
  </si>
  <si>
    <t>Year 5 nominated debt averaging period</t>
  </si>
  <si>
    <t>Year 1 nominated (placeholder) debt averaging period (if nominated)</t>
  </si>
  <si>
    <t>3rd party debt proxy/ies (e.g. 50% RBA BBB and 50% Bloomberg BBB)</t>
  </si>
  <si>
    <t>Equity risk premium</t>
  </si>
  <si>
    <t>Nominated equity averaging period (if nominated)</t>
  </si>
  <si>
    <t>Effective annual yield to maturity for debt for each year of the regulatory control period (insert formula for calculation for each year)</t>
  </si>
  <si>
    <t>Table 23.3.2 - Step Changes</t>
  </si>
  <si>
    <t xml:space="preserve">In tables 23.1.1 and 23.1.2 enter the required details into the yellow cells. This may require the insertion of new lines in each table. </t>
  </si>
  <si>
    <t>Category specific forecast</t>
  </si>
  <si>
    <t>&lt;insert category specific forecast&gt;</t>
  </si>
  <si>
    <t>Total category specific forecasts</t>
  </si>
  <si>
    <t>Table 23.3.3 - Category specific forecasts</t>
  </si>
  <si>
    <t xml:space="preserve">Return on equity (nominal post-tax) </t>
  </si>
  <si>
    <t>Return on debt (nominal post-tax)</t>
  </si>
  <si>
    <t>Value of imputation credits (gamma)</t>
  </si>
  <si>
    <t>Step changes ($0's)</t>
  </si>
  <si>
    <t xml:space="preserve">Estimated 2017 opex ($0's) </t>
  </si>
  <si>
    <t xml:space="preserve">Category specific forecasts ($0's) </t>
  </si>
  <si>
    <t>Real price growth ($0's)</t>
  </si>
  <si>
    <t>Connections market expansion</t>
  </si>
  <si>
    <t>Other capex</t>
  </si>
  <si>
    <t>Related party transactions</t>
  </si>
  <si>
    <t>Supply regulators/Valve stations</t>
  </si>
  <si>
    <t>Supply regulators/valve station</t>
  </si>
  <si>
    <t>Other - non IT</t>
  </si>
  <si>
    <t>Table 14.2 - Capex/opex overhead apportionment (actual/forecast)</t>
  </si>
  <si>
    <t>Table 14.3 - Capex overhead rates (actual/forecast)</t>
  </si>
  <si>
    <t>Table 14.4 - Capex overhead rates (approved)</t>
  </si>
  <si>
    <t>23.3 - OPERATING EXPENDITURE BASE-STEP-TREND</t>
  </si>
  <si>
    <t>If using the post-tax revenue model (PTRM) to determine total revenue,  in table 16.1 enter the AMOUNT of capex for each capex driver for each year that is attributable to the relevant capex asset category.</t>
  </si>
  <si>
    <t>In Table 28 enter the required data relating to consumption in the yellow cells.. This may require the insertion of new rows. The zones and the tariff types in table 28 must match those in table 27.</t>
  </si>
  <si>
    <t>Central</t>
  </si>
  <si>
    <t>Residential customers</t>
  </si>
  <si>
    <t>Commercial customers</t>
  </si>
  <si>
    <t>West</t>
  </si>
  <si>
    <t>Table 27.2 - Tariff Customer Numbers</t>
  </si>
  <si>
    <t>Adjoining central</t>
  </si>
  <si>
    <t>Table 27.3 - Tariff Customer Numbers</t>
  </si>
  <si>
    <t>Adjoining West</t>
  </si>
  <si>
    <t>Table 27.4 - Tariff Customer Numbers</t>
  </si>
  <si>
    <t>Table 27.5 - Tariff Customer Numbers</t>
  </si>
  <si>
    <t>Central and West</t>
  </si>
  <si>
    <t>Tariff D</t>
  </si>
  <si>
    <t>Tariff M</t>
  </si>
  <si>
    <t>Adjoining Central and Adjoining West</t>
  </si>
  <si>
    <t>0.0 - 0.1 GJ per day, Jun-Sep</t>
  </si>
  <si>
    <t>&gt;0.1 - 0.2 GJ per day, Jun-Sep</t>
  </si>
  <si>
    <t>&gt;0.2 - 1.4 GJ per day, Jun-Sep</t>
  </si>
  <si>
    <t>&gt;1.4 GJ per day, Jun-Sep</t>
  </si>
  <si>
    <t>Peak Block 1</t>
  </si>
  <si>
    <t>Peak Block 2</t>
  </si>
  <si>
    <t>Peak Block 3</t>
  </si>
  <si>
    <t>Peak Block 4</t>
  </si>
  <si>
    <t>0.0 - 0.1 GJ per day, all other months</t>
  </si>
  <si>
    <t>&gt;0.1 - 0.2 GJ per day, all other months</t>
  </si>
  <si>
    <t>&gt;0.2 - 1.4 GJ per day, all other months</t>
  </si>
  <si>
    <t>&gt;1.4 GJ per day, all other months</t>
  </si>
  <si>
    <t>Off Peak Block 1</t>
  </si>
  <si>
    <t>Off Peak Block 2</t>
  </si>
  <si>
    <t>Off Peak Block 3</t>
  </si>
  <si>
    <t>Off Peak Block 4</t>
  </si>
  <si>
    <t>Band 1</t>
  </si>
  <si>
    <t>Band 2</t>
  </si>
  <si>
    <t>Band 3</t>
  </si>
  <si>
    <t>0 - 10 GJ per hour</t>
  </si>
  <si>
    <t>&gt;10 - 50 GJ per hour</t>
  </si>
  <si>
    <t>&gt;50 GJ per hour</t>
  </si>
  <si>
    <t>Winchelsea</t>
  </si>
  <si>
    <t>Declining block tariff</t>
  </si>
  <si>
    <t>29.2.1 - GAS EXTENSIONS - CUSTOMER NUMBERS</t>
  </si>
  <si>
    <t>29.3.1 - GAS EXTENSIONS - DEMAND</t>
  </si>
  <si>
    <t>29.2.2 - GAS EXTENSIONS - CUSTOMER NUMBERS</t>
  </si>
  <si>
    <t>29.3.2 - GAS EXTENSIONS - DEMAND</t>
  </si>
  <si>
    <t>Bannockburn</t>
  </si>
  <si>
    <t>29.2.3 - GAS EXTENSIONS - CUSTOMER NUMBERS</t>
  </si>
  <si>
    <t>29.3.3 - GAS EXTENSIONS - DEMAND</t>
  </si>
  <si>
    <t>Avoca</t>
  </si>
  <si>
    <t>Table 29.2.1 - GAS EXTENSIONS - CUSTOMER NUMBERS</t>
  </si>
  <si>
    <t>Table 29.2.1.1 - Tariff customer numbers</t>
  </si>
  <si>
    <t>Table 29.2.1.1.1 - Residential tariff</t>
  </si>
  <si>
    <t>Table 29.2.1.1.2 - Business tariff</t>
  </si>
  <si>
    <t>Table 29.2.1.2 - Contract customer numbers</t>
  </si>
  <si>
    <t>Table 29.3.1 - Gas Extensions - Demand</t>
  </si>
  <si>
    <t>Table 29.3.1.1 - Residential tariff</t>
  </si>
  <si>
    <t>Table 29.3.1.2 - Business tariff</t>
  </si>
  <si>
    <t>Table 29.3.1.3 - Contract tariff</t>
  </si>
  <si>
    <t>Table 29.2.2 - GAS EXTENSIONS - CUSTOMER NUMBERS</t>
  </si>
  <si>
    <t>Table 29.2.2.1 - Tariff customer numbers</t>
  </si>
  <si>
    <t>Table 29.2.2.2 - Contract customer numbers</t>
  </si>
  <si>
    <t>Table 29.3.2 - Gas Extensions - Demand</t>
  </si>
  <si>
    <t>Table 29.3.2.1 - Residential tariff</t>
  </si>
  <si>
    <t>Table 29.3.2.2 - Business tariff</t>
  </si>
  <si>
    <t>Table 29.3.2.3 - Contract tariff</t>
  </si>
  <si>
    <t>Table 29.2.3 - GAS EXTENSIONS - CUSTOMER NUMBERS</t>
  </si>
  <si>
    <t>Table 29.2.3.1 - Tariff customer numbers</t>
  </si>
  <si>
    <t>Table 29.2.3.1.1 - Residential tariff</t>
  </si>
  <si>
    <t>Table 29.2.2.1.1 - Residential tariff</t>
  </si>
  <si>
    <t>Table 29.2.2.1.2 - Business tariff</t>
  </si>
  <si>
    <t>Table 29.2.3.1.2 - Business tariff</t>
  </si>
  <si>
    <t>Table 29.2.3.2 - Contract customer numbers</t>
  </si>
  <si>
    <t>Table 29.3.3 - Gas Extensions - Demand</t>
  </si>
  <si>
    <t>Table 29.3.3.1 - Residential tariff</t>
  </si>
  <si>
    <t>Table 29.3.3.2 - Business tariff</t>
  </si>
  <si>
    <t>Table 29.3.3.3 - Contract tariff</t>
  </si>
  <si>
    <t>Huntly</t>
  </si>
  <si>
    <t>29.2.4 - GAS EXTENSIONS - CUSTOMER NUMBERS</t>
  </si>
  <si>
    <t>29.3.4 - GAS EXTENSIONS - DEMAND</t>
  </si>
  <si>
    <t>Table 29.2.4 - GAS EXTENSIONS - CUSTOMER NUMBERS</t>
  </si>
  <si>
    <t>Table 29.2.4.1 - Tariff customer numbers</t>
  </si>
  <si>
    <t>Table 29.2.4.1.1 - Residential tariff</t>
  </si>
  <si>
    <t>Table 29.2.4.1.2 - Business tariff</t>
  </si>
  <si>
    <t>Table 29.2.4.2 - Contract customer numbers</t>
  </si>
  <si>
    <t>Table 29.3.4 - Gas Extensions - Demand</t>
  </si>
  <si>
    <t>Table 29.3.4.1 - Residential tariff</t>
  </si>
  <si>
    <t>Table 29.3.4.2 - Business tariff</t>
  </si>
  <si>
    <t>Table 29.3.4.3 - Contract tariff</t>
  </si>
  <si>
    <t>Tariff V</t>
  </si>
  <si>
    <t>MHQ customers</t>
  </si>
  <si>
    <t>$0's, real December 2017</t>
  </si>
  <si>
    <t>2018 to 2022</t>
  </si>
  <si>
    <t>This template asks for information relating to a base-step-trend approach to forecasting AusNet (Gas)'s operating expenditure.</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</si>
</sst>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_);_(* \(#,##0\);_(* &quot;-&quot;_);_(@_)"/>
    <numFmt numFmtId="166" formatCode="_-* #,##0.0_-;\-* #,##0.0_-;_-* &quot;-&quot;??_-;_-@_-"/>
    <numFmt numFmtId="167" formatCode="0.0"/>
    <numFmt numFmtId="168" formatCode="_-* #,##0_-;\-* #,##0_-;_-* &quot;-&quot;??_-;_-@_-"/>
    <numFmt numFmtId="169" formatCode="#,##0.0"/>
    <numFmt numFmtId="170" formatCode="_-* #,##0.000_-;\-* #,##0.000_-;_-* &quot;-&quot;??_-;_-@_-"/>
    <numFmt numFmtId="171" formatCode="_([$€-2]* #,##0.00_);_([$€-2]* \(#,##0.00\);_([$€-2]* &quot;-&quot;??_)"/>
    <numFmt numFmtId="172" formatCode="_-* #,##0.000_-;\-* #,##0.000_-;_-* &quot;-&quot;???_-;_-@_-"/>
    <numFmt numFmtId="173" formatCode="_(* #,##0.00_);_(* \(#,##0.00\);_(* &quot;-&quot;??_);_(@_)"/>
    <numFmt numFmtId="174" formatCode="_-* #,##0.000000_-;\-* #,##0.000000_-;_-* &quot;-&quot;??_-;_-@_-"/>
    <numFmt numFmtId="175" formatCode="#,##0.0_ ;\-#,##0.0\ "/>
    <numFmt numFmtId="176" formatCode="&quot;$&quot;#,##0"/>
    <numFmt numFmtId="177" formatCode="&quot;$&quot;0"/>
    <numFmt numFmtId="178" formatCode="#,##0.000"/>
    <numFmt numFmtId="179" formatCode="##\ ###\ ###\ ###\ ##0"/>
    <numFmt numFmtId="180" formatCode="\(0#\)\ ####\ ####"/>
    <numFmt numFmtId="181" formatCode="_(* #,##0.0_);_(* \(#,##0.0\);_(* &quot;-&quot;?_);_(@_)"/>
    <numFmt numFmtId="182" formatCode="0.000000"/>
    <numFmt numFmtId="183" formatCode="#,##0_ ;\(#,##0\)_ "/>
    <numFmt numFmtId="184" formatCode="_(* #,##0_);_(* \(#,##0\);_(* &quot;-&quot;?_);_(@_)"/>
    <numFmt numFmtId="185" formatCode="_-* #,##0.00_-;[Red]\(#,##0.00\)_-;_-* &quot;-&quot;??_-;_-@_-"/>
    <numFmt numFmtId="186" formatCode="mm/dd/yy"/>
    <numFmt numFmtId="187" formatCode="0_);[Red]\(0\)"/>
    <numFmt numFmtId="188" formatCode="#,##0.0_);\(#,##0.0\)"/>
    <numFmt numFmtId="189" formatCode="#,##0_ ;\-#,##0\ "/>
    <numFmt numFmtId="190" formatCode="#,##0;[Red]\(#,##0.0\)"/>
    <numFmt numFmtId="191" formatCode="#,##0_ ;[Red]\(#,##0\)\ "/>
    <numFmt numFmtId="192" formatCode="#,##0.00;\(#,##0.00\)"/>
    <numFmt numFmtId="193" formatCode="_)d\-mmm\-yy_)"/>
    <numFmt numFmtId="194" formatCode="_(#,##0.0_);\(#,##0.0\);_(&quot;-&quot;_)"/>
    <numFmt numFmtId="195" formatCode="_(###0_);\(###0\);_(###0_)"/>
    <numFmt numFmtId="196" formatCode="#,##0.0000_);[Red]\(#,##0.0000\)"/>
    <numFmt numFmtId="197" formatCode="0.000"/>
    <numFmt numFmtId="198" formatCode="_(&quot;$&quot;* #,##0.00_);_(&quot;$&quot;* \(#,##0.00\);_(&quot;$&quot;* &quot;-&quot;??_);_(@_)"/>
    <numFmt numFmtId="199" formatCode="#,##0.000_ ;[Red]\-#,##0.000\ "/>
  </numFmts>
  <fonts count="173">
    <font>
      <sz val="10"/>
      <name val="Arial"/>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b/>
      <sz val="10"/>
      <name val="Arial"/>
      <family val="2"/>
    </font>
    <font>
      <sz val="10"/>
      <name val="Arial"/>
      <family val="2"/>
    </font>
    <font>
      <sz val="8"/>
      <name val="Arial"/>
      <family val="2"/>
    </font>
    <font>
      <u/>
      <sz val="10"/>
      <color indexed="12"/>
      <name val="Arial"/>
      <family val="2"/>
    </font>
    <font>
      <sz val="8"/>
      <name val="Arial"/>
      <family val="2"/>
    </font>
    <font>
      <b/>
      <sz val="12"/>
      <name val="Arial"/>
      <family val="2"/>
    </font>
    <font>
      <b/>
      <sz val="10"/>
      <color indexed="9"/>
      <name val="Arial"/>
      <family val="2"/>
    </font>
    <font>
      <sz val="10"/>
      <color indexed="9"/>
      <name val="Arial"/>
      <family val="2"/>
    </font>
    <font>
      <b/>
      <sz val="14"/>
      <name val="Arial"/>
      <family val="2"/>
    </font>
    <font>
      <b/>
      <sz val="16"/>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10"/>
      <color indexed="51"/>
      <name val="Arial"/>
      <family val="2"/>
    </font>
    <font>
      <sz val="10"/>
      <color indexed="13"/>
      <name val="Arial"/>
      <family val="2"/>
    </font>
    <font>
      <b/>
      <sz val="10"/>
      <color indexed="51"/>
      <name val="Arial"/>
      <family val="2"/>
    </font>
    <font>
      <sz val="16"/>
      <color indexed="51"/>
      <name val="Arial Black"/>
      <family val="2"/>
    </font>
    <font>
      <b/>
      <sz val="10"/>
      <name val="Arial Black"/>
      <family val="2"/>
    </font>
    <font>
      <sz val="16"/>
      <color indexed="51"/>
      <name val="Arial"/>
      <family val="2"/>
    </font>
    <font>
      <sz val="16"/>
      <name val="Arial"/>
      <family val="2"/>
    </font>
    <font>
      <b/>
      <sz val="10"/>
      <color indexed="62"/>
      <name val="Arial"/>
      <family val="2"/>
    </font>
    <font>
      <b/>
      <sz val="20"/>
      <color indexed="62"/>
      <name val="Arial"/>
      <family val="2"/>
    </font>
    <font>
      <sz val="10"/>
      <color indexed="62"/>
      <name val="Arial"/>
      <family val="2"/>
    </font>
    <font>
      <u/>
      <sz val="10"/>
      <name val="Arial"/>
      <family val="2"/>
    </font>
    <font>
      <sz val="10"/>
      <color indexed="12"/>
      <name val="Arial"/>
      <family val="2"/>
    </font>
    <font>
      <sz val="12"/>
      <name val="Arial"/>
      <family val="2"/>
    </font>
    <font>
      <sz val="10"/>
      <color theme="1"/>
      <name val="Arial"/>
      <family val="2"/>
    </font>
    <font>
      <sz val="10"/>
      <color rgb="FFFFCC00"/>
      <name val="Arial"/>
      <family val="2"/>
    </font>
    <font>
      <b/>
      <sz val="10"/>
      <color theme="0"/>
      <name val="Arial"/>
      <family val="2"/>
    </font>
    <font>
      <sz val="14"/>
      <name val="Arial"/>
      <family val="2"/>
    </font>
    <font>
      <sz val="16"/>
      <name val="Arial Black"/>
      <family val="2"/>
    </font>
    <font>
      <b/>
      <sz val="10"/>
      <color theme="1"/>
      <name val="Arial"/>
      <family val="2"/>
    </font>
    <font>
      <b/>
      <sz val="10"/>
      <color rgb="FF002060"/>
      <name val="Arial"/>
      <family val="2"/>
    </font>
    <font>
      <b/>
      <sz val="16"/>
      <color theme="1"/>
      <name val="Arial Black"/>
      <family val="2"/>
    </font>
    <font>
      <b/>
      <sz val="16"/>
      <color indexed="51"/>
      <name val="Arial"/>
      <family val="2"/>
    </font>
    <font>
      <sz val="10"/>
      <color rgb="FFFFFFFF"/>
      <name val="Arial"/>
      <family val="2"/>
    </font>
    <font>
      <sz val="10"/>
      <color rgb="FFFFCC00"/>
      <name val="Arial Black"/>
      <family val="2"/>
    </font>
    <font>
      <b/>
      <sz val="16"/>
      <color theme="1"/>
      <name val="Arial"/>
      <family val="2"/>
    </font>
    <font>
      <b/>
      <sz val="16"/>
      <name val="Arial"/>
      <family val="2"/>
    </font>
    <font>
      <sz val="11"/>
      <color theme="1"/>
      <name val="Arial"/>
      <family val="2"/>
    </font>
    <font>
      <b/>
      <sz val="11"/>
      <color theme="1"/>
      <name val="Arial"/>
      <family val="2"/>
    </font>
    <font>
      <b/>
      <sz val="10"/>
      <color indexed="10"/>
      <name val="Arial"/>
      <family val="2"/>
    </font>
    <font>
      <b/>
      <sz val="9"/>
      <color indexed="10"/>
      <name val="Arial"/>
      <family val="2"/>
    </font>
    <font>
      <b/>
      <sz val="11"/>
      <color rgb="FF002060"/>
      <name val="Arial"/>
      <family val="2"/>
    </font>
    <font>
      <b/>
      <sz val="11"/>
      <name val="Arial"/>
      <family val="2"/>
    </font>
    <font>
      <b/>
      <sz val="12"/>
      <color theme="1"/>
      <name val="Arial"/>
      <family val="2"/>
    </font>
    <font>
      <b/>
      <sz val="11"/>
      <color theme="0"/>
      <name val="Arial"/>
      <family val="2"/>
    </font>
    <font>
      <b/>
      <sz val="16"/>
      <name val="Arial Black"/>
      <family val="2"/>
    </font>
    <font>
      <b/>
      <sz val="11"/>
      <name val="Calibri"/>
      <family val="2"/>
    </font>
    <font>
      <b/>
      <sz val="18"/>
      <color indexed="51"/>
      <name val="Arial"/>
      <family val="2"/>
    </font>
    <font>
      <b/>
      <sz val="18"/>
      <color indexed="52"/>
      <name val="Arial"/>
      <family val="2"/>
    </font>
    <font>
      <b/>
      <sz val="12"/>
      <color indexed="51"/>
      <name val="Arial"/>
      <family val="2"/>
    </font>
    <font>
      <b/>
      <sz val="16"/>
      <color indexed="52"/>
      <name val="Arial"/>
      <family val="2"/>
    </font>
    <font>
      <b/>
      <sz val="18"/>
      <color indexed="62"/>
      <name val="Arial"/>
      <family val="2"/>
    </font>
    <font>
      <sz val="20"/>
      <color indexed="9"/>
      <name val="Arial"/>
      <family val="2"/>
    </font>
    <font>
      <sz val="16"/>
      <color rgb="FFFFCC00"/>
      <name val="Arial"/>
      <family val="2"/>
    </font>
    <font>
      <b/>
      <sz val="12"/>
      <color theme="0"/>
      <name val="Arial"/>
      <family val="2"/>
    </font>
    <font>
      <b/>
      <sz val="14"/>
      <color theme="0"/>
      <name val="Arial"/>
      <family val="2"/>
    </font>
    <font>
      <b/>
      <sz val="11"/>
      <name val="Calibri"/>
      <family val="2"/>
      <scheme val="minor"/>
    </font>
    <font>
      <b/>
      <sz val="10"/>
      <name val="Calibri"/>
      <family val="2"/>
      <scheme val="minor"/>
    </font>
    <font>
      <i/>
      <sz val="10"/>
      <name val="Arial"/>
      <family val="2"/>
    </font>
    <font>
      <b/>
      <sz val="10"/>
      <color indexed="51"/>
      <name val="Arial Black"/>
      <family val="2"/>
    </font>
    <font>
      <b/>
      <sz val="16"/>
      <color theme="0"/>
      <name val="Arial"/>
      <family val="2"/>
    </font>
    <font>
      <b/>
      <sz val="10"/>
      <color rgb="FF000000"/>
      <name val="Arial"/>
      <family val="2"/>
    </font>
    <font>
      <b/>
      <sz val="10"/>
      <color rgb="FFFF0000"/>
      <name val="Arial"/>
      <family val="2"/>
    </font>
    <font>
      <sz val="10"/>
      <color rgb="FFFF0000"/>
      <name val="Arial"/>
      <family val="2"/>
    </font>
    <font>
      <sz val="11"/>
      <name val="Arial"/>
      <family val="2"/>
    </font>
    <font>
      <sz val="11"/>
      <color theme="0"/>
      <name val="Calibri"/>
      <family val="2"/>
      <scheme val="minor"/>
    </font>
    <font>
      <vertAlign val="subscript"/>
      <sz val="10"/>
      <name val="Arial"/>
      <family val="2"/>
    </font>
    <font>
      <b/>
      <sz val="11"/>
      <color theme="1"/>
      <name val="Calibri"/>
      <family val="2"/>
      <scheme val="minor"/>
    </font>
    <font>
      <sz val="12"/>
      <color theme="1"/>
      <name val="Calibri"/>
      <family val="2"/>
      <scheme val="minor"/>
    </font>
    <font>
      <b/>
      <sz val="12"/>
      <color indexed="8"/>
      <name val="Calibri"/>
      <family val="2"/>
    </font>
    <font>
      <i/>
      <sz val="11"/>
      <color theme="1"/>
      <name val="Arial"/>
      <family val="2"/>
    </font>
    <font>
      <sz val="5"/>
      <name val="Arial"/>
      <family val="2"/>
    </font>
    <font>
      <vertAlign val="superscript"/>
      <sz val="5"/>
      <name val="Arial"/>
      <family val="2"/>
    </font>
    <font>
      <sz val="11"/>
      <color rgb="FFFF0000"/>
      <name val="Calibri"/>
      <family val="2"/>
      <scheme val="minor"/>
    </font>
    <font>
      <sz val="11"/>
      <name val="Calibri"/>
      <family val="2"/>
      <scheme val="minor"/>
    </font>
    <font>
      <b/>
      <sz val="9"/>
      <color indexed="81"/>
      <name val="Tahoma"/>
      <family val="2"/>
    </font>
    <font>
      <sz val="9"/>
      <color indexed="81"/>
      <name val="Tahoma"/>
      <family val="2"/>
    </font>
    <font>
      <sz val="10"/>
      <name val="Helv"/>
      <charset val="204"/>
    </font>
    <font>
      <sz val="14"/>
      <name val="System"/>
      <family val="2"/>
    </font>
    <font>
      <sz val="12"/>
      <name val="Calibri"/>
      <family val="2"/>
      <scheme val="minor"/>
    </font>
    <font>
      <sz val="10"/>
      <name val="Calibri"/>
      <family val="2"/>
      <scheme val="minor"/>
    </font>
    <font>
      <b/>
      <sz val="22"/>
      <name val="Calibri"/>
      <family val="2"/>
      <scheme val="minor"/>
    </font>
    <font>
      <i/>
      <sz val="11"/>
      <name val="Calibri"/>
      <family val="2"/>
      <scheme val="minor"/>
    </font>
    <font>
      <sz val="9"/>
      <name val="AGaramond"/>
    </font>
    <font>
      <sz val="10"/>
      <name val="Helvetica"/>
      <family val="2"/>
    </font>
    <font>
      <sz val="10"/>
      <color indexed="12"/>
      <name val="Helvetica"/>
      <family val="2"/>
    </font>
    <font>
      <sz val="10"/>
      <name val="MS Sans Serif"/>
      <family val="2"/>
    </font>
    <font>
      <sz val="10"/>
      <color indexed="24"/>
      <name val="Arial"/>
      <family val="2"/>
    </font>
    <font>
      <sz val="9"/>
      <name val="GillSans"/>
      <family val="2"/>
    </font>
    <font>
      <sz val="9"/>
      <name val="GillSans Light"/>
      <family val="2"/>
    </font>
    <font>
      <b/>
      <sz val="9"/>
      <name val="Arial"/>
      <family val="2"/>
    </font>
    <font>
      <b/>
      <sz val="8"/>
      <name val="Arial"/>
      <family val="2"/>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0"/>
      <name val="MS Sans Serif"/>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0"/>
      <name val="Verdana"/>
      <family val="2"/>
    </font>
    <font>
      <sz val="20"/>
      <color rgb="FFFF0000"/>
      <name val="Arial"/>
      <family val="2"/>
    </font>
    <font>
      <b/>
      <i/>
      <sz val="10"/>
      <name val="Arial"/>
      <family val="2"/>
    </font>
    <font>
      <sz val="10"/>
      <color rgb="FF000000"/>
      <name val="Arial"/>
      <family val="2"/>
    </font>
    <font>
      <b/>
      <sz val="14"/>
      <color theme="1"/>
      <name val="Arial"/>
      <family val="2"/>
    </font>
    <font>
      <sz val="14"/>
      <color rgb="FFFF0000"/>
      <name val="Arial"/>
      <family val="2"/>
    </font>
    <font>
      <b/>
      <sz val="12"/>
      <color theme="1"/>
      <name val="Calibri"/>
      <family val="2"/>
      <scheme val="minor"/>
    </font>
    <font>
      <sz val="10"/>
      <color theme="7" tint="-0.249977111117893"/>
      <name val="Arial"/>
      <family val="2"/>
    </font>
    <font>
      <sz val="11"/>
      <color theme="8" tint="-0.249977111117893"/>
      <name val="Arial"/>
      <family val="2"/>
    </font>
    <font>
      <sz val="10"/>
      <color indexed="8"/>
      <name val="Arial"/>
      <family val="2"/>
    </font>
    <font>
      <sz val="11"/>
      <color rgb="FF44546A"/>
      <name val="Calibri"/>
      <family val="2"/>
      <scheme val="minor"/>
    </font>
    <font>
      <b/>
      <sz val="11"/>
      <color rgb="FFFF0000"/>
      <name val="Arial"/>
      <family val="2"/>
    </font>
    <font>
      <sz val="11"/>
      <color theme="0" tint="-0.34998626667073579"/>
      <name val="Arial"/>
      <family val="2"/>
    </font>
    <font>
      <sz val="11"/>
      <color theme="1"/>
      <name val="Calibri"/>
      <family val="2"/>
    </font>
    <font>
      <sz val="9"/>
      <name val="Arial"/>
      <family val="2"/>
    </font>
    <font>
      <sz val="10"/>
      <color theme="0" tint="-0.34998626667073579"/>
      <name val="Arial"/>
      <family val="2"/>
    </font>
    <font>
      <b/>
      <sz val="11"/>
      <color rgb="FF000000"/>
      <name val="Arial"/>
      <family val="2"/>
    </font>
    <font>
      <sz val="11"/>
      <color rgb="FF000000"/>
      <name val="Arial"/>
      <family val="2"/>
    </font>
    <font>
      <sz val="10"/>
      <color rgb="FF808080"/>
      <name val="Arial"/>
      <family val="2"/>
    </font>
    <font>
      <sz val="9"/>
      <color rgb="FF808080"/>
      <name val="Arial"/>
      <family val="2"/>
    </font>
    <font>
      <b/>
      <sz val="9"/>
      <color rgb="FF000000"/>
      <name val="Tahoma"/>
      <family val="2"/>
    </font>
    <font>
      <sz val="9"/>
      <color rgb="FF000000"/>
      <name val="Tahoma"/>
      <family val="2"/>
    </font>
    <font>
      <u/>
      <sz val="11"/>
      <color theme="10"/>
      <name val="Calibri"/>
      <family val="2"/>
      <scheme val="minor"/>
    </font>
    <font>
      <b/>
      <sz val="9"/>
      <color indexed="9"/>
      <name val="Arial"/>
      <family val="2"/>
    </font>
    <font>
      <b/>
      <sz val="12"/>
      <color theme="0"/>
      <name val="Calibri"/>
      <family val="2"/>
      <scheme val="minor"/>
    </font>
    <font>
      <sz val="10"/>
      <color theme="4" tint="-0.249977111117893"/>
      <name val="Arial"/>
      <family val="2"/>
    </font>
    <font>
      <b/>
      <sz val="16"/>
      <color theme="0" tint="-4.9989318521683403E-2"/>
      <name val="Arial"/>
      <family val="2"/>
    </font>
    <font>
      <b/>
      <sz val="10"/>
      <color theme="0" tint="-4.9989318521683403E-2"/>
      <name val="Arial"/>
      <family val="2"/>
    </font>
    <font>
      <b/>
      <i/>
      <sz val="12"/>
      <color theme="0"/>
      <name val="Arial"/>
      <family val="2"/>
    </font>
    <font>
      <sz val="10"/>
      <color theme="0"/>
      <name val="Arial"/>
      <family val="2"/>
    </font>
    <font>
      <b/>
      <sz val="12"/>
      <color rgb="FFFF0000"/>
      <name val="Calibri"/>
      <family val="2"/>
      <scheme val="minor"/>
    </font>
    <font>
      <b/>
      <sz val="10"/>
      <color rgb="FFFFCC00"/>
      <name val="Arial"/>
      <family val="2"/>
    </font>
    <font>
      <b/>
      <sz val="10"/>
      <color theme="1" tint="0.14999847407452621"/>
      <name val="Arial"/>
      <family val="2"/>
    </font>
    <font>
      <sz val="10"/>
      <color theme="4" tint="0.59999389629810485"/>
      <name val="Arial"/>
      <family val="2"/>
    </font>
    <font>
      <sz val="10"/>
      <color theme="0" tint="-0.499984740745262"/>
      <name val="Arial"/>
      <family val="2"/>
    </font>
    <font>
      <b/>
      <sz val="10"/>
      <color theme="0" tint="-0.499984740745262"/>
      <name val="Arial"/>
      <family val="2"/>
    </font>
    <font>
      <sz val="11"/>
      <color theme="5" tint="-0.249977111117893"/>
      <name val="Arial"/>
      <family val="2"/>
    </font>
    <font>
      <b/>
      <sz val="11"/>
      <color theme="5" tint="-0.249977111117893"/>
      <name val="Arial"/>
      <family val="2"/>
    </font>
    <font>
      <b/>
      <sz val="16"/>
      <color rgb="FFFF0000"/>
      <name val="Arial"/>
      <family val="2"/>
    </font>
    <font>
      <sz val="10"/>
      <color theme="5" tint="-0.249977111117893"/>
      <name val="Arial"/>
      <family val="2"/>
    </font>
    <font>
      <b/>
      <sz val="12"/>
      <color indexed="18"/>
      <name val="Arial"/>
      <family val="2"/>
    </font>
    <font>
      <sz val="10"/>
      <color indexed="18"/>
      <name val="Arial"/>
      <family val="2"/>
    </font>
  </fonts>
  <fills count="99">
    <fill>
      <patternFill patternType="none"/>
    </fill>
    <fill>
      <patternFill patternType="gray125"/>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8"/>
        <bgColor indexed="64"/>
      </patternFill>
    </fill>
    <fill>
      <patternFill patternType="solid">
        <fgColor indexed="9"/>
        <bgColor indexed="64"/>
      </patternFill>
    </fill>
    <fill>
      <patternFill patternType="solid">
        <fgColor indexed="41"/>
        <bgColor indexed="64"/>
      </patternFill>
    </fill>
    <fill>
      <patternFill patternType="lightUp">
        <bgColor indexed="22"/>
      </patternFill>
    </fill>
    <fill>
      <patternFill patternType="solid">
        <fgColor indexed="62"/>
        <bgColor indexed="64"/>
      </patternFill>
    </fill>
    <fill>
      <patternFill patternType="solid">
        <fgColor indexed="47"/>
        <bgColor indexed="64"/>
      </patternFill>
    </fill>
    <fill>
      <patternFill patternType="solid">
        <fgColor rgb="FFFFFFCC"/>
        <bgColor indexed="64"/>
      </patternFill>
    </fill>
    <fill>
      <patternFill patternType="solid">
        <fgColor rgb="FFCCFFFF"/>
        <bgColor indexed="64"/>
      </patternFill>
    </fill>
    <fill>
      <patternFill patternType="solid">
        <fgColor rgb="FF00B0F0"/>
        <bgColor indexed="64"/>
      </patternFill>
    </fill>
    <fill>
      <patternFill patternType="solid">
        <fgColor theme="1"/>
        <bgColor indexed="64"/>
      </patternFill>
    </fill>
    <fill>
      <patternFill patternType="solid">
        <fgColor rgb="FFFFFFCC"/>
        <bgColor rgb="FF000000"/>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indexed="44"/>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599963377788628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4" tint="0.79998168889431442"/>
        <bgColor indexed="64"/>
      </patternFill>
    </fill>
    <fill>
      <patternFill patternType="lightUp">
        <bgColor theme="0" tint="-0.249977111117893"/>
      </patternFill>
    </fill>
    <fill>
      <patternFill patternType="solid">
        <fgColor theme="3" tint="0.39997558519241921"/>
        <bgColor indexed="64"/>
      </patternFill>
    </fill>
    <fill>
      <patternFill patternType="solid">
        <fgColor theme="4" tint="0.39994506668294322"/>
        <bgColor indexed="64"/>
      </patternFill>
    </fill>
    <fill>
      <patternFill patternType="lightUp">
        <bgColor theme="0" tint="-0.499984740745262"/>
      </patternFill>
    </fill>
    <fill>
      <patternFill patternType="solid">
        <fgColor theme="0"/>
        <bgColor rgb="FF000000"/>
      </patternFill>
    </fill>
    <fill>
      <patternFill patternType="solid">
        <fgColor theme="0" tint="-0.34998626667073579"/>
        <bgColor rgb="FF000000"/>
      </patternFill>
    </fill>
    <fill>
      <patternFill patternType="solid">
        <fgColor theme="4" tint="0.39997558519241921"/>
        <bgColor rgb="FF000000"/>
      </patternFill>
    </fill>
    <fill>
      <patternFill patternType="solid">
        <fgColor theme="4" tint="0.59999389629810485"/>
        <bgColor rgb="FF000000"/>
      </patternFill>
    </fill>
    <fill>
      <patternFill patternType="solid">
        <fgColor theme="7" tint="0.79998168889431442"/>
        <bgColor indexed="64"/>
      </patternFill>
    </fill>
    <fill>
      <patternFill patternType="solid">
        <fgColor theme="3" tint="0.59999389629810485"/>
        <bgColor indexed="64"/>
      </patternFill>
    </fill>
    <fill>
      <patternFill patternType="solid">
        <fgColor theme="1" tint="0.249977111117893"/>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bgColor indexed="64"/>
      </patternFill>
    </fill>
    <fill>
      <patternFill patternType="mediumGray">
        <fgColor indexed="22"/>
      </patternFill>
    </fill>
    <fill>
      <patternFill patternType="solid">
        <fgColor theme="0" tint="-0.1499069185460982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DAEEF3"/>
        <bgColor rgb="FF000000"/>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9" tint="0.79998168889431442"/>
        <bgColor indexed="64"/>
      </patternFill>
    </fill>
    <fill>
      <patternFill patternType="solid">
        <fgColor rgb="FFFCD5B4"/>
        <bgColor rgb="FF000000"/>
      </patternFill>
    </fill>
    <fill>
      <patternFill patternType="solid">
        <fgColor rgb="FFFFFFFF"/>
        <bgColor rgb="FF000000"/>
      </patternFill>
    </fill>
    <fill>
      <patternFill patternType="solid">
        <fgColor theme="6" tint="0.39997558519241921"/>
        <bgColor rgb="FF000000"/>
      </patternFill>
    </fill>
    <fill>
      <patternFill patternType="solid">
        <fgColor theme="7" tint="0.59999389629810485"/>
        <bgColor rgb="FF000000"/>
      </patternFill>
    </fill>
    <fill>
      <patternFill patternType="solid">
        <fgColor theme="6" tint="0.79998168889431442"/>
        <bgColor rgb="FF000000"/>
      </patternFill>
    </fill>
    <fill>
      <patternFill patternType="solid">
        <fgColor rgb="FFE4DFEC"/>
        <bgColor rgb="FF000000"/>
      </patternFill>
    </fill>
    <fill>
      <patternFill patternType="solid">
        <fgColor rgb="FFCCC0DA"/>
        <bgColor rgb="FF000000"/>
      </patternFill>
    </fill>
    <fill>
      <patternFill patternType="solid">
        <fgColor theme="7" tint="0.79998168889431442"/>
        <bgColor rgb="FF000000"/>
      </patternFill>
    </fill>
    <fill>
      <patternFill patternType="solid">
        <fgColor theme="4" tint="0.79998168889431442"/>
        <bgColor indexed="65"/>
      </patternFill>
    </fill>
    <fill>
      <patternFill patternType="solid">
        <fgColor theme="4" tint="0.59999389629810485"/>
        <bgColor indexed="65"/>
      </patternFill>
    </fill>
    <fill>
      <patternFill patternType="gray0625">
        <bgColor indexed="44"/>
      </patternFill>
    </fill>
    <fill>
      <patternFill patternType="solid">
        <fgColor theme="4" tint="-0.499984740745262"/>
        <bgColor indexed="64"/>
      </patternFill>
    </fill>
    <fill>
      <patternFill patternType="solid">
        <fgColor rgb="FF366092"/>
        <bgColor rgb="FF000000"/>
      </patternFill>
    </fill>
    <fill>
      <patternFill patternType="solid">
        <fgColor rgb="FF92D050"/>
        <bgColor indexed="64"/>
      </patternFill>
    </fill>
  </fills>
  <borders count="3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49"/>
      </top>
      <bottom style="double">
        <color indexed="49"/>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2"/>
      </left>
      <right/>
      <top style="thick">
        <color indexed="62"/>
      </top>
      <bottom/>
      <diagonal/>
    </border>
    <border>
      <left/>
      <right/>
      <top style="thick">
        <color indexed="62"/>
      </top>
      <bottom/>
      <diagonal/>
    </border>
    <border>
      <left/>
      <right style="thick">
        <color indexed="62"/>
      </right>
      <top style="thick">
        <color indexed="62"/>
      </top>
      <bottom/>
      <diagonal/>
    </border>
    <border>
      <left style="thick">
        <color indexed="62"/>
      </left>
      <right/>
      <top/>
      <bottom/>
      <diagonal/>
    </border>
    <border>
      <left/>
      <right style="thick">
        <color indexed="62"/>
      </right>
      <top/>
      <bottom/>
      <diagonal/>
    </border>
    <border>
      <left style="thick">
        <color indexed="62"/>
      </left>
      <right/>
      <top/>
      <bottom style="thick">
        <color indexed="62"/>
      </bottom>
      <diagonal/>
    </border>
    <border>
      <left/>
      <right style="thick">
        <color indexed="62"/>
      </right>
      <top/>
      <bottom style="thick">
        <color indexed="6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34998626667073579"/>
      </right>
      <top style="medium">
        <color indexed="64"/>
      </top>
      <bottom style="thin">
        <color theme="0" tint="-0.34998626667073579"/>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top/>
      <bottom style="medium">
        <color auto="1"/>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medium">
        <color indexed="64"/>
      </top>
      <bottom style="medium">
        <color auto="1"/>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medium">
        <color indexed="64"/>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style="thin">
        <color indexed="64"/>
      </right>
      <top style="thin">
        <color theme="0" tint="-0.34998626667073579"/>
      </top>
      <bottom style="medium">
        <color auto="1"/>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auto="1"/>
      </bottom>
      <diagonal/>
    </border>
    <border>
      <left style="medium">
        <color indexed="64"/>
      </left>
      <right/>
      <top style="thin">
        <color theme="0" tint="-0.34998626667073579"/>
      </top>
      <bottom style="medium">
        <color indexed="64"/>
      </bottom>
      <diagonal/>
    </border>
    <border>
      <left style="thin">
        <color theme="0" tint="-0.34998626667073579"/>
      </left>
      <right style="thin">
        <color indexed="64"/>
      </right>
      <top style="medium">
        <color indexed="64"/>
      </top>
      <bottom style="medium">
        <color indexed="64"/>
      </bottom>
      <diagonal/>
    </border>
    <border>
      <left style="medium">
        <color indexed="64"/>
      </left>
      <right/>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indexed="64"/>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theme="0" tint="-0.34998626667073579"/>
      </left>
      <right/>
      <top style="medium">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medium">
        <color auto="1"/>
      </bottom>
      <diagonal/>
    </border>
    <border>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thin">
        <color theme="0" tint="-0.34998626667073579"/>
      </right>
      <top/>
      <bottom/>
      <diagonal/>
    </border>
    <border>
      <left style="thin">
        <color theme="0" tint="-0.34998626667073579"/>
      </left>
      <right style="thin">
        <color indexed="64"/>
      </right>
      <top style="medium">
        <color indexed="64"/>
      </top>
      <bottom/>
      <diagonal/>
    </border>
    <border>
      <left/>
      <right/>
      <top/>
      <bottom style="thin">
        <color theme="0" tint="-0.34998626667073579"/>
      </bottom>
      <diagonal/>
    </border>
    <border>
      <left style="medium">
        <color indexed="64"/>
      </left>
      <right style="thin">
        <color indexed="64"/>
      </right>
      <top/>
      <bottom/>
      <diagonal/>
    </border>
    <border>
      <left style="medium">
        <color indexed="64"/>
      </left>
      <right/>
      <top style="thin">
        <color theme="0" tint="-0.34998626667073579"/>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medium">
        <color indexed="64"/>
      </left>
      <right style="thin">
        <color theme="0" tint="-0.24994659260841701"/>
      </right>
      <top style="thin">
        <color theme="0" tint="-0.34998626667073579"/>
      </top>
      <bottom style="thin">
        <color theme="0" tint="-0.34998626667073579"/>
      </bottom>
      <diagonal/>
    </border>
    <border>
      <left style="medium">
        <color indexed="64"/>
      </left>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style="thin">
        <color theme="0" tint="-0.34998626667073579"/>
      </left>
      <right style="medium">
        <color indexed="64"/>
      </right>
      <top/>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right/>
      <top style="thin">
        <color theme="0" tint="-0.24994659260841701"/>
      </top>
      <bottom style="thin">
        <color theme="0" tint="-0.24994659260841701"/>
      </bottom>
      <diagonal/>
    </border>
    <border>
      <left/>
      <right style="thin">
        <color indexed="64"/>
      </right>
      <top style="medium">
        <color indexed="64"/>
      </top>
      <bottom style="thin">
        <color theme="0" tint="-0.34998626667073579"/>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34998626667073579"/>
      </top>
      <bottom style="medium">
        <color auto="1"/>
      </bottom>
      <diagonal/>
    </border>
    <border>
      <left style="thin">
        <color theme="0" tint="-0.24994659260841701"/>
      </left>
      <right style="thin">
        <color theme="0" tint="-0.24994659260841701"/>
      </right>
      <top/>
      <bottom style="thin">
        <color theme="0" tint="-0.24994659260841701"/>
      </bottom>
      <diagonal/>
    </border>
    <border>
      <left/>
      <right/>
      <top/>
      <bottom style="medium">
        <color auto="1"/>
      </bottom>
      <diagonal/>
    </border>
    <border>
      <left style="thin">
        <color theme="0" tint="-0.24994659260841701"/>
      </left>
      <right style="thin">
        <color theme="0" tint="-0.24994659260841701"/>
      </right>
      <top style="medium">
        <color indexed="64"/>
      </top>
      <bottom style="thin">
        <color theme="0" tint="-0.24994659260841701"/>
      </bottom>
      <diagonal/>
    </border>
    <border>
      <left style="medium">
        <color indexed="64"/>
      </left>
      <right style="medium">
        <color indexed="64"/>
      </right>
      <top/>
      <bottom style="thin">
        <color theme="0" tint="-0.34998626667073579"/>
      </bottom>
      <diagonal/>
    </border>
    <border>
      <left style="medium">
        <color indexed="64"/>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top/>
      <bottom style="medium">
        <color indexed="64"/>
      </bottom>
      <diagonal/>
    </border>
    <border>
      <left style="medium">
        <color indexed="64"/>
      </left>
      <right style="thin">
        <color theme="0" tint="-0.24994659260841701"/>
      </right>
      <top/>
      <bottom style="thin">
        <color theme="0" tint="-0.24994659260841701"/>
      </bottom>
      <diagonal/>
    </border>
    <border>
      <left/>
      <right style="medium">
        <color indexed="64"/>
      </right>
      <top/>
      <bottom style="thin">
        <color theme="0" tint="-0.34998626667073579"/>
      </bottom>
      <diagonal/>
    </border>
    <border>
      <left/>
      <right style="thin">
        <color indexed="64"/>
      </right>
      <top/>
      <bottom style="medium">
        <color auto="1"/>
      </bottom>
      <diagonal/>
    </border>
    <border>
      <left style="medium">
        <color indexed="64"/>
      </left>
      <right/>
      <top style="medium">
        <color auto="1"/>
      </top>
      <bottom style="thin">
        <color indexed="64"/>
      </bottom>
      <diagonal/>
    </border>
    <border>
      <left style="medium">
        <color indexed="64"/>
      </left>
      <right style="medium">
        <color indexed="64"/>
      </right>
      <top style="thin">
        <color theme="0" tint="-0.34998626667073579"/>
      </top>
      <bottom/>
      <diagonal/>
    </border>
    <border>
      <left style="thin">
        <color theme="0" tint="-0.34998626667073579"/>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theme="0" tint="-0.34998626667073579"/>
      </left>
      <right/>
      <top/>
      <bottom style="thin">
        <color theme="0" tint="-0.34998626667073579"/>
      </bottom>
      <diagonal/>
    </border>
    <border>
      <left/>
      <right/>
      <top style="thin">
        <color theme="0" tint="-0.34998626667073579"/>
      </top>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indexed="64"/>
      </right>
      <top style="thin">
        <color theme="0" tint="-0.34998626667073579"/>
      </top>
      <bottom style="thin">
        <color theme="0" tint="-0.34998626667073579"/>
      </bottom>
      <diagonal/>
    </border>
    <border>
      <left style="medium">
        <color indexed="64"/>
      </left>
      <right style="thin">
        <color indexed="64"/>
      </right>
      <top style="medium">
        <color indexed="64"/>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bottom/>
      <diagonal/>
    </border>
    <border>
      <left style="medium">
        <color indexed="64"/>
      </left>
      <right style="thin">
        <color theme="0" tint="-0.34998626667073579"/>
      </right>
      <top style="medium">
        <color indexed="64"/>
      </top>
      <bottom/>
      <diagonal/>
    </border>
    <border>
      <left style="thin">
        <color theme="0" tint="-0.34998626667073579"/>
      </left>
      <right style="thin">
        <color theme="0" tint="-0.34998626667073579"/>
      </right>
      <top/>
      <bottom style="medium">
        <color indexed="64"/>
      </bottom>
      <diagonal/>
    </border>
    <border>
      <left/>
      <right style="thin">
        <color indexed="64"/>
      </right>
      <top style="thin">
        <color theme="0" tint="-0.34998626667073579"/>
      </top>
      <bottom style="medium">
        <color auto="1"/>
      </bottom>
      <diagonal/>
    </border>
    <border>
      <left style="medium">
        <color indexed="64"/>
      </left>
      <right style="thin">
        <color indexed="64"/>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thin">
        <color indexed="64"/>
      </left>
      <right style="thin">
        <color theme="0" tint="-0.34998626667073579"/>
      </right>
      <top style="thin">
        <color theme="0" tint="-0.34998626667073579"/>
      </top>
      <bottom style="medium">
        <color auto="1"/>
      </bottom>
      <diagonal/>
    </border>
    <border>
      <left/>
      <right style="thin">
        <color indexed="64"/>
      </right>
      <top style="medium">
        <color indexed="64"/>
      </top>
      <bottom style="medium">
        <color indexed="64"/>
      </bottom>
      <diagonal/>
    </border>
    <border>
      <left style="thin">
        <color theme="0" tint="-0.34998626667073579"/>
      </left>
      <right style="thin">
        <color theme="0" tint="-0.34998626667073579"/>
      </right>
      <top style="medium">
        <color indexed="64"/>
      </top>
      <bottom style="thin">
        <color indexed="64"/>
      </bottom>
      <diagonal/>
    </border>
    <border>
      <left style="thin">
        <color theme="0" tint="-0.34998626667073579"/>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theme="0" tint="-0.34998626667073579"/>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thin">
        <color theme="0" tint="-0.34998626667073579"/>
      </right>
      <top style="thin">
        <color theme="0" tint="-0.34998626667073579"/>
      </top>
      <bottom style="thin">
        <color theme="0" tint="-0.34998626667073579"/>
      </bottom>
      <diagonal/>
    </border>
    <border>
      <left/>
      <right/>
      <top style="medium">
        <color indexed="64"/>
      </top>
      <bottom style="thin">
        <color theme="0" tint="-0.24994659260841701"/>
      </bottom>
      <diagonal/>
    </border>
    <border>
      <left style="thin">
        <color indexed="64"/>
      </left>
      <right style="thin">
        <color theme="0" tint="-0.34998626667073579"/>
      </right>
      <top/>
      <bottom style="thin">
        <color theme="0" tint="-0.34998626667073579"/>
      </bottom>
      <diagonal/>
    </border>
    <border>
      <left style="medium">
        <color auto="1"/>
      </left>
      <right style="thin">
        <color theme="0" tint="-0.24994659260841701"/>
      </right>
      <top style="medium">
        <color auto="1"/>
      </top>
      <bottom style="thin">
        <color indexed="64"/>
      </bottom>
      <diagonal/>
    </border>
    <border>
      <left style="thin">
        <color theme="0" tint="-0.24994659260841701"/>
      </left>
      <right style="thin">
        <color indexed="64"/>
      </right>
      <top style="medium">
        <color auto="1"/>
      </top>
      <bottom style="thin">
        <color indexed="64"/>
      </bottom>
      <diagonal/>
    </border>
    <border>
      <left/>
      <right style="thin">
        <color theme="0" tint="-0.34998626667073579"/>
      </right>
      <top style="medium">
        <color auto="1"/>
      </top>
      <bottom style="thin">
        <color indexed="64"/>
      </bottom>
      <diagonal/>
    </border>
    <border>
      <left style="thin">
        <color theme="0" tint="-0.34998626667073579"/>
      </left>
      <right style="medium">
        <color indexed="64"/>
      </right>
      <top style="medium">
        <color auto="1"/>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diagonal/>
    </border>
    <border>
      <left style="thin">
        <color theme="0" tint="-0.24994659260841701"/>
      </left>
      <right/>
      <top style="thin">
        <color theme="0" tint="-0.34998626667073579"/>
      </top>
      <bottom style="medium">
        <color auto="1"/>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indexed="64"/>
      </bottom>
      <diagonal/>
    </border>
    <border>
      <left/>
      <right/>
      <top style="thin">
        <color theme="0" tint="-0.24994659260841701"/>
      </top>
      <bottom style="medium">
        <color indexed="64"/>
      </bottom>
      <diagonal/>
    </border>
    <border>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medium">
        <color indexed="64"/>
      </bottom>
      <diagonal/>
    </border>
    <border>
      <left/>
      <right style="thin">
        <color theme="0" tint="-0.24994659260841701"/>
      </right>
      <top/>
      <bottom/>
      <diagonal/>
    </border>
    <border>
      <left style="thin">
        <color theme="0" tint="-0.34998626667073579"/>
      </left>
      <right style="medium">
        <color indexed="64"/>
      </right>
      <top/>
      <bottom style="medium">
        <color indexed="64"/>
      </bottom>
      <diagonal/>
    </border>
    <border>
      <left style="thin">
        <color auto="1"/>
      </left>
      <right style="medium">
        <color auto="1"/>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
      <left style="medium">
        <color indexed="64"/>
      </left>
      <right/>
      <top style="thin">
        <color theme="0" tint="-0.24994659260841701"/>
      </top>
      <bottom style="medium">
        <color auto="1"/>
      </bottom>
      <diagonal/>
    </border>
    <border>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thin">
        <color indexed="64"/>
      </left>
      <right style="medium">
        <color indexed="64"/>
      </right>
      <top style="medium">
        <color indexed="64"/>
      </top>
      <bottom/>
      <diagonal/>
    </border>
    <border>
      <left style="thin">
        <color auto="1"/>
      </left>
      <right style="medium">
        <color indexed="64"/>
      </right>
      <top/>
      <bottom/>
      <diagonal/>
    </border>
    <border>
      <left style="medium">
        <color indexed="64"/>
      </left>
      <right style="thin">
        <color indexed="64"/>
      </right>
      <top style="thin">
        <color indexed="64"/>
      </top>
      <bottom style="medium">
        <color auto="1"/>
      </bottom>
      <diagonal/>
    </border>
    <border>
      <left style="thin">
        <color indexed="64"/>
      </left>
      <right style="thin">
        <color indexed="64"/>
      </right>
      <top style="medium">
        <color auto="1"/>
      </top>
      <bottom style="thin">
        <color theme="0" tint="-0.34998626667073579"/>
      </bottom>
      <diagonal/>
    </border>
    <border>
      <left style="thin">
        <color indexed="64"/>
      </left>
      <right style="medium">
        <color indexed="64"/>
      </right>
      <top style="medium">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medium">
        <color indexed="64"/>
      </bottom>
      <diagonal/>
    </border>
    <border>
      <left style="thin">
        <color indexed="64"/>
      </left>
      <right style="medium">
        <color auto="1"/>
      </right>
      <top style="thin">
        <color theme="0" tint="-0.34998626667073579"/>
      </top>
      <bottom style="medium">
        <color indexed="64"/>
      </bottom>
      <diagonal/>
    </border>
    <border>
      <left style="medium">
        <color auto="1"/>
      </left>
      <right style="thin">
        <color auto="1"/>
      </right>
      <top style="medium">
        <color auto="1"/>
      </top>
      <bottom style="thin">
        <color theme="0" tint="-0.24994659260841701"/>
      </bottom>
      <diagonal/>
    </border>
    <border>
      <left style="thin">
        <color indexed="64"/>
      </left>
      <right style="thin">
        <color indexed="64"/>
      </right>
      <top style="medium">
        <color auto="1"/>
      </top>
      <bottom style="thin">
        <color theme="0" tint="-0.24994659260841701"/>
      </bottom>
      <diagonal/>
    </border>
    <border>
      <left style="thin">
        <color theme="0" tint="-0.34998626667073579"/>
      </left>
      <right style="thin">
        <color theme="0" tint="-0.34998626667073579"/>
      </right>
      <top style="thin">
        <color theme="0" tint="-0.2499465926084170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38"/>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auto="1"/>
      </left>
      <right style="thin">
        <color theme="0" tint="-0.34998626667073579"/>
      </right>
      <top style="medium">
        <color indexed="64"/>
      </top>
      <bottom style="thin">
        <color theme="0" tint="-0.34998626667073579"/>
      </bottom>
      <diagonal/>
    </border>
    <border>
      <left style="medium">
        <color auto="1"/>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indexed="64"/>
      </top>
      <bottom style="medium">
        <color auto="1"/>
      </bottom>
      <diagonal/>
    </border>
    <border>
      <left style="thin">
        <color theme="0" tint="-0.34998626667073579"/>
      </left>
      <right style="medium">
        <color indexed="64"/>
      </right>
      <top style="thin">
        <color indexed="64"/>
      </top>
      <bottom style="medium">
        <color auto="1"/>
      </bottom>
      <diagonal/>
    </border>
    <border>
      <left style="medium">
        <color indexed="64"/>
      </left>
      <right style="thin">
        <color theme="0" tint="-0.34998626667073579"/>
      </right>
      <top style="thin">
        <color indexed="64"/>
      </top>
      <bottom style="medium">
        <color auto="1"/>
      </bottom>
      <diagonal/>
    </border>
    <border>
      <left style="medium">
        <color indexed="64"/>
      </left>
      <right style="thin">
        <color indexed="64"/>
      </right>
      <top style="thin">
        <color theme="0" tint="-0.34998626667073579"/>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bottom style="thin">
        <color theme="0" tint="-0.34998626667073579"/>
      </bottom>
      <diagonal/>
    </border>
    <border>
      <left style="medium">
        <color indexed="64"/>
      </left>
      <right style="medium">
        <color indexed="64"/>
      </right>
      <top style="thin">
        <color theme="0" tint="-0.34998626667073579"/>
      </top>
      <bottom style="thin">
        <color indexed="64"/>
      </bottom>
      <diagonal/>
    </border>
    <border>
      <left style="medium">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top style="thin">
        <color indexed="64"/>
      </top>
      <bottom style="medium">
        <color indexed="64"/>
      </bottom>
      <diagonal/>
    </border>
    <border>
      <left/>
      <right style="thin">
        <color theme="0" tint="-0.34998626667073579"/>
      </right>
      <top style="thin">
        <color indexed="64"/>
      </top>
      <bottom style="medium">
        <color indexed="64"/>
      </bottom>
      <diagonal/>
    </border>
    <border>
      <left style="medium">
        <color indexed="64"/>
      </left>
      <right style="medium">
        <color indexed="64"/>
      </right>
      <top style="thin">
        <color indexed="64"/>
      </top>
      <bottom style="thin">
        <color theme="0" tint="-0.34998626667073579"/>
      </bottom>
      <diagonal/>
    </border>
    <border>
      <left style="thin">
        <color indexed="64"/>
      </left>
      <right style="medium">
        <color indexed="64"/>
      </right>
      <top/>
      <bottom style="thin">
        <color theme="0" tint="-0.34998626667073579"/>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style="thin">
        <color indexed="64"/>
      </top>
      <bottom style="thin">
        <color theme="0" tint="-0.24994659260841701"/>
      </bottom>
      <diagonal/>
    </border>
    <border>
      <left style="medium">
        <color indexed="64"/>
      </left>
      <right style="medium">
        <color indexed="64"/>
      </right>
      <top/>
      <bottom style="thin">
        <color theme="0" tint="-0.24994659260841701"/>
      </bottom>
      <diagonal/>
    </border>
    <border>
      <left style="medium">
        <color indexed="64"/>
      </left>
      <right style="thin">
        <color indexed="64"/>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medium">
        <color indexed="64"/>
      </left>
      <right/>
      <top style="medium">
        <color auto="1"/>
      </top>
      <bottom style="thin">
        <color theme="1"/>
      </bottom>
      <diagonal/>
    </border>
    <border>
      <left/>
      <right/>
      <top style="medium">
        <color auto="1"/>
      </top>
      <bottom style="thin">
        <color theme="1"/>
      </bottom>
      <diagonal/>
    </border>
    <border>
      <left/>
      <right style="medium">
        <color indexed="64"/>
      </right>
      <top style="medium">
        <color auto="1"/>
      </top>
      <bottom style="thin">
        <color theme="1"/>
      </bottom>
      <diagonal/>
    </border>
    <border>
      <left style="thin">
        <color indexed="64"/>
      </left>
      <right style="thin">
        <color theme="0" tint="-0.34998626667073579"/>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medium">
        <color indexed="64"/>
      </left>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medium">
        <color indexed="64"/>
      </left>
      <right style="thin">
        <color theme="0" tint="-0.34998626667073579"/>
      </right>
      <top/>
      <bottom style="thin">
        <color indexed="64"/>
      </bottom>
      <diagonal/>
    </border>
    <border>
      <left style="medium">
        <color indexed="64"/>
      </left>
      <right style="thin">
        <color theme="0" tint="-0.34998626667073579"/>
      </right>
      <top style="thin">
        <color indexed="64"/>
      </top>
      <bottom/>
      <diagonal/>
    </border>
    <border>
      <left style="thin">
        <color theme="0" tint="-0.34998626667073579"/>
      </left>
      <right/>
      <top style="thin">
        <color indexed="64"/>
      </top>
      <bottom style="thin">
        <color theme="0" tint="-0.34998626667073579"/>
      </bottom>
      <diagonal/>
    </border>
    <border>
      <left style="medium">
        <color indexed="64"/>
      </left>
      <right style="thin">
        <color theme="0" tint="-0.34998626667073579"/>
      </right>
      <top style="thin">
        <color indexed="64"/>
      </top>
      <bottom style="thin">
        <color theme="0" tint="-0.34998626667073579"/>
      </bottom>
      <diagonal/>
    </border>
    <border>
      <left style="thin">
        <color theme="0" tint="-0.34998626667073579"/>
      </left>
      <right style="medium">
        <color indexed="64"/>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style="medium">
        <color indexed="64"/>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medium">
        <color indexed="64"/>
      </left>
      <right/>
      <top/>
      <bottom style="medium">
        <color indexed="64"/>
      </bottom>
      <diagonal/>
    </border>
    <border>
      <left/>
      <right/>
      <top style="thin">
        <color indexed="64"/>
      </top>
      <bottom style="thin">
        <color theme="0" tint="-0.34998626667073579"/>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medium">
        <color auto="1"/>
      </bottom>
      <diagonal/>
    </border>
    <border>
      <left style="thin">
        <color theme="0" tint="-0.34998626667073579"/>
      </left>
      <right style="thin">
        <color theme="0" tint="-0.34998626667073579"/>
      </right>
      <top/>
      <bottom style="medium">
        <color auto="1"/>
      </bottom>
      <diagonal/>
    </border>
    <border>
      <left style="thin">
        <color theme="0" tint="-0.34998626667073579"/>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theme="0" tint="-0.34998626667073579"/>
      </left>
      <right style="medium">
        <color indexed="64"/>
      </right>
      <top style="thin">
        <color theme="0" tint="-0.24994659260841701"/>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style="thin">
        <color theme="0" tint="-0.24994659260841701"/>
      </left>
      <right/>
      <top style="medium">
        <color indexed="64"/>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right style="medium">
        <color indexed="64"/>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indexed="64"/>
      </right>
      <top style="thin">
        <color theme="0" tint="-0.24994659260841701"/>
      </top>
      <bottom style="medium">
        <color auto="1"/>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right style="medium">
        <color rgb="FFFF0000"/>
      </right>
      <top style="medium">
        <color rgb="FFFF0000"/>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thin">
        <color rgb="FFBFBFBF"/>
      </left>
      <right/>
      <top style="medium">
        <color indexed="64"/>
      </top>
      <bottom style="medium">
        <color auto="1"/>
      </bottom>
      <diagonal/>
    </border>
    <border>
      <left style="medium">
        <color rgb="FFFF0000"/>
      </left>
      <right style="thin">
        <color indexed="64"/>
      </right>
      <top style="medium">
        <color indexed="64"/>
      </top>
      <bottom style="medium">
        <color auto="1"/>
      </bottom>
      <diagonal/>
    </border>
    <border>
      <left style="thin">
        <color rgb="FFBFBFBF"/>
      </left>
      <right style="thin">
        <color indexed="64"/>
      </right>
      <top style="medium">
        <color indexed="64"/>
      </top>
      <bottom style="medium">
        <color auto="1"/>
      </bottom>
      <diagonal/>
    </border>
    <border>
      <left style="thin">
        <color rgb="FFBFBFBF"/>
      </left>
      <right style="medium">
        <color rgb="FFFF0000"/>
      </right>
      <top style="medium">
        <color indexed="64"/>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FF0000"/>
      </left>
      <right/>
      <top/>
      <bottom/>
      <diagonal/>
    </border>
    <border>
      <left style="thin">
        <color theme="0" tint="-0.24994659260841701"/>
      </left>
      <right style="medium">
        <color rgb="FFFF0000"/>
      </right>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top/>
      <bottom style="thin">
        <color indexed="64"/>
      </bottom>
      <diagonal/>
    </border>
    <border>
      <left style="medium">
        <color indexed="64"/>
      </left>
      <right style="medium">
        <color indexed="64"/>
      </right>
      <top style="thin">
        <color theme="0" tint="-0.24994659260841701"/>
      </top>
      <bottom/>
      <diagonal/>
    </border>
    <border>
      <left style="medium">
        <color rgb="FFFF0000"/>
      </left>
      <right style="thin">
        <color theme="0" tint="-0.24994659260841701"/>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style="thin">
        <color rgb="FFBFBFBF"/>
      </left>
      <right/>
      <top style="thin">
        <color rgb="FFBFBFBF"/>
      </top>
      <bottom style="medium">
        <color auto="1"/>
      </bottom>
      <diagonal/>
    </border>
    <border>
      <left style="medium">
        <color rgb="FFFF0000"/>
      </left>
      <right style="thin">
        <color theme="0" tint="-0.24994659260841701"/>
      </right>
      <top style="thin">
        <color theme="0" tint="-0.24994659260841701"/>
      </top>
      <bottom style="medium">
        <color auto="1"/>
      </bottom>
      <diagonal/>
    </border>
    <border>
      <left style="thin">
        <color theme="0" tint="-0.24994659260841701"/>
      </left>
      <right style="medium">
        <color rgb="FFFF0000"/>
      </right>
      <top style="thin">
        <color theme="0" tint="-0.24994659260841701"/>
      </top>
      <bottom style="medium">
        <color indexed="64"/>
      </bottom>
      <diagonal/>
    </border>
    <border>
      <left/>
      <right style="medium">
        <color rgb="FFFF0000"/>
      </right>
      <top/>
      <bottom/>
      <diagonal/>
    </border>
    <border>
      <left style="medium">
        <color rgb="FFFF0000"/>
      </left>
      <right/>
      <top style="medium">
        <color indexed="64"/>
      </top>
      <bottom style="medium">
        <color indexed="64"/>
      </bottom>
      <diagonal/>
    </border>
    <border>
      <left style="medium">
        <color auto="1"/>
      </left>
      <right style="thin">
        <color rgb="FFA6A6A6"/>
      </right>
      <top style="medium">
        <color auto="1"/>
      </top>
      <bottom style="medium">
        <color auto="1"/>
      </bottom>
      <diagonal/>
    </border>
    <border>
      <left style="thin">
        <color rgb="FFA6A6A6"/>
      </left>
      <right style="thin">
        <color rgb="FFA6A6A6"/>
      </right>
      <top style="medium">
        <color indexed="64"/>
      </top>
      <bottom style="medium">
        <color indexed="64"/>
      </bottom>
      <diagonal/>
    </border>
    <border>
      <left style="thin">
        <color rgb="FFBFBFBF"/>
      </left>
      <right style="medium">
        <color indexed="64"/>
      </right>
      <top style="medium">
        <color indexed="64"/>
      </top>
      <bottom style="medium">
        <color indexed="64"/>
      </bottom>
      <diagonal/>
    </border>
    <border>
      <left style="medium">
        <color rgb="FFFF0000"/>
      </left>
      <right style="thin">
        <color theme="0" tint="-0.24994659260841701"/>
      </right>
      <top style="medium">
        <color indexed="64"/>
      </top>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rgb="FFA6A6A6"/>
      </right>
      <top/>
      <bottom style="thin">
        <color rgb="FFA6A6A6"/>
      </bottom>
      <diagonal/>
    </border>
    <border>
      <left style="thin">
        <color rgb="FFA6A6A6"/>
      </left>
      <right style="thin">
        <color rgb="FFA6A6A6"/>
      </right>
      <top/>
      <bottom style="thin">
        <color rgb="FFA6A6A6"/>
      </bottom>
      <diagonal/>
    </border>
    <border>
      <left style="thin">
        <color rgb="FFBFBFBF"/>
      </left>
      <right style="thin">
        <color indexed="64"/>
      </right>
      <top/>
      <bottom style="thin">
        <color rgb="FFBFBFBF"/>
      </bottom>
      <diagonal/>
    </border>
    <border>
      <left style="medium">
        <color rgb="FFFF0000"/>
      </left>
      <right style="thin">
        <color theme="0" tint="-0.24994659260841701"/>
      </right>
      <top style="medium">
        <color indexed="64"/>
      </top>
      <bottom style="thin">
        <color theme="0" tint="-0.24994659260841701"/>
      </bottom>
      <diagonal/>
    </border>
    <border>
      <left style="medium">
        <color indexed="64"/>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BFBFBF"/>
      </left>
      <right style="thin">
        <color indexed="64"/>
      </right>
      <top style="thin">
        <color rgb="FFBFBFBF"/>
      </top>
      <bottom style="thin">
        <color rgb="FFBFBFBF"/>
      </bottom>
      <diagonal/>
    </border>
    <border>
      <left style="medium">
        <color indexed="64"/>
      </left>
      <right style="thin">
        <color indexed="64"/>
      </right>
      <top style="thin">
        <color indexed="64"/>
      </top>
      <bottom style="thin">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rgb="FFA6A6A6"/>
      </right>
      <top style="thin">
        <color rgb="FFA6A6A6"/>
      </top>
      <bottom style="thin">
        <color rgb="FFBFBFBF"/>
      </bottom>
      <diagonal/>
    </border>
    <border>
      <left style="thin">
        <color rgb="FFA6A6A6"/>
      </left>
      <right style="thin">
        <color rgb="FFA6A6A6"/>
      </right>
      <top style="thin">
        <color rgb="FFA6A6A6"/>
      </top>
      <bottom style="thin">
        <color rgb="FFBFBFBF"/>
      </bottom>
      <diagonal/>
    </border>
    <border>
      <left style="medium">
        <color auto="1"/>
      </left>
      <right style="thin">
        <color indexed="64"/>
      </right>
      <top style="thin">
        <color theme="0" tint="-0.24994659260841701"/>
      </top>
      <bottom style="medium">
        <color auto="1"/>
      </bottom>
      <diagonal/>
    </border>
    <border>
      <left style="medium">
        <color rgb="FFFF0000"/>
      </left>
      <right style="thin">
        <color theme="0" tint="-0.24994659260841701"/>
      </right>
      <top style="thin">
        <color theme="0" tint="-0.24994659260841701"/>
      </top>
      <bottom style="medium">
        <color rgb="FFFF0000"/>
      </bottom>
      <diagonal/>
    </border>
    <border>
      <left style="thin">
        <color theme="0" tint="-0.24994659260841701"/>
      </left>
      <right style="thin">
        <color theme="0" tint="-0.24994659260841701"/>
      </right>
      <top style="thin">
        <color theme="0" tint="-0.24994659260841701"/>
      </top>
      <bottom style="medium">
        <color rgb="FFFF0000"/>
      </bottom>
      <diagonal/>
    </border>
    <border>
      <left style="thin">
        <color theme="0" tint="-0.24994659260841701"/>
      </left>
      <right style="thin">
        <color indexed="64"/>
      </right>
      <top style="thin">
        <color theme="0" tint="-0.24994659260841701"/>
      </top>
      <bottom style="medium">
        <color rgb="FFFF0000"/>
      </bottom>
      <diagonal/>
    </border>
    <border>
      <left/>
      <right style="medium">
        <color rgb="FFFF0000"/>
      </right>
      <top/>
      <bottom style="medium">
        <color rgb="FFFF0000"/>
      </bottom>
      <diagonal/>
    </border>
    <border>
      <left style="medium">
        <color indexed="64"/>
      </left>
      <right style="medium">
        <color indexed="64"/>
      </right>
      <top style="medium">
        <color indexed="64"/>
      </top>
      <bottom style="thin">
        <color rgb="FFBFBFBF"/>
      </bottom>
      <diagonal/>
    </border>
    <border>
      <left style="medium">
        <color auto="1"/>
      </left>
      <right style="thin">
        <color auto="1"/>
      </right>
      <top style="thin">
        <color rgb="FFBFBFBF"/>
      </top>
      <bottom style="thin">
        <color rgb="FFBFBFBF"/>
      </bottom>
      <diagonal/>
    </border>
    <border>
      <left style="medium">
        <color indexed="64"/>
      </left>
      <right style="medium">
        <color indexed="64"/>
      </right>
      <top style="thin">
        <color rgb="FFBFBFBF"/>
      </top>
      <bottom style="thin">
        <color rgb="FFBFBFBF"/>
      </bottom>
      <diagonal/>
    </border>
    <border>
      <left style="medium">
        <color indexed="64"/>
      </left>
      <right style="medium">
        <color indexed="64"/>
      </right>
      <top/>
      <bottom style="thin">
        <color rgb="FFBFBFBF"/>
      </bottom>
      <diagonal/>
    </border>
    <border>
      <left style="medium">
        <color auto="1"/>
      </left>
      <right/>
      <top style="medium">
        <color auto="1"/>
      </top>
      <bottom style="thin">
        <color rgb="FFBFBFBF"/>
      </bottom>
      <diagonal/>
    </border>
    <border>
      <left style="medium">
        <color indexed="64"/>
      </left>
      <right style="thin">
        <color indexed="64"/>
      </right>
      <top style="medium">
        <color indexed="64"/>
      </top>
      <bottom style="thin">
        <color rgb="FFBFBFBF"/>
      </bottom>
      <diagonal/>
    </border>
    <border>
      <left/>
      <right style="medium">
        <color indexed="64"/>
      </right>
      <top style="thin">
        <color rgb="FFBFBFBF"/>
      </top>
      <bottom style="thin">
        <color rgb="FFBFBFBF"/>
      </bottom>
      <diagonal/>
    </border>
    <border>
      <left style="medium">
        <color auto="1"/>
      </left>
      <right/>
      <top style="thin">
        <color rgb="FFBFBFBF"/>
      </top>
      <bottom style="thin">
        <color rgb="FFBFBFBF"/>
      </bottom>
      <diagonal/>
    </border>
    <border>
      <left style="medium">
        <color indexed="64"/>
      </left>
      <right/>
      <top/>
      <bottom style="thin">
        <color rgb="FFBFBFBF"/>
      </bottom>
      <diagonal/>
    </border>
    <border>
      <left style="medium">
        <color indexed="64"/>
      </left>
      <right style="thin">
        <color indexed="64"/>
      </right>
      <top style="thin">
        <color rgb="FFBFBFBF"/>
      </top>
      <bottom style="medium">
        <color auto="1"/>
      </bottom>
      <diagonal/>
    </border>
    <border>
      <left style="medium">
        <color indexed="64"/>
      </left>
      <right style="medium">
        <color indexed="64"/>
      </right>
      <top style="thin">
        <color rgb="FFBFBFBF"/>
      </top>
      <bottom style="medium">
        <color indexed="64"/>
      </bottom>
      <diagonal/>
    </border>
    <border>
      <left style="thin">
        <color indexed="64"/>
      </left>
      <right style="medium">
        <color indexed="64"/>
      </right>
      <top style="thin">
        <color rgb="FFBFBFBF"/>
      </top>
      <bottom style="medium">
        <color indexed="64"/>
      </bottom>
      <diagonal/>
    </border>
    <border>
      <left/>
      <right/>
      <top/>
      <bottom style="medium">
        <color indexed="38"/>
      </bottom>
      <diagonal/>
    </border>
    <border>
      <left/>
      <right/>
      <top/>
      <bottom style="medium">
        <color auto="1"/>
      </bottom>
      <diagonal/>
    </border>
    <border>
      <left style="thin">
        <color theme="0" tint="-0.24994659260841701"/>
      </left>
      <right/>
      <top style="thin">
        <color theme="0" tint="-0.24994659260841701"/>
      </top>
      <bottom style="medium">
        <color auto="1"/>
      </bottom>
      <diagonal/>
    </border>
    <border>
      <left/>
      <right style="medium">
        <color auto="1"/>
      </right>
      <top/>
      <bottom style="thin">
        <color auto="1"/>
      </bottom>
      <diagonal/>
    </border>
    <border>
      <left style="medium">
        <color indexed="64"/>
      </left>
      <right/>
      <top style="thin">
        <color theme="0" tint="-0.24994659260841701"/>
      </top>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style="thin">
        <color indexed="64"/>
      </right>
      <top/>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s>
  <cellStyleXfs count="598">
    <xf numFmtId="0" fontId="0" fillId="0" borderId="0"/>
    <xf numFmtId="0" fontId="7"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 fillId="0" borderId="0"/>
    <xf numFmtId="0" fontId="17" fillId="8"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9" fillId="5" borderId="1" applyNumberFormat="0" applyAlignment="0" applyProtection="0"/>
    <xf numFmtId="0" fontId="20" fillId="15" borderId="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0" borderId="3"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9" fillId="0" borderId="0" applyNumberFormat="0" applyFill="0" applyBorder="0" applyAlignment="0" applyProtection="0">
      <alignment vertical="top"/>
      <protection locked="0"/>
    </xf>
    <xf numFmtId="0" fontId="27" fillId="3" borderId="1" applyNumberFormat="0" applyAlignment="0" applyProtection="0"/>
    <xf numFmtId="0" fontId="28" fillId="0" borderId="7" applyNumberFormat="0" applyFill="0" applyAlignment="0" applyProtection="0"/>
    <xf numFmtId="0" fontId="29" fillId="6" borderId="0" applyNumberFormat="0" applyBorder="0" applyAlignment="0" applyProtection="0"/>
    <xf numFmtId="0" fontId="7" fillId="4" borderId="8" applyNumberFormat="0" applyFont="0" applyAlignment="0" applyProtection="0"/>
    <xf numFmtId="0" fontId="30" fillId="5" borderId="9" applyNumberFormat="0" applyAlignment="0" applyProtection="0"/>
    <xf numFmtId="9" fontId="3" fillId="0" borderId="0" applyFont="0" applyFill="0" applyBorder="0" applyAlignment="0" applyProtection="0"/>
    <xf numFmtId="0" fontId="31" fillId="0" borderId="0" applyNumberFormat="0" applyFill="0" applyBorder="0" applyAlignment="0" applyProtection="0"/>
    <xf numFmtId="0" fontId="21" fillId="0" borderId="11" applyNumberFormat="0" applyFill="0" applyAlignment="0" applyProtection="0"/>
    <xf numFmtId="0" fontId="32" fillId="0" borderId="0" applyNumberFormat="0" applyFill="0" applyBorder="0" applyAlignment="0" applyProtection="0"/>
    <xf numFmtId="0" fontId="3" fillId="0" borderId="0"/>
    <xf numFmtId="0" fontId="19" fillId="5" borderId="199" applyNumberFormat="0" applyAlignment="0" applyProtection="0"/>
    <xf numFmtId="0" fontId="3" fillId="0" borderId="0"/>
    <xf numFmtId="181" fontId="3" fillId="18" borderId="0" applyFont="0" applyBorder="0">
      <alignment horizontal="right"/>
    </xf>
    <xf numFmtId="165" fontId="3" fillId="38" borderId="0" applyFont="0" applyBorder="0" applyAlignment="0">
      <alignment horizontal="right"/>
      <protection locked="0"/>
    </xf>
    <xf numFmtId="0" fontId="3" fillId="0" borderId="0"/>
    <xf numFmtId="171" fontId="3" fillId="0" borderId="0"/>
    <xf numFmtId="0" fontId="99" fillId="0" borderId="0"/>
    <xf numFmtId="0"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6" fillId="0" borderId="203" applyNumberFormat="0" applyFill="0" applyAlignment="0" applyProtection="0"/>
    <xf numFmtId="0" fontId="27" fillId="3" borderId="199" applyNumberFormat="0" applyAlignment="0" applyProtection="0"/>
    <xf numFmtId="0" fontId="3" fillId="4" borderId="200" applyNumberFormat="0" applyFont="0" applyAlignment="0" applyProtection="0"/>
    <xf numFmtId="0" fontId="30" fillId="5" borderId="201" applyNumberFormat="0" applyAlignment="0" applyProtection="0"/>
    <xf numFmtId="0" fontId="21" fillId="0" borderId="202" applyNumberFormat="0" applyFill="0" applyAlignment="0" applyProtection="0"/>
    <xf numFmtId="0" fontId="3" fillId="0" borderId="0"/>
    <xf numFmtId="185" fontId="8" fillId="0" borderId="0"/>
    <xf numFmtId="185" fontId="8" fillId="0" borderId="0"/>
    <xf numFmtId="0" fontId="16" fillId="60" borderId="0" applyNumberFormat="0" applyBorder="0" applyAlignment="0" applyProtection="0"/>
    <xf numFmtId="0" fontId="16" fillId="60" borderId="0" applyNumberFormat="0" applyBorder="0" applyAlignment="0" applyProtection="0"/>
    <xf numFmtId="0" fontId="17" fillId="61" borderId="0" applyNumberFormat="0" applyBorder="0" applyAlignment="0" applyProtection="0"/>
    <xf numFmtId="0" fontId="16" fillId="62" borderId="0" applyNumberFormat="0" applyBorder="0" applyAlignment="0" applyProtection="0"/>
    <xf numFmtId="0" fontId="16" fillId="63" borderId="0" applyNumberFormat="0" applyBorder="0" applyAlignment="0" applyProtection="0"/>
    <xf numFmtId="0" fontId="17" fillId="64" borderId="0" applyNumberFormat="0" applyBorder="0" applyAlignment="0" applyProtection="0"/>
    <xf numFmtId="0" fontId="16" fillId="62" borderId="0" applyNumberFormat="0" applyBorder="0" applyAlignment="0" applyProtection="0"/>
    <xf numFmtId="0" fontId="16" fillId="65" borderId="0" applyNumberFormat="0" applyBorder="0" applyAlignment="0" applyProtection="0"/>
    <xf numFmtId="0" fontId="17" fillId="63" borderId="0" applyNumberFormat="0" applyBorder="0" applyAlignment="0" applyProtection="0"/>
    <xf numFmtId="0" fontId="16" fillId="60" borderId="0" applyNumberFormat="0" applyBorder="0" applyAlignment="0" applyProtection="0"/>
    <xf numFmtId="0" fontId="16" fillId="63" borderId="0" applyNumberFormat="0" applyBorder="0" applyAlignment="0" applyProtection="0"/>
    <xf numFmtId="0" fontId="17" fillId="63" borderId="0" applyNumberFormat="0" applyBorder="0" applyAlignment="0" applyProtection="0"/>
    <xf numFmtId="0" fontId="16" fillId="66" borderId="0" applyNumberFormat="0" applyBorder="0" applyAlignment="0" applyProtection="0"/>
    <xf numFmtId="0" fontId="16" fillId="60" borderId="0" applyNumberFormat="0" applyBorder="0" applyAlignment="0" applyProtection="0"/>
    <xf numFmtId="0" fontId="17" fillId="61" borderId="0" applyNumberFormat="0" applyBorder="0" applyAlignment="0" applyProtection="0"/>
    <xf numFmtId="0" fontId="16" fillId="62" borderId="0" applyNumberFormat="0" applyBorder="0" applyAlignment="0" applyProtection="0"/>
    <xf numFmtId="0" fontId="16" fillId="67" borderId="0" applyNumberFormat="0" applyBorder="0" applyAlignment="0" applyProtection="0"/>
    <xf numFmtId="0" fontId="17" fillId="67" borderId="0" applyNumberFormat="0" applyBorder="0" applyAlignment="0" applyProtection="0"/>
    <xf numFmtId="0" fontId="105" fillId="0" borderId="0"/>
    <xf numFmtId="42" fontId="5" fillId="0" borderId="0" applyFont="0" applyFill="0" applyBorder="0" applyAlignment="0" applyProtection="0"/>
    <xf numFmtId="0" fontId="106" fillId="0" borderId="0" applyNumberFormat="0" applyFill="0" applyBorder="0" applyAlignment="0"/>
    <xf numFmtId="165" fontId="3" fillId="14" borderId="0" applyNumberFormat="0" applyFont="0" applyBorder="0" applyAlignment="0">
      <alignment horizontal="right"/>
    </xf>
    <xf numFmtId="0" fontId="107" fillId="0" borderId="0" applyNumberFormat="0" applyFill="0" applyBorder="0" applyAlignment="0">
      <protection locked="0"/>
    </xf>
    <xf numFmtId="41" fontId="3" fillId="0" borderId="0" applyFont="0" applyFill="0" applyBorder="0" applyAlignment="0" applyProtection="0"/>
    <xf numFmtId="0" fontId="108"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3" fontId="10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86" fontId="3" fillId="0" borderId="0" applyFont="0" applyFill="0" applyBorder="0" applyAlignment="0" applyProtection="0"/>
    <xf numFmtId="0" fontId="21" fillId="68" borderId="0" applyNumberFormat="0" applyBorder="0" applyAlignment="0" applyProtection="0"/>
    <xf numFmtId="0" fontId="21" fillId="69" borderId="0" applyNumberFormat="0" applyBorder="0" applyAlignment="0" applyProtection="0"/>
    <xf numFmtId="0" fontId="21" fillId="70" borderId="0" applyNumberFormat="0" applyBorder="0" applyAlignment="0" applyProtection="0"/>
    <xf numFmtId="171" fontId="16" fillId="0" borderId="0" applyFont="0" applyFill="0" applyBorder="0" applyAlignment="0" applyProtection="0"/>
    <xf numFmtId="187" fontId="3" fillId="0" borderId="0" applyFont="0" applyFill="0" applyBorder="0" applyAlignment="0" applyProtection="0"/>
    <xf numFmtId="0" fontId="110" fillId="0" borderId="0"/>
    <xf numFmtId="0" fontId="111" fillId="0" borderId="0"/>
    <xf numFmtId="0" fontId="6" fillId="0" borderId="0" applyFill="0" applyBorder="0">
      <alignment vertical="center"/>
    </xf>
    <xf numFmtId="0" fontId="6" fillId="0" borderId="0" applyFill="0" applyBorder="0">
      <alignment vertical="center"/>
    </xf>
    <xf numFmtId="0" fontId="112" fillId="0" borderId="0" applyFill="0" applyBorder="0">
      <alignment vertical="center"/>
    </xf>
    <xf numFmtId="0" fontId="112" fillId="0" borderId="0" applyFill="0" applyBorder="0">
      <alignment vertical="center"/>
    </xf>
    <xf numFmtId="0" fontId="113" fillId="0" borderId="0" applyFill="0" applyBorder="0">
      <alignment vertical="center"/>
    </xf>
    <xf numFmtId="0" fontId="113" fillId="0" borderId="0" applyFill="0" applyBorder="0">
      <alignment vertical="center"/>
    </xf>
    <xf numFmtId="0" fontId="8" fillId="0" borderId="0" applyFill="0" applyBorder="0">
      <alignment vertical="center"/>
    </xf>
    <xf numFmtId="0" fontId="8" fillId="0" borderId="0" applyFill="0" applyBorder="0">
      <alignment vertical="center"/>
    </xf>
    <xf numFmtId="164" fontId="114" fillId="0" borderId="0"/>
    <xf numFmtId="0" fontId="115" fillId="0" borderId="0" applyNumberFormat="0" applyFill="0" applyBorder="0" applyAlignment="0" applyProtection="0">
      <alignment vertical="top"/>
      <protection locked="0"/>
    </xf>
    <xf numFmtId="0" fontId="116" fillId="0" borderId="0" applyFill="0" applyBorder="0">
      <alignment horizontal="center" vertical="center"/>
      <protection locked="0"/>
    </xf>
    <xf numFmtId="0" fontId="117" fillId="0" borderId="0" applyFill="0" applyBorder="0">
      <alignment horizontal="left" vertical="center"/>
      <protection locked="0"/>
    </xf>
    <xf numFmtId="165" fontId="3" fillId="17" borderId="0" applyFont="0" applyBorder="0" applyAlignment="0">
      <alignment horizontal="right"/>
      <protection locked="0"/>
    </xf>
    <xf numFmtId="184" fontId="3" fillId="71" borderId="0" applyFont="0" applyBorder="0">
      <alignment horizontal="right"/>
      <protection locked="0"/>
    </xf>
    <xf numFmtId="165" fontId="3" fillId="18" borderId="0" applyFont="0" applyBorder="0">
      <alignment horizontal="right"/>
      <protection locked="0"/>
    </xf>
    <xf numFmtId="0" fontId="8" fillId="14" borderId="0"/>
    <xf numFmtId="188" fontId="118" fillId="0" borderId="0"/>
    <xf numFmtId="0" fontId="11" fillId="0" borderId="0" applyFill="0" applyBorder="0">
      <alignment horizontal="left" vertical="center"/>
    </xf>
    <xf numFmtId="189" fontId="119"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5" fillId="0" borderId="0"/>
    <xf numFmtId="190" fontId="3" fillId="0" borderId="0" applyFill="0" applyBorder="0"/>
    <xf numFmtId="9" fontId="3" fillId="0" borderId="0" applyFont="0" applyFill="0" applyBorder="0" applyAlignment="0" applyProtection="0"/>
    <xf numFmtId="9" fontId="3" fillId="0" borderId="0" applyFont="0" applyFill="0" applyBorder="0" applyAlignment="0" applyProtection="0"/>
    <xf numFmtId="164" fontId="120" fillId="0" borderId="0"/>
    <xf numFmtId="0" fontId="113" fillId="0" borderId="0" applyFill="0" applyBorder="0">
      <alignment vertical="center"/>
    </xf>
    <xf numFmtId="0" fontId="108" fillId="0" borderId="0" applyNumberFormat="0" applyFont="0" applyFill="0" applyBorder="0" applyAlignment="0" applyProtection="0">
      <alignment horizontal="left"/>
    </xf>
    <xf numFmtId="15" fontId="108" fillId="0" borderId="0" applyFont="0" applyFill="0" applyBorder="0" applyAlignment="0" applyProtection="0"/>
    <xf numFmtId="4" fontId="108" fillId="0" borderId="0" applyFont="0" applyFill="0" applyBorder="0" applyAlignment="0" applyProtection="0"/>
    <xf numFmtId="191" fontId="121" fillId="0" borderId="216"/>
    <xf numFmtId="0" fontId="122" fillId="0" borderId="204">
      <alignment horizontal="center"/>
    </xf>
    <xf numFmtId="3" fontId="108" fillId="0" borderId="0" applyFont="0" applyFill="0" applyBorder="0" applyAlignment="0" applyProtection="0"/>
    <xf numFmtId="0" fontId="108" fillId="72" borderId="0" applyNumberFormat="0" applyFont="0" applyBorder="0" applyAlignment="0" applyProtection="0"/>
    <xf numFmtId="192" fontId="3" fillId="0" borderId="0"/>
    <xf numFmtId="193" fontId="8" fillId="0" borderId="0" applyFill="0" applyBorder="0">
      <alignment horizontal="right" vertical="center"/>
    </xf>
    <xf numFmtId="194" fontId="8" fillId="0" borderId="0" applyFill="0" applyBorder="0">
      <alignment horizontal="right" vertical="center"/>
    </xf>
    <xf numFmtId="195" fontId="8" fillId="0" borderId="0" applyFill="0" applyBorder="0">
      <alignment horizontal="right" vertical="center"/>
    </xf>
    <xf numFmtId="0" fontId="3" fillId="4" borderId="0" applyNumberFormat="0" applyFont="0" applyBorder="0" applyAlignment="0" applyProtection="0"/>
    <xf numFmtId="0" fontId="3" fillId="5"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31" fillId="0" borderId="0" applyNumberFormat="0" applyFill="0" applyBorder="0" applyAlignment="0" applyProtection="0"/>
    <xf numFmtId="0" fontId="3" fillId="0" borderId="0"/>
    <xf numFmtId="0" fontId="11" fillId="0" borderId="0"/>
    <xf numFmtId="0" fontId="14" fillId="0" borderId="0"/>
    <xf numFmtId="15" fontId="3" fillId="0" borderId="0"/>
    <xf numFmtId="10" fontId="3" fillId="0" borderId="0"/>
    <xf numFmtId="0" fontId="123" fillId="19" borderId="217" applyBorder="0" applyProtection="0">
      <alignment horizontal="centerContinuous" vertical="center"/>
    </xf>
    <xf numFmtId="0" fontId="124" fillId="0" borderId="0" applyBorder="0" applyProtection="0">
      <alignment vertical="center"/>
    </xf>
    <xf numFmtId="0" fontId="125" fillId="0" borderId="0">
      <alignment horizontal="left"/>
    </xf>
    <xf numFmtId="0" fontId="125" fillId="0" borderId="10" applyFill="0" applyBorder="0" applyProtection="0">
      <alignment horizontal="left" vertical="top"/>
    </xf>
    <xf numFmtId="49" fontId="3" fillId="0" borderId="0" applyFont="0" applyFill="0" applyBorder="0" applyAlignment="0" applyProtection="0"/>
    <xf numFmtId="0" fontId="126" fillId="0" borderId="0"/>
    <xf numFmtId="0" fontId="127" fillId="0" borderId="0"/>
    <xf numFmtId="0" fontId="127" fillId="0" borderId="0"/>
    <xf numFmtId="0" fontId="126" fillId="0" borderId="0"/>
    <xf numFmtId="188" fontId="128" fillId="0" borderId="0"/>
    <xf numFmtId="0" fontId="129" fillId="0" borderId="0" applyFill="0" applyBorder="0">
      <alignment horizontal="left" vertical="center"/>
      <protection locked="0"/>
    </xf>
    <xf numFmtId="0" fontId="126" fillId="0" borderId="0"/>
    <xf numFmtId="0" fontId="130" fillId="0" borderId="0" applyFill="0" applyBorder="0">
      <alignment horizontal="left" vertical="center"/>
      <protection locked="0"/>
    </xf>
    <xf numFmtId="196" fontId="3" fillId="0" borderId="217" applyBorder="0" applyProtection="0">
      <alignment horizontal="right"/>
    </xf>
    <xf numFmtId="0" fontId="3" fillId="0" borderId="0"/>
    <xf numFmtId="0" fontId="3" fillId="0" borderId="0"/>
    <xf numFmtId="165" fontId="3" fillId="14" borderId="0" applyNumberFormat="0" applyFont="0" applyBorder="0" applyAlignment="0">
      <alignment horizontal="right"/>
    </xf>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65" fontId="3" fillId="17" borderId="0" applyFont="0" applyBorder="0" applyAlignment="0">
      <alignment horizontal="right"/>
      <protection locked="0"/>
    </xf>
    <xf numFmtId="184" fontId="3" fillId="71" borderId="0" applyFont="0" applyBorder="0">
      <alignment horizontal="right"/>
      <protection locked="0"/>
    </xf>
    <xf numFmtId="165" fontId="3" fillId="18" borderId="0" applyFont="0" applyBorder="0">
      <alignment horizontal="right"/>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0" fontId="3" fillId="0" borderId="0" applyFill="0" applyBorder="0"/>
    <xf numFmtId="9" fontId="3" fillId="0" borderId="0" applyFont="0" applyFill="0" applyBorder="0" applyAlignment="0" applyProtection="0"/>
    <xf numFmtId="9" fontId="3" fillId="0" borderId="0" applyFont="0" applyFill="0" applyBorder="0" applyAlignment="0" applyProtection="0"/>
    <xf numFmtId="192" fontId="3" fillId="0" borderId="0"/>
    <xf numFmtId="0" fontId="3" fillId="4" borderId="0" applyNumberFormat="0" applyFont="0" applyBorder="0" applyAlignment="0" applyProtection="0"/>
    <xf numFmtId="0" fontId="3" fillId="5"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3" fillId="0" borderId="0"/>
    <xf numFmtId="15" fontId="3" fillId="0" borderId="0"/>
    <xf numFmtId="10" fontId="3" fillId="0" borderId="0"/>
    <xf numFmtId="0" fontId="3" fillId="0" borderId="0"/>
    <xf numFmtId="49" fontId="3" fillId="0" borderId="0" applyFont="0" applyFill="0" applyBorder="0" applyAlignment="0" applyProtection="0"/>
    <xf numFmtId="196" fontId="3" fillId="0" borderId="217" applyBorder="0" applyProtection="0">
      <alignment horizontal="right"/>
    </xf>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2" borderId="0" applyNumberFormat="0" applyBorder="0" applyAlignment="0" applyProtection="0"/>
    <xf numFmtId="0" fontId="16" fillId="3"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8"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20" fillId="15" borderId="2" applyNumberFormat="0" applyAlignment="0" applyProtection="0"/>
    <xf numFmtId="173" fontId="3" fillId="0" borderId="0" applyFont="0" applyFill="0" applyBorder="0" applyAlignment="0" applyProtection="0"/>
    <xf numFmtId="173" fontId="13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0" borderId="3" applyNumberFormat="0" applyFill="0" applyAlignment="0" applyProtection="0"/>
    <xf numFmtId="0" fontId="25" fillId="0" borderId="5" applyNumberFormat="0" applyFill="0" applyAlignment="0" applyProtection="0"/>
    <xf numFmtId="0" fontId="26" fillId="0" borderId="203" applyNumberFormat="0" applyFill="0" applyAlignment="0" applyProtection="0"/>
    <xf numFmtId="0" fontId="26" fillId="0" borderId="0" applyNumberFormat="0" applyFill="0" applyBorder="0" applyAlignment="0" applyProtection="0"/>
    <xf numFmtId="0" fontId="28" fillId="0" borderId="7" applyNumberFormat="0" applyFill="0" applyAlignment="0" applyProtection="0"/>
    <xf numFmtId="0" fontId="29" fillId="6" borderId="0" applyNumberFormat="0" applyBorder="0" applyAlignment="0" applyProtection="0"/>
    <xf numFmtId="0" fontId="3" fillId="0" borderId="0"/>
    <xf numFmtId="0" fontId="3" fillId="20" borderId="0"/>
    <xf numFmtId="0" fontId="2" fillId="0" borderId="0"/>
    <xf numFmtId="0" fontId="3" fillId="0" borderId="0"/>
    <xf numFmtId="0" fontId="3" fillId="20" borderId="0"/>
    <xf numFmtId="0" fontId="2" fillId="0" borderId="0"/>
    <xf numFmtId="0" fontId="3" fillId="0" borderId="0"/>
    <xf numFmtId="9" fontId="3"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0" fontId="3" fillId="0" borderId="0" applyFill="0" applyBorder="0"/>
    <xf numFmtId="192" fontId="3" fillId="0" borderId="0"/>
    <xf numFmtId="0" fontId="3" fillId="0" borderId="0"/>
    <xf numFmtId="15" fontId="3" fillId="0" borderId="0"/>
    <xf numFmtId="10" fontId="3" fillId="0" borderId="0"/>
    <xf numFmtId="196" fontId="3" fillId="0" borderId="217" applyBorder="0" applyProtection="0">
      <alignment horizontal="right"/>
    </xf>
    <xf numFmtId="49" fontId="68" fillId="42" borderId="260">
      <alignment horizontal="center" vertical="center" wrapText="1"/>
    </xf>
    <xf numFmtId="0" fontId="1" fillId="0" borderId="0"/>
    <xf numFmtId="0" fontId="3" fillId="0" borderId="0"/>
    <xf numFmtId="0" fontId="1" fillId="0" borderId="0"/>
    <xf numFmtId="0" fontId="3" fillId="20" borderId="0"/>
    <xf numFmtId="0" fontId="1" fillId="0" borderId="0"/>
    <xf numFmtId="0" fontId="1" fillId="0" borderId="0"/>
    <xf numFmtId="171" fontId="3" fillId="0" borderId="0"/>
    <xf numFmtId="0" fontId="1" fillId="93" borderId="0" applyNumberFormat="0" applyBorder="0" applyAlignment="0" applyProtection="0"/>
    <xf numFmtId="0" fontId="1" fillId="94" borderId="0" applyNumberFormat="0" applyBorder="0" applyAlignment="0" applyProtection="0"/>
    <xf numFmtId="165" fontId="3" fillId="14" borderId="0" applyNumberFormat="0" applyFont="0" applyBorder="0" applyAlignment="0">
      <alignment horizontal="right"/>
    </xf>
    <xf numFmtId="0" fontId="19" fillId="5" borderId="199" applyNumberFormat="0" applyAlignment="0" applyProtection="0"/>
    <xf numFmtId="0" fontId="19" fillId="5" borderId="199" applyNumberFormat="0" applyAlignment="0" applyProtection="0"/>
    <xf numFmtId="0" fontId="20" fillId="15" borderId="2" applyNumberFormat="0" applyAlignment="0" applyProtection="0"/>
    <xf numFmtId="43" fontId="1"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73" fontId="131" fillId="0" borderId="0" applyFont="0" applyFill="0" applyBorder="0" applyAlignment="0" applyProtection="0"/>
    <xf numFmtId="173" fontId="131"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98"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26" fillId="0" borderId="348" applyNumberFormat="0" applyFill="0" applyAlignment="0" applyProtection="0"/>
    <xf numFmtId="0" fontId="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53" fillId="0" borderId="0" applyNumberFormat="0" applyFill="0" applyBorder="0" applyAlignment="0" applyProtection="0"/>
    <xf numFmtId="0" fontId="9" fillId="0" borderId="0" applyNumberFormat="0" applyFill="0" applyBorder="0" applyAlignment="0" applyProtection="0">
      <alignment vertical="top"/>
      <protection locked="0"/>
    </xf>
    <xf numFmtId="181" fontId="3" fillId="18" borderId="0" applyFont="0" applyBorder="0">
      <alignment horizontal="right"/>
    </xf>
    <xf numFmtId="164" fontId="3" fillId="18" borderId="0" applyFont="0" applyBorder="0" applyAlignment="0"/>
    <xf numFmtId="0" fontId="27" fillId="3" borderId="199" applyNumberFormat="0" applyAlignment="0" applyProtection="0"/>
    <xf numFmtId="0" fontId="27" fillId="3" borderId="199" applyNumberFormat="0" applyAlignment="0" applyProtection="0"/>
    <xf numFmtId="165" fontId="3" fillId="17" borderId="0" applyFont="0" applyBorder="0" applyAlignment="0">
      <alignment horizontal="right"/>
      <protection locked="0"/>
    </xf>
    <xf numFmtId="165" fontId="3" fillId="17" borderId="0" applyFont="0" applyBorder="0" applyAlignment="0">
      <alignment horizontal="right"/>
      <protection locked="0"/>
    </xf>
    <xf numFmtId="165" fontId="3" fillId="17" borderId="0" applyFont="0" applyBorder="0" applyAlignment="0">
      <alignment horizontal="right"/>
      <protection locked="0"/>
    </xf>
    <xf numFmtId="165" fontId="3" fillId="17" borderId="0" applyFont="0" applyBorder="0" applyAlignment="0">
      <alignment horizontal="right"/>
      <protection locked="0"/>
    </xf>
    <xf numFmtId="165" fontId="3" fillId="38" borderId="0" applyFont="0" applyBorder="0" applyAlignment="0">
      <alignment horizontal="right"/>
      <protection locked="0"/>
    </xf>
    <xf numFmtId="10" fontId="3" fillId="38" borderId="0" applyFont="0" applyBorder="0">
      <alignment horizontal="right"/>
      <protection locked="0"/>
    </xf>
    <xf numFmtId="3" fontId="3" fillId="95" borderId="0" applyFont="0" applyBorder="0">
      <protection locked="0"/>
    </xf>
    <xf numFmtId="164" fontId="112" fillId="95" borderId="0" applyBorder="0" applyAlignment="0">
      <protection locked="0"/>
    </xf>
    <xf numFmtId="184" fontId="3" fillId="71" borderId="0" applyFont="0" applyBorder="0">
      <alignment horizontal="right"/>
      <protection locked="0"/>
    </xf>
    <xf numFmtId="165" fontId="3" fillId="18" borderId="0" applyFont="0" applyBorder="0">
      <alignment horizontal="right"/>
      <protection locked="0"/>
    </xf>
    <xf numFmtId="199" fontId="1" fillId="25" borderId="43">
      <protection locked="0"/>
    </xf>
    <xf numFmtId="199" fontId="1" fillId="25" borderId="43">
      <protection locked="0"/>
    </xf>
    <xf numFmtId="199" fontId="1" fillId="25" borderId="43">
      <protection locked="0"/>
    </xf>
    <xf numFmtId="49" fontId="1" fillId="25" borderId="43" applyFont="0" applyAlignment="0">
      <alignment horizontal="left" vertical="center" wrapText="1"/>
      <protection locked="0"/>
    </xf>
    <xf numFmtId="49" fontId="1" fillId="25" borderId="43" applyFont="0" applyAlignment="0">
      <alignment horizontal="left" vertical="center" wrapText="1"/>
      <protection locked="0"/>
    </xf>
    <xf numFmtId="49" fontId="1" fillId="25" borderId="43" applyFont="0" applyAlignment="0">
      <alignment horizontal="left" vertical="center" wrapText="1"/>
      <protection locked="0"/>
    </xf>
    <xf numFmtId="164" fontId="154" fillId="23" borderId="0" applyBorder="0" applyAlignment="0"/>
    <xf numFmtId="181" fontId="145" fillId="14" borderId="13" applyFont="0" applyBorder="0" applyAlignment="0"/>
    <xf numFmtId="164" fontId="112" fillId="14" borderId="0" applyFont="0" applyBorder="0" applyAlignment="0"/>
    <xf numFmtId="199" fontId="1" fillId="30" borderId="43"/>
    <xf numFmtId="199" fontId="1" fillId="30" borderId="43"/>
    <xf numFmtId="199" fontId="1" fillId="30" borderId="43"/>
    <xf numFmtId="0" fontId="3" fillId="20" borderId="0"/>
    <xf numFmtId="0" fontId="3" fillId="0" borderId="0"/>
    <xf numFmtId="0" fontId="3" fillId="20" borderId="0"/>
    <xf numFmtId="0" fontId="1" fillId="0" borderId="0"/>
    <xf numFmtId="0" fontId="3" fillId="0" borderId="0" applyFill="0"/>
    <xf numFmtId="0" fontId="3" fillId="0" borderId="0" applyFill="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20" borderId="0"/>
    <xf numFmtId="0" fontId="3" fillId="20" borderId="0"/>
    <xf numFmtId="0" fontId="3" fillId="0" borderId="0"/>
    <xf numFmtId="0" fontId="131" fillId="0" borderId="0"/>
    <xf numFmtId="0" fontId="16" fillId="0" borderId="0"/>
    <xf numFmtId="0" fontId="16" fillId="0" borderId="0"/>
    <xf numFmtId="0" fontId="3" fillId="0" borderId="0"/>
    <xf numFmtId="0" fontId="3"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20" borderId="0"/>
    <xf numFmtId="0" fontId="3" fillId="20" borderId="0"/>
    <xf numFmtId="0" fontId="3" fillId="0" borderId="0"/>
    <xf numFmtId="0" fontId="3" fillId="20" borderId="0"/>
    <xf numFmtId="0" fontId="1" fillId="0" borderId="0"/>
    <xf numFmtId="0" fontId="1" fillId="0" borderId="0"/>
    <xf numFmtId="0" fontId="1" fillId="0" borderId="0"/>
    <xf numFmtId="0" fontId="3" fillId="0" borderId="0"/>
    <xf numFmtId="0" fontId="3" fillId="0" borderId="0"/>
    <xf numFmtId="0" fontId="1" fillId="0" borderId="0">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6" fillId="0" borderId="0"/>
    <xf numFmtId="0" fontId="3" fillId="2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86" borderId="0"/>
    <xf numFmtId="0" fontId="3" fillId="4" borderId="200" applyNumberFormat="0" applyFont="0" applyAlignment="0" applyProtection="0"/>
    <xf numFmtId="0" fontId="3" fillId="4" borderId="200" applyNumberFormat="0" applyFont="0" applyAlignment="0" applyProtection="0"/>
    <xf numFmtId="0" fontId="3" fillId="4" borderId="200" applyNumberFormat="0" applyFont="0" applyAlignment="0" applyProtection="0"/>
    <xf numFmtId="0" fontId="3" fillId="4" borderId="200" applyNumberFormat="0" applyFont="0" applyAlignment="0" applyProtection="0"/>
    <xf numFmtId="0" fontId="3" fillId="4" borderId="200" applyNumberFormat="0" applyFont="0" applyAlignment="0" applyProtection="0"/>
    <xf numFmtId="0" fontId="3" fillId="4" borderId="200" applyNumberFormat="0" applyFont="0" applyAlignment="0" applyProtection="0"/>
    <xf numFmtId="0" fontId="3" fillId="4" borderId="200" applyNumberFormat="0" applyFont="0" applyAlignment="0" applyProtection="0"/>
    <xf numFmtId="0" fontId="3" fillId="4" borderId="200" applyNumberFormat="0" applyFont="0" applyAlignment="0" applyProtection="0"/>
    <xf numFmtId="0" fontId="30" fillId="5" borderId="201" applyNumberFormat="0" applyAlignment="0" applyProtection="0"/>
    <xf numFmtId="0" fontId="30" fillId="5" borderId="20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122" fillId="0" borderId="349">
      <alignment horizontal="center"/>
    </xf>
    <xf numFmtId="0" fontId="122" fillId="0" borderId="349">
      <alignment horizontal="center"/>
    </xf>
    <xf numFmtId="0" fontId="122" fillId="0" borderId="349">
      <alignment horizontal="center"/>
    </xf>
    <xf numFmtId="0" fontId="122" fillId="0" borderId="349">
      <alignment horizontal="center"/>
    </xf>
    <xf numFmtId="0" fontId="122" fillId="0" borderId="349">
      <alignment horizontal="center"/>
    </xf>
    <xf numFmtId="0" fontId="122" fillId="0" borderId="349">
      <alignment horizontal="center"/>
    </xf>
    <xf numFmtId="199" fontId="59" fillId="25" borderId="94">
      <alignment horizontal="right" indent="2"/>
      <protection locked="0"/>
    </xf>
    <xf numFmtId="0" fontId="15" fillId="96" borderId="0"/>
    <xf numFmtId="0" fontId="3" fillId="0" borderId="0"/>
    <xf numFmtId="0" fontId="3" fillId="0" borderId="0"/>
    <xf numFmtId="0" fontId="3" fillId="0" borderId="0"/>
    <xf numFmtId="0" fontId="3" fillId="0" borderId="0"/>
    <xf numFmtId="0" fontId="3" fillId="0" borderId="0"/>
    <xf numFmtId="0" fontId="15" fillId="35" borderId="0">
      <alignment horizontal="left" vertical="center"/>
      <protection locked="0"/>
    </xf>
    <xf numFmtId="0" fontId="155" fillId="28" borderId="0">
      <alignment vertical="center"/>
      <protection locked="0"/>
    </xf>
    <xf numFmtId="0" fontId="21" fillId="0" borderId="202" applyNumberFormat="0" applyFill="0" applyAlignment="0" applyProtection="0"/>
    <xf numFmtId="0" fontId="21" fillId="0" borderId="202" applyNumberFormat="0" applyFill="0" applyAlignment="0" applyProtection="0"/>
  </cellStyleXfs>
  <cellXfs count="4250">
    <xf numFmtId="0" fontId="0" fillId="0" borderId="0" xfId="0"/>
    <xf numFmtId="0" fontId="3" fillId="25" borderId="50" xfId="0" applyFont="1" applyFill="1" applyBorder="1" applyAlignment="1">
      <alignment horizontal="left" vertical="center" wrapText="1" indent="2"/>
    </xf>
    <xf numFmtId="0" fontId="3" fillId="25" borderId="51" xfId="0" applyFont="1" applyFill="1" applyBorder="1" applyAlignment="1">
      <alignment horizontal="left" vertical="center" wrapText="1" indent="2"/>
    </xf>
    <xf numFmtId="0" fontId="82" fillId="31" borderId="0" xfId="0" applyFont="1" applyFill="1" applyBorder="1" applyAlignment="1">
      <alignment vertical="center"/>
    </xf>
    <xf numFmtId="0" fontId="82" fillId="31" borderId="0" xfId="0" applyFont="1" applyFill="1" applyBorder="1"/>
    <xf numFmtId="0" fontId="3" fillId="34" borderId="0" xfId="0" applyFont="1" applyFill="1" applyAlignment="1">
      <alignment horizontal="right"/>
    </xf>
    <xf numFmtId="0" fontId="15" fillId="34" borderId="0" xfId="0" applyNumberFormat="1" applyFont="1" applyFill="1" applyAlignment="1">
      <alignment horizontal="right"/>
    </xf>
    <xf numFmtId="0" fontId="46" fillId="34" borderId="0" xfId="0" applyFont="1" applyFill="1"/>
    <xf numFmtId="0" fontId="64" fillId="40" borderId="68" xfId="0" applyFont="1" applyFill="1" applyBorder="1" applyAlignment="1">
      <alignment horizontal="center" vertical="center" wrapText="1"/>
    </xf>
    <xf numFmtId="168" fontId="3" fillId="31" borderId="150" xfId="30" applyNumberFormat="1" applyFont="1" applyFill="1" applyBorder="1" applyAlignment="1">
      <alignment horizontal="right"/>
    </xf>
    <xf numFmtId="0" fontId="82" fillId="31" borderId="0" xfId="0" applyFont="1" applyFill="1" applyAlignment="1">
      <alignment vertical="center"/>
    </xf>
    <xf numFmtId="0" fontId="46" fillId="34" borderId="0" xfId="0" applyFont="1" applyFill="1" applyAlignment="1">
      <alignment horizontal="right"/>
    </xf>
    <xf numFmtId="0" fontId="82" fillId="31" borderId="0" xfId="0" applyFont="1" applyFill="1"/>
    <xf numFmtId="2" fontId="0" fillId="0" borderId="0" xfId="0" applyNumberFormat="1"/>
    <xf numFmtId="0" fontId="6" fillId="14" borderId="0" xfId="0" applyFont="1" applyFill="1" applyBorder="1" applyAlignment="1">
      <alignment horizontal="left" vertical="top"/>
    </xf>
    <xf numFmtId="0" fontId="0" fillId="34" borderId="0" xfId="0" applyFill="1" applyAlignment="1">
      <alignment horizontal="right"/>
    </xf>
    <xf numFmtId="0" fontId="48" fillId="36" borderId="80" xfId="0" applyFont="1" applyFill="1" applyBorder="1" applyAlignment="1">
      <alignment horizontal="center" vertical="center"/>
    </xf>
    <xf numFmtId="168" fontId="3" fillId="30" borderId="76" xfId="30" applyNumberFormat="1" applyFont="1" applyFill="1" applyBorder="1" applyAlignment="1">
      <alignment horizontal="right"/>
    </xf>
    <xf numFmtId="168" fontId="3" fillId="31" borderId="78" xfId="30" applyNumberFormat="1" applyFont="1" applyFill="1" applyBorder="1" applyAlignment="1">
      <alignment horizontal="right"/>
    </xf>
    <xf numFmtId="0" fontId="7" fillId="0" borderId="0" xfId="0" applyFont="1" applyFill="1"/>
    <xf numFmtId="0" fontId="0" fillId="0" borderId="0" xfId="0" applyFill="1"/>
    <xf numFmtId="0" fontId="0" fillId="0" borderId="0" xfId="0" applyBorder="1"/>
    <xf numFmtId="0" fontId="0" fillId="0" borderId="0" xfId="0"/>
    <xf numFmtId="0" fontId="9" fillId="0" borderId="0" xfId="38" applyFill="1" applyAlignment="1" applyProtection="1"/>
    <xf numFmtId="168" fontId="13" fillId="0" borderId="0" xfId="30" applyNumberFormat="1" applyFont="1" applyFill="1" applyBorder="1"/>
    <xf numFmtId="0" fontId="0" fillId="0" borderId="0" xfId="0"/>
    <xf numFmtId="0" fontId="0" fillId="0" borderId="0" xfId="0" applyBorder="1"/>
    <xf numFmtId="0" fontId="0" fillId="0" borderId="0" xfId="0" applyFill="1" applyBorder="1"/>
    <xf numFmtId="0" fontId="0" fillId="18" borderId="27" xfId="0" applyFill="1" applyBorder="1"/>
    <xf numFmtId="0" fontId="0" fillId="18" borderId="28" xfId="0" applyFill="1" applyBorder="1"/>
    <xf numFmtId="0" fontId="0" fillId="18" borderId="29" xfId="0" applyFill="1" applyBorder="1"/>
    <xf numFmtId="0" fontId="0" fillId="18" borderId="30" xfId="0" applyFill="1" applyBorder="1"/>
    <xf numFmtId="0" fontId="40" fillId="18" borderId="0" xfId="0" applyFont="1" applyFill="1" applyBorder="1" applyAlignment="1">
      <alignment vertical="center"/>
    </xf>
    <xf numFmtId="0" fontId="40" fillId="18" borderId="31" xfId="0" applyFont="1" applyFill="1" applyBorder="1" applyAlignment="1">
      <alignment vertical="center"/>
    </xf>
    <xf numFmtId="0" fontId="40" fillId="0" borderId="0" xfId="0" applyFont="1" applyFill="1" applyBorder="1" applyAlignment="1">
      <alignment vertical="center"/>
    </xf>
    <xf numFmtId="0" fontId="40" fillId="0" borderId="0" xfId="0" applyFont="1" applyFill="1" applyBorder="1" applyAlignment="1"/>
    <xf numFmtId="0" fontId="41" fillId="18" borderId="0" xfId="0" applyFont="1" applyFill="1" applyBorder="1" applyAlignment="1">
      <alignment vertical="center"/>
    </xf>
    <xf numFmtId="0" fontId="41" fillId="18" borderId="31" xfId="0" applyFont="1" applyFill="1" applyBorder="1" applyAlignment="1">
      <alignment vertical="center"/>
    </xf>
    <xf numFmtId="0" fontId="41" fillId="0" borderId="0" xfId="0" applyFont="1" applyFill="1" applyBorder="1" applyAlignment="1">
      <alignment vertical="center"/>
    </xf>
    <xf numFmtId="0" fontId="41" fillId="0" borderId="0" xfId="0" applyFont="1" applyFill="1" applyBorder="1" applyAlignment="1"/>
    <xf numFmtId="0" fontId="0" fillId="18" borderId="0" xfId="0" applyFill="1" applyBorder="1" applyAlignment="1">
      <alignment horizontal="center" vertical="center"/>
    </xf>
    <xf numFmtId="0" fontId="0" fillId="18" borderId="31" xfId="0" applyFill="1" applyBorder="1" applyAlignment="1">
      <alignment horizontal="center" vertical="center"/>
    </xf>
    <xf numFmtId="0" fontId="0" fillId="0" borderId="0" xfId="0" applyFill="1" applyBorder="1" applyAlignment="1">
      <alignment horizontal="center" vertical="center"/>
    </xf>
    <xf numFmtId="0" fontId="0" fillId="18" borderId="0" xfId="0" applyFill="1" applyBorder="1"/>
    <xf numFmtId="0" fontId="0" fillId="18" borderId="31" xfId="0" applyFill="1" applyBorder="1"/>
    <xf numFmtId="0" fontId="42" fillId="18" borderId="0" xfId="0" applyFont="1" applyFill="1" applyBorder="1" applyAlignment="1">
      <alignment horizontal="center" vertical="center"/>
    </xf>
    <xf numFmtId="0" fontId="42" fillId="18" borderId="0" xfId="0" applyFont="1" applyFill="1" applyBorder="1" applyAlignment="1">
      <alignment vertical="center"/>
    </xf>
    <xf numFmtId="0" fontId="42" fillId="18" borderId="31" xfId="0" applyFont="1" applyFill="1" applyBorder="1" applyAlignment="1">
      <alignment vertical="center"/>
    </xf>
    <xf numFmtId="0" fontId="42" fillId="0" borderId="0" xfId="0" applyFont="1" applyFill="1" applyBorder="1" applyAlignment="1">
      <alignment vertical="center"/>
    </xf>
    <xf numFmtId="0" fontId="42" fillId="0" borderId="0" xfId="0" applyFont="1" applyFill="1" applyBorder="1" applyAlignment="1"/>
    <xf numFmtId="0" fontId="42" fillId="0" borderId="0" xfId="0" applyFont="1" applyFill="1" applyBorder="1"/>
    <xf numFmtId="0" fontId="42" fillId="24" borderId="30" xfId="0" applyFont="1" applyFill="1" applyBorder="1"/>
    <xf numFmtId="0" fontId="40" fillId="24" borderId="30" xfId="0" applyFont="1" applyFill="1" applyBorder="1" applyAlignment="1">
      <alignment horizontal="center"/>
    </xf>
    <xf numFmtId="0" fontId="42" fillId="24" borderId="32" xfId="0" applyFont="1" applyFill="1" applyBorder="1"/>
    <xf numFmtId="0" fontId="0" fillId="24" borderId="0" xfId="0" applyFill="1" applyBorder="1"/>
    <xf numFmtId="0" fontId="0" fillId="24" borderId="4" xfId="0" applyFill="1" applyBorder="1"/>
    <xf numFmtId="0" fontId="0" fillId="24" borderId="33" xfId="0" applyFill="1" applyBorder="1"/>
    <xf numFmtId="0" fontId="0" fillId="24" borderId="31" xfId="0" applyFill="1" applyBorder="1" applyAlignment="1">
      <alignment vertical="center"/>
    </xf>
    <xf numFmtId="0" fontId="0" fillId="24" borderId="0" xfId="0" applyFill="1"/>
    <xf numFmtId="0" fontId="7" fillId="24" borderId="0" xfId="0" applyFont="1" applyFill="1" applyBorder="1"/>
    <xf numFmtId="0" fontId="43" fillId="24" borderId="0" xfId="38" applyFont="1" applyFill="1" applyBorder="1" applyAlignment="1" applyProtection="1">
      <alignment horizontal="left"/>
    </xf>
    <xf numFmtId="0" fontId="7" fillId="24" borderId="0" xfId="0" applyFont="1" applyFill="1" applyBorder="1" applyAlignment="1">
      <alignment horizontal="left"/>
    </xf>
    <xf numFmtId="0" fontId="43" fillId="24" borderId="0" xfId="38" quotePrefix="1" applyFont="1" applyFill="1" applyBorder="1" applyAlignment="1" applyProtection="1">
      <alignment horizontal="left"/>
    </xf>
    <xf numFmtId="0" fontId="42" fillId="24" borderId="0" xfId="0" applyFont="1" applyFill="1" applyBorder="1"/>
    <xf numFmtId="0" fontId="0" fillId="24" borderId="0" xfId="0" applyFill="1"/>
    <xf numFmtId="10" fontId="6" fillId="0" borderId="0" xfId="44" applyNumberFormat="1" applyFont="1"/>
    <xf numFmtId="0" fontId="0" fillId="0" borderId="0" xfId="0"/>
    <xf numFmtId="0" fontId="0" fillId="14" borderId="0" xfId="0" applyFill="1" applyBorder="1"/>
    <xf numFmtId="0" fontId="6" fillId="14" borderId="0" xfId="0" applyFont="1" applyFill="1" applyBorder="1"/>
    <xf numFmtId="0" fontId="11" fillId="0" borderId="0" xfId="0" applyFont="1" applyBorder="1"/>
    <xf numFmtId="0" fontId="0" fillId="0" borderId="0" xfId="0"/>
    <xf numFmtId="0" fontId="3" fillId="0" borderId="0" xfId="0" applyFont="1" applyFill="1" applyBorder="1" applyAlignment="1" applyProtection="1">
      <alignment horizontal="right" vertical="center" wrapText="1"/>
      <protection locked="0"/>
    </xf>
    <xf numFmtId="0" fontId="9" fillId="0" borderId="0" xfId="38" applyFill="1" applyAlignment="1" applyProtection="1"/>
    <xf numFmtId="0" fontId="45" fillId="0" borderId="0" xfId="0" applyFont="1" applyFill="1"/>
    <xf numFmtId="0" fontId="3" fillId="14" borderId="0" xfId="0" applyFont="1" applyFill="1" applyBorder="1" applyAlignment="1">
      <alignment horizontal="left" vertical="top"/>
    </xf>
    <xf numFmtId="0" fontId="0" fillId="0" borderId="0" xfId="0" applyFill="1" applyBorder="1"/>
    <xf numFmtId="0" fontId="0" fillId="0" borderId="0" xfId="0" applyBorder="1"/>
    <xf numFmtId="0" fontId="13" fillId="0" borderId="0" xfId="0" applyFont="1"/>
    <xf numFmtId="0" fontId="3" fillId="0" borderId="0" xfId="0" applyFont="1"/>
    <xf numFmtId="0" fontId="3" fillId="0" borderId="0" xfId="0" applyFont="1" applyFill="1"/>
    <xf numFmtId="0" fontId="3" fillId="0" borderId="0" xfId="0" applyFont="1" applyFill="1" applyBorder="1" applyAlignment="1">
      <alignment vertical="top"/>
    </xf>
    <xf numFmtId="0" fontId="15" fillId="0" borderId="0" xfId="0" applyNumberFormat="1" applyFont="1" applyFill="1"/>
    <xf numFmtId="0" fontId="15" fillId="0" borderId="0" xfId="0" applyFont="1" applyFill="1"/>
    <xf numFmtId="0" fontId="13" fillId="0" borderId="0" xfId="0" applyFont="1" applyFill="1"/>
    <xf numFmtId="0" fontId="11" fillId="0" borderId="0" xfId="0" applyFont="1" applyFill="1"/>
    <xf numFmtId="0" fontId="3" fillId="0" borderId="0" xfId="0" applyFont="1" applyAlignment="1"/>
    <xf numFmtId="0" fontId="6" fillId="14" borderId="0" xfId="0" applyFont="1" applyFill="1" applyAlignment="1"/>
    <xf numFmtId="0" fontId="3" fillId="14" borderId="0" xfId="0" applyFont="1" applyFill="1" applyBorder="1" applyAlignment="1">
      <alignment vertical="top"/>
    </xf>
    <xf numFmtId="0" fontId="11" fillId="0" borderId="0" xfId="0" applyFont="1" applyFill="1" applyBorder="1" applyAlignment="1">
      <alignment horizontal="left" vertical="center" wrapText="1"/>
    </xf>
    <xf numFmtId="0" fontId="3" fillId="0" borderId="0" xfId="0" applyFont="1"/>
    <xf numFmtId="0" fontId="6" fillId="0" borderId="0" xfId="0" applyFont="1" applyFill="1" applyBorder="1"/>
    <xf numFmtId="0" fontId="3" fillId="0" borderId="0" xfId="0" applyFont="1" applyFill="1"/>
    <xf numFmtId="0" fontId="15" fillId="0" borderId="0" xfId="0" applyFont="1" applyFill="1"/>
    <xf numFmtId="168" fontId="3" fillId="0" borderId="0" xfId="30" applyNumberFormat="1" applyFont="1" applyFill="1" applyBorder="1"/>
    <xf numFmtId="0" fontId="3" fillId="20" borderId="0" xfId="0" applyFont="1" applyFill="1"/>
    <xf numFmtId="0" fontId="3" fillId="0" borderId="0" xfId="0" applyFont="1" applyAlignment="1">
      <alignment wrapText="1"/>
    </xf>
    <xf numFmtId="0" fontId="0" fillId="0" borderId="0" xfId="0"/>
    <xf numFmtId="0" fontId="0" fillId="0" borderId="0" xfId="0" applyFill="1"/>
    <xf numFmtId="0" fontId="0" fillId="0" borderId="0" xfId="0" applyFill="1" applyBorder="1"/>
    <xf numFmtId="0" fontId="13" fillId="0" borderId="0" xfId="0" applyFont="1" applyFill="1" applyBorder="1"/>
    <xf numFmtId="0" fontId="0" fillId="0" borderId="0" xfId="0" applyAlignment="1">
      <alignment wrapText="1"/>
    </xf>
    <xf numFmtId="0" fontId="12" fillId="0" borderId="0" xfId="0" applyFont="1" applyFill="1" applyBorder="1"/>
    <xf numFmtId="0" fontId="0" fillId="0" borderId="0" xfId="0" applyFill="1" applyAlignment="1">
      <alignment wrapText="1"/>
    </xf>
    <xf numFmtId="0" fontId="6" fillId="14" borderId="0" xfId="0" applyFont="1" applyFill="1" applyBorder="1" applyAlignment="1">
      <alignment vertical="top"/>
    </xf>
    <xf numFmtId="0" fontId="3" fillId="14" borderId="0" xfId="0" applyFont="1" applyFill="1" applyBorder="1" applyAlignment="1">
      <alignment vertical="top" wrapText="1"/>
    </xf>
    <xf numFmtId="0" fontId="6" fillId="14" borderId="0" xfId="0" applyFont="1" applyFill="1"/>
    <xf numFmtId="0" fontId="3" fillId="14" borderId="0" xfId="0" applyFont="1" applyFill="1"/>
    <xf numFmtId="0" fontId="8" fillId="0" borderId="0" xfId="0" applyFont="1" applyFill="1"/>
    <xf numFmtId="0" fontId="3" fillId="0" borderId="0" xfId="0" applyFont="1" applyFill="1" applyBorder="1"/>
    <xf numFmtId="0" fontId="3" fillId="14" borderId="0" xfId="0" applyFont="1" applyFill="1" applyBorder="1" applyAlignment="1">
      <alignment horizontal="left" vertical="top" wrapText="1"/>
    </xf>
    <xf numFmtId="0" fontId="6" fillId="0" borderId="0" xfId="0" applyFont="1"/>
    <xf numFmtId="0" fontId="0" fillId="14" borderId="0" xfId="0" applyFill="1"/>
    <xf numFmtId="0" fontId="0" fillId="0" borderId="0" xfId="0" applyBorder="1"/>
    <xf numFmtId="0" fontId="3" fillId="14" borderId="0" xfId="0" applyFont="1" applyFill="1" applyAlignment="1"/>
    <xf numFmtId="0" fontId="5" fillId="0" borderId="0" xfId="0" applyFont="1" applyFill="1" applyBorder="1"/>
    <xf numFmtId="0" fontId="5" fillId="14" borderId="0" xfId="0" applyFont="1" applyFill="1" applyBorder="1"/>
    <xf numFmtId="17" fontId="0" fillId="0" borderId="0" xfId="0" applyNumberFormat="1" applyFill="1" applyBorder="1"/>
    <xf numFmtId="167" fontId="44" fillId="0" borderId="0" xfId="0" applyNumberFormat="1" applyFont="1" applyFill="1" applyBorder="1"/>
    <xf numFmtId="0" fontId="6" fillId="14" borderId="0" xfId="0" applyFont="1" applyFill="1" applyBorder="1" applyAlignment="1">
      <alignment vertical="center"/>
    </xf>
    <xf numFmtId="0" fontId="3" fillId="14" borderId="0" xfId="0" applyFont="1" applyFill="1" applyBorder="1" applyAlignment="1">
      <alignment vertical="center"/>
    </xf>
    <xf numFmtId="43" fontId="13" fillId="0" borderId="0" xfId="0" applyNumberFormat="1" applyFont="1" applyFill="1"/>
    <xf numFmtId="0" fontId="3" fillId="14" borderId="0" xfId="0" applyFont="1" applyFill="1" applyBorder="1"/>
    <xf numFmtId="0" fontId="0" fillId="14" borderId="0" xfId="0" applyFill="1" applyAlignment="1"/>
    <xf numFmtId="43" fontId="13" fillId="0" borderId="0" xfId="0" applyNumberFormat="1" applyFont="1" applyFill="1" applyBorder="1"/>
    <xf numFmtId="0" fontId="13" fillId="0" borderId="0" xfId="0" applyFont="1" applyFill="1" applyAlignment="1">
      <alignment wrapText="1"/>
    </xf>
    <xf numFmtId="41" fontId="13" fillId="0" borderId="0" xfId="0" applyNumberFormat="1" applyFont="1" applyFill="1" applyBorder="1"/>
    <xf numFmtId="0" fontId="8" fillId="0" borderId="0" xfId="0" applyFont="1"/>
    <xf numFmtId="0" fontId="8" fillId="0" borderId="0" xfId="0" applyFont="1" applyAlignment="1">
      <alignment horizontal="center" vertical="center"/>
    </xf>
    <xf numFmtId="0" fontId="8" fillId="14" borderId="0" xfId="0" applyFont="1" applyFill="1"/>
    <xf numFmtId="0" fontId="3" fillId="14" borderId="0" xfId="0" applyFont="1" applyFill="1" applyAlignment="1">
      <alignment vertical="top"/>
    </xf>
    <xf numFmtId="0" fontId="3" fillId="14" borderId="0" xfId="0" applyFont="1" applyFill="1" applyAlignment="1">
      <alignment vertical="top" wrapText="1"/>
    </xf>
    <xf numFmtId="0" fontId="3" fillId="0" borderId="0" xfId="0" applyFont="1" applyFill="1" applyBorder="1"/>
    <xf numFmtId="168" fontId="12" fillId="0" borderId="0" xfId="0" applyNumberFormat="1" applyFont="1" applyFill="1" applyBorder="1" applyAlignment="1">
      <alignment horizontal="left" vertical="center" wrapText="1"/>
    </xf>
    <xf numFmtId="0" fontId="13" fillId="0" borderId="0" xfId="0" applyFont="1" applyFill="1" applyBorder="1" applyAlignment="1">
      <alignment horizontal="center" vertical="center" wrapText="1"/>
    </xf>
    <xf numFmtId="168" fontId="6" fillId="0" borderId="0" xfId="0" applyNumberFormat="1" applyFont="1" applyFill="1" applyBorder="1" applyAlignment="1">
      <alignment horizontal="left" vertical="center" wrapText="1"/>
    </xf>
    <xf numFmtId="0" fontId="48" fillId="0" borderId="0" xfId="0" applyFont="1" applyFill="1" applyBorder="1" applyAlignment="1" applyProtection="1">
      <alignment horizontal="left" vertical="center" wrapText="1"/>
      <protection locked="0"/>
    </xf>
    <xf numFmtId="0" fontId="3" fillId="0" borderId="0" xfId="0" applyFont="1" applyFill="1" applyBorder="1" applyAlignment="1" applyProtection="1">
      <alignment vertical="center" wrapText="1"/>
      <protection locked="0"/>
    </xf>
    <xf numFmtId="0" fontId="3" fillId="22" borderId="0" xfId="0" applyFont="1" applyFill="1" applyBorder="1" applyAlignment="1" applyProtection="1">
      <alignment vertical="center" wrapText="1"/>
      <protection locked="0"/>
    </xf>
    <xf numFmtId="0" fontId="0" fillId="0" borderId="0" xfId="0" applyFill="1"/>
    <xf numFmtId="0" fontId="3" fillId="0" borderId="0" xfId="0" applyFont="1" applyFill="1" applyBorder="1" applyAlignment="1">
      <alignment horizontal="center" vertical="center" wrapText="1"/>
    </xf>
    <xf numFmtId="0" fontId="6" fillId="0" borderId="0" xfId="0" applyFont="1" applyFill="1" applyBorder="1" applyAlignment="1" applyProtection="1">
      <alignment horizontal="left" vertical="center" wrapText="1"/>
      <protection locked="0"/>
    </xf>
    <xf numFmtId="0" fontId="3" fillId="22" borderId="17" xfId="0" applyFont="1" applyFill="1" applyBorder="1" applyAlignment="1" applyProtection="1">
      <alignment vertical="center" wrapText="1"/>
      <protection locked="0"/>
    </xf>
    <xf numFmtId="49" fontId="3" fillId="0" borderId="0" xfId="0" applyNumberFormat="1" applyFont="1"/>
    <xf numFmtId="0" fontId="0" fillId="0" borderId="0" xfId="0" applyFill="1" applyBorder="1"/>
    <xf numFmtId="0" fontId="3" fillId="0" borderId="0" xfId="0" applyFont="1" applyAlignment="1">
      <alignment horizontal="left"/>
    </xf>
    <xf numFmtId="3" fontId="3" fillId="0" borderId="0" xfId="0" applyNumberFormat="1" applyFont="1" applyFill="1" applyBorder="1" applyAlignment="1" applyProtection="1">
      <alignment vertical="center" wrapText="1"/>
      <protection locked="0"/>
    </xf>
    <xf numFmtId="1" fontId="0" fillId="0" borderId="0" xfId="0" applyNumberFormat="1"/>
    <xf numFmtId="1" fontId="57" fillId="0" borderId="0" xfId="0" applyNumberFormat="1" applyFont="1" applyFill="1"/>
    <xf numFmtId="168" fontId="3" fillId="0" borderId="0" xfId="30" applyNumberFormat="1" applyFont="1"/>
    <xf numFmtId="0" fontId="3" fillId="0" borderId="0" xfId="0" applyFont="1" applyFill="1" applyBorder="1" applyAlignment="1" applyProtection="1">
      <alignment horizontal="center" vertical="center" wrapText="1"/>
      <protection locked="0"/>
    </xf>
    <xf numFmtId="0" fontId="0" fillId="0" borderId="0" xfId="0" applyAlignment="1"/>
    <xf numFmtId="0" fontId="14" fillId="0" borderId="0" xfId="0" applyFont="1" applyAlignment="1"/>
    <xf numFmtId="0" fontId="3" fillId="14" borderId="0" xfId="0" applyFont="1" applyFill="1" applyBorder="1" applyAlignment="1">
      <alignment horizontal="left" vertical="top" wrapText="1"/>
    </xf>
    <xf numFmtId="0" fontId="0" fillId="30" borderId="0" xfId="0" applyFill="1"/>
    <xf numFmtId="164" fontId="6" fillId="18" borderId="34" xfId="44" applyNumberFormat="1" applyFont="1" applyFill="1" applyBorder="1" applyAlignment="1">
      <alignment vertical="center" wrapText="1"/>
    </xf>
    <xf numFmtId="10" fontId="3" fillId="0" borderId="0" xfId="44" applyNumberFormat="1"/>
    <xf numFmtId="0" fontId="3" fillId="14" borderId="0" xfId="0" applyFont="1" applyFill="1" applyBorder="1" applyAlignment="1">
      <alignment vertical="center"/>
    </xf>
    <xf numFmtId="0" fontId="6" fillId="14" borderId="0" xfId="0" applyFont="1" applyFill="1" applyAlignment="1">
      <alignment wrapText="1"/>
    </xf>
    <xf numFmtId="0" fontId="3" fillId="14" borderId="0" xfId="0" applyFont="1" applyFill="1" applyAlignment="1">
      <alignment horizontal="left" vertical="top" wrapText="1"/>
    </xf>
    <xf numFmtId="0" fontId="3" fillId="14" borderId="0" xfId="0" applyFont="1" applyFill="1" applyBorder="1" applyAlignment="1">
      <alignment horizontal="left" vertical="top" wrapText="1"/>
    </xf>
    <xf numFmtId="17" fontId="0" fillId="0" borderId="0" xfId="0" applyNumberFormat="1"/>
    <xf numFmtId="0" fontId="3" fillId="0"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59" fillId="28" borderId="0" xfId="0" applyFont="1" applyFill="1" applyBorder="1" applyProtection="1"/>
    <xf numFmtId="0" fontId="59" fillId="28" borderId="0" xfId="0" applyFont="1" applyFill="1" applyBorder="1" applyAlignment="1" applyProtection="1">
      <alignment vertical="center"/>
    </xf>
    <xf numFmtId="0" fontId="59" fillId="34" borderId="0" xfId="0" applyFont="1" applyFill="1" applyProtection="1"/>
    <xf numFmtId="0" fontId="15" fillId="19" borderId="0" xfId="0" applyFont="1" applyFill="1" applyBorder="1" applyAlignment="1" applyProtection="1">
      <alignment horizontal="left" vertical="center"/>
    </xf>
    <xf numFmtId="0" fontId="15" fillId="19" borderId="0" xfId="0" applyFont="1" applyFill="1" applyBorder="1" applyAlignment="1" applyProtection="1">
      <alignment vertical="center"/>
    </xf>
    <xf numFmtId="0" fontId="58" fillId="19" borderId="0" xfId="0" applyFont="1" applyFill="1" applyBorder="1" applyAlignment="1" applyProtection="1">
      <alignment vertical="center"/>
    </xf>
    <xf numFmtId="0" fontId="0" fillId="0" borderId="0" xfId="0"/>
    <xf numFmtId="0" fontId="59" fillId="34" borderId="0" xfId="0" applyFont="1" applyFill="1" applyProtection="1">
      <protection locked="0"/>
    </xf>
    <xf numFmtId="0" fontId="59" fillId="34" borderId="0" xfId="0" applyFont="1" applyFill="1" applyAlignment="1" applyProtection="1">
      <alignment vertical="center"/>
    </xf>
    <xf numFmtId="0" fontId="5" fillId="30" borderId="0" xfId="0" applyFont="1" applyFill="1" applyBorder="1" applyAlignment="1">
      <alignment vertical="top"/>
    </xf>
    <xf numFmtId="0" fontId="5" fillId="0" borderId="0" xfId="0" applyFont="1" applyFill="1" applyBorder="1" applyAlignment="1">
      <alignment vertical="top"/>
    </xf>
    <xf numFmtId="0" fontId="5" fillId="0" borderId="0" xfId="0" applyFont="1" applyFill="1" applyBorder="1" applyAlignment="1">
      <alignment vertical="center"/>
    </xf>
    <xf numFmtId="0" fontId="5" fillId="0" borderId="0" xfId="0" applyFont="1" applyFill="1" applyBorder="1"/>
    <xf numFmtId="0" fontId="0" fillId="0" borderId="0" xfId="0"/>
    <xf numFmtId="0" fontId="4" fillId="0" borderId="0" xfId="0" applyFont="1" applyFill="1" applyBorder="1"/>
    <xf numFmtId="0" fontId="4" fillId="0" borderId="0" xfId="0" applyFont="1" applyFill="1" applyBorder="1" applyAlignment="1">
      <alignment vertical="center"/>
    </xf>
    <xf numFmtId="0" fontId="64" fillId="34" borderId="51" xfId="0" applyFont="1" applyFill="1" applyBorder="1" applyAlignment="1">
      <alignment horizontal="left" vertical="center" wrapText="1"/>
    </xf>
    <xf numFmtId="0" fontId="4" fillId="0" borderId="0" xfId="0" applyFont="1" applyFill="1" applyBorder="1" applyAlignment="1">
      <alignment wrapText="1"/>
    </xf>
    <xf numFmtId="0" fontId="4" fillId="0" borderId="0" xfId="0" applyFont="1" applyFill="1" applyBorder="1" applyAlignment="1">
      <alignment vertical="center" wrapText="1"/>
    </xf>
    <xf numFmtId="0" fontId="3" fillId="34" borderId="51" xfId="0" applyFont="1" applyFill="1" applyBorder="1" applyAlignment="1">
      <alignment horizontal="right" vertical="center" wrapText="1" indent="1"/>
    </xf>
    <xf numFmtId="10" fontId="3" fillId="18" borderId="56" xfId="44" applyNumberFormat="1" applyFont="1" applyFill="1" applyBorder="1" applyProtection="1">
      <protection locked="0"/>
    </xf>
    <xf numFmtId="10" fontId="3" fillId="18" borderId="57" xfId="44" applyNumberFormat="1" applyFont="1" applyFill="1" applyBorder="1" applyProtection="1">
      <protection locked="0"/>
    </xf>
    <xf numFmtId="10" fontId="3" fillId="18" borderId="58" xfId="44" applyNumberFormat="1" applyFont="1" applyFill="1" applyBorder="1" applyProtection="1">
      <protection locked="0"/>
    </xf>
    <xf numFmtId="9" fontId="3" fillId="18" borderId="59" xfId="44" applyFont="1" applyFill="1" applyBorder="1" applyProtection="1">
      <protection locked="0"/>
    </xf>
    <xf numFmtId="9" fontId="3" fillId="18" borderId="57" xfId="44" applyFont="1" applyFill="1" applyBorder="1" applyProtection="1">
      <protection locked="0"/>
    </xf>
    <xf numFmtId="9" fontId="3" fillId="18" borderId="60" xfId="44" applyFont="1" applyFill="1" applyBorder="1" applyProtection="1">
      <protection locked="0"/>
    </xf>
    <xf numFmtId="10" fontId="3" fillId="18" borderId="46" xfId="44" applyNumberFormat="1" applyFont="1" applyFill="1" applyBorder="1" applyProtection="1">
      <protection locked="0"/>
    </xf>
    <xf numFmtId="10" fontId="3" fillId="18" borderId="61" xfId="44" applyNumberFormat="1" applyFont="1" applyFill="1" applyBorder="1" applyProtection="1">
      <protection locked="0"/>
    </xf>
    <xf numFmtId="10" fontId="3" fillId="18" borderId="62" xfId="44" applyNumberFormat="1" applyFont="1" applyFill="1" applyBorder="1" applyProtection="1">
      <protection locked="0"/>
    </xf>
    <xf numFmtId="9" fontId="3" fillId="18" borderId="63" xfId="44" applyFont="1" applyFill="1" applyBorder="1" applyProtection="1">
      <protection locked="0"/>
    </xf>
    <xf numFmtId="9" fontId="3" fillId="18" borderId="61" xfId="44" applyFont="1" applyFill="1" applyBorder="1" applyProtection="1">
      <protection locked="0"/>
    </xf>
    <xf numFmtId="9" fontId="3" fillId="18" borderId="64" xfId="44" applyFont="1" applyFill="1" applyBorder="1" applyProtection="1">
      <protection locked="0"/>
    </xf>
    <xf numFmtId="10" fontId="3" fillId="18" borderId="48" xfId="44" applyNumberFormat="1" applyFont="1" applyFill="1" applyBorder="1" applyProtection="1">
      <protection locked="0"/>
    </xf>
    <xf numFmtId="10" fontId="3" fillId="18" borderId="65" xfId="44" applyNumberFormat="1" applyFont="1" applyFill="1" applyBorder="1" applyProtection="1">
      <protection locked="0"/>
    </xf>
    <xf numFmtId="10" fontId="3" fillId="18" borderId="66" xfId="44" applyNumberFormat="1" applyFont="1" applyFill="1" applyBorder="1" applyProtection="1">
      <protection locked="0"/>
    </xf>
    <xf numFmtId="9" fontId="3" fillId="18" borderId="67" xfId="44" applyFont="1" applyFill="1" applyBorder="1" applyProtection="1">
      <protection locked="0"/>
    </xf>
    <xf numFmtId="9" fontId="3" fillId="18" borderId="65" xfId="44" applyFont="1" applyFill="1" applyBorder="1" applyProtection="1">
      <protection locked="0"/>
    </xf>
    <xf numFmtId="9" fontId="3" fillId="18" borderId="68" xfId="44" applyFont="1" applyFill="1" applyBorder="1" applyProtection="1">
      <protection locked="0"/>
    </xf>
    <xf numFmtId="0" fontId="0" fillId="0" borderId="0" xfId="0" applyBorder="1"/>
    <xf numFmtId="0" fontId="6" fillId="34" borderId="51" xfId="0" applyFont="1" applyFill="1" applyBorder="1" applyAlignment="1" applyProtection="1">
      <alignment horizontal="left" vertical="center" wrapText="1"/>
      <protection locked="0"/>
    </xf>
    <xf numFmtId="0" fontId="0" fillId="0" borderId="0" xfId="0" applyAlignment="1">
      <alignment vertical="center"/>
    </xf>
    <xf numFmtId="0" fontId="3" fillId="34" borderId="69" xfId="0" applyFont="1" applyFill="1" applyBorder="1" applyAlignment="1" applyProtection="1">
      <alignment horizontal="left" vertical="center" wrapText="1"/>
      <protection locked="0"/>
    </xf>
    <xf numFmtId="0" fontId="3" fillId="18" borderId="25" xfId="0" applyFont="1" applyFill="1" applyBorder="1" applyAlignment="1" applyProtection="1">
      <alignment vertical="center" wrapText="1"/>
      <protection locked="0"/>
    </xf>
    <xf numFmtId="0" fontId="3" fillId="18" borderId="42" xfId="0" applyFont="1" applyFill="1" applyBorder="1" applyAlignment="1" applyProtection="1">
      <alignment vertical="center" wrapText="1"/>
      <protection locked="0"/>
    </xf>
    <xf numFmtId="0" fontId="3" fillId="18" borderId="38" xfId="0" applyFont="1" applyFill="1" applyBorder="1" applyAlignment="1" applyProtection="1">
      <alignment vertical="center" wrapText="1"/>
      <protection locked="0"/>
    </xf>
    <xf numFmtId="0" fontId="3" fillId="18" borderId="40" xfId="0" applyFont="1" applyFill="1" applyBorder="1" applyAlignment="1" applyProtection="1">
      <alignment vertical="center" wrapText="1"/>
      <protection locked="0"/>
    </xf>
    <xf numFmtId="168" fontId="6" fillId="34" borderId="19" xfId="0" applyNumberFormat="1" applyFont="1" applyFill="1" applyBorder="1" applyAlignment="1">
      <alignment horizontal="left" vertical="center" wrapText="1"/>
    </xf>
    <xf numFmtId="168" fontId="39" fillId="34" borderId="19" xfId="0" applyNumberFormat="1" applyFont="1" applyFill="1" applyBorder="1" applyAlignment="1">
      <alignment horizontal="left" vertical="center" wrapText="1"/>
    </xf>
    <xf numFmtId="0" fontId="39" fillId="34" borderId="71" xfId="0" applyFont="1" applyFill="1" applyBorder="1" applyAlignment="1">
      <alignment horizontal="left" vertical="center" wrapText="1"/>
    </xf>
    <xf numFmtId="10" fontId="3" fillId="18" borderId="63" xfId="44" applyNumberFormat="1" applyFont="1" applyFill="1" applyBorder="1" applyProtection="1">
      <protection locked="0"/>
    </xf>
    <xf numFmtId="10" fontId="3" fillId="18" borderId="64" xfId="44" applyNumberFormat="1" applyFont="1" applyFill="1" applyBorder="1" applyProtection="1">
      <protection locked="0"/>
    </xf>
    <xf numFmtId="2" fontId="3" fillId="18" borderId="61" xfId="44" applyNumberFormat="1" applyFont="1" applyFill="1" applyBorder="1" applyAlignment="1" applyProtection="1">
      <alignment horizontal="left" indent="3"/>
      <protection locked="0"/>
    </xf>
    <xf numFmtId="10" fontId="3" fillId="18" borderId="64" xfId="44" applyNumberFormat="1" applyFont="1" applyFill="1" applyBorder="1" applyAlignment="1" applyProtection="1">
      <alignment vertical="center"/>
      <protection locked="0"/>
    </xf>
    <xf numFmtId="0" fontId="3" fillId="34" borderId="51" xfId="0" applyFont="1" applyFill="1" applyBorder="1" applyAlignment="1" applyProtection="1">
      <alignment horizontal="left" vertical="center" wrapText="1"/>
      <protection locked="0"/>
    </xf>
    <xf numFmtId="0" fontId="48" fillId="39" borderId="46" xfId="0" applyFont="1" applyFill="1" applyBorder="1" applyAlignment="1" applyProtection="1">
      <alignment horizontal="left" vertical="center" wrapText="1"/>
      <protection locked="0"/>
    </xf>
    <xf numFmtId="0" fontId="48" fillId="39" borderId="61" xfId="0" applyFont="1" applyFill="1" applyBorder="1" applyAlignment="1" applyProtection="1">
      <alignment horizontal="left" vertical="center" wrapText="1"/>
      <protection locked="0"/>
    </xf>
    <xf numFmtId="0" fontId="48" fillId="39" borderId="64" xfId="0" applyFont="1" applyFill="1" applyBorder="1" applyAlignment="1" applyProtection="1">
      <alignment horizontal="left" vertical="center" wrapText="1"/>
      <protection locked="0"/>
    </xf>
    <xf numFmtId="0" fontId="48" fillId="39" borderId="59" xfId="0" applyFont="1" applyFill="1" applyBorder="1" applyAlignment="1" applyProtection="1">
      <alignment horizontal="left" vertical="center" wrapText="1"/>
      <protection locked="0"/>
    </xf>
    <xf numFmtId="0" fontId="3" fillId="34" borderId="48" xfId="0" applyFont="1" applyFill="1" applyBorder="1" applyAlignment="1" applyProtection="1">
      <alignment horizontal="left" vertical="center" wrapText="1"/>
      <protection locked="0"/>
    </xf>
    <xf numFmtId="0" fontId="3" fillId="18" borderId="37" xfId="0" applyFont="1" applyFill="1" applyBorder="1" applyAlignment="1" applyProtection="1">
      <alignment vertical="center"/>
      <protection locked="0"/>
    </xf>
    <xf numFmtId="0" fontId="59" fillId="34" borderId="0" xfId="0" applyFont="1" applyFill="1" applyProtection="1"/>
    <xf numFmtId="0" fontId="15" fillId="19" borderId="22" xfId="0" applyFont="1" applyFill="1" applyBorder="1" applyAlignment="1" applyProtection="1">
      <alignment vertical="center"/>
      <protection locked="0"/>
    </xf>
    <xf numFmtId="0" fontId="59" fillId="28" borderId="0" xfId="0" applyFont="1" applyFill="1" applyBorder="1" applyProtection="1"/>
    <xf numFmtId="0" fontId="15" fillId="19" borderId="0" xfId="0" applyFont="1" applyFill="1" applyBorder="1" applyAlignment="1" applyProtection="1">
      <alignment horizontal="left" vertical="center"/>
    </xf>
    <xf numFmtId="0" fontId="15" fillId="19" borderId="0" xfId="0" applyFont="1" applyFill="1" applyBorder="1" applyAlignment="1" applyProtection="1">
      <alignment vertical="center"/>
    </xf>
    <xf numFmtId="0" fontId="58" fillId="19" borderId="0" xfId="0" applyFont="1" applyFill="1" applyBorder="1" applyAlignment="1" applyProtection="1">
      <alignment vertical="center"/>
    </xf>
    <xf numFmtId="0" fontId="3" fillId="0" borderId="0" xfId="0" applyFont="1" applyFill="1"/>
    <xf numFmtId="0" fontId="15" fillId="0" borderId="0" xfId="0" applyFont="1" applyFill="1"/>
    <xf numFmtId="0" fontId="15" fillId="0" borderId="0" xfId="0" applyNumberFormat="1" applyFont="1" applyFill="1"/>
    <xf numFmtId="0" fontId="6" fillId="30" borderId="0" xfId="0" applyFont="1" applyFill="1" applyBorder="1" applyAlignment="1">
      <alignment vertical="top" wrapText="1"/>
    </xf>
    <xf numFmtId="0" fontId="5" fillId="0" borderId="0" xfId="0" applyFont="1" applyFill="1" applyBorder="1"/>
    <xf numFmtId="0" fontId="3" fillId="0" borderId="0" xfId="0" applyFont="1"/>
    <xf numFmtId="0" fontId="39" fillId="34" borderId="19" xfId="0" applyFont="1" applyFill="1" applyBorder="1" applyAlignment="1">
      <alignment horizontal="center" vertical="center" wrapText="1"/>
    </xf>
    <xf numFmtId="0" fontId="6" fillId="34" borderId="50" xfId="0" applyFont="1" applyFill="1" applyBorder="1" applyAlignment="1">
      <alignment horizontal="left" vertical="center" wrapText="1"/>
    </xf>
    <xf numFmtId="0" fontId="3" fillId="34" borderId="51" xfId="0" applyFont="1" applyFill="1" applyBorder="1" applyAlignment="1">
      <alignment horizontal="left" vertical="center" wrapText="1" indent="4"/>
    </xf>
    <xf numFmtId="168" fontId="3" fillId="44" borderId="46" xfId="0" applyNumberFormat="1" applyFont="1" applyFill="1" applyBorder="1" applyAlignment="1">
      <alignment horizontal="right"/>
    </xf>
    <xf numFmtId="168" fontId="3" fillId="44" borderId="61" xfId="0" applyNumberFormat="1" applyFont="1" applyFill="1" applyBorder="1" applyAlignment="1">
      <alignment horizontal="right"/>
    </xf>
    <xf numFmtId="0" fontId="6" fillId="34" borderId="51" xfId="0" applyFont="1" applyFill="1" applyBorder="1" applyAlignment="1">
      <alignment horizontal="left" vertical="center" wrapText="1"/>
    </xf>
    <xf numFmtId="0" fontId="3" fillId="39" borderId="46" xfId="0" applyFont="1" applyFill="1" applyBorder="1" applyAlignment="1" applyProtection="1">
      <alignment horizontal="right"/>
      <protection locked="0"/>
    </xf>
    <xf numFmtId="0" fontId="3" fillId="39" borderId="61" xfId="0" applyFont="1" applyFill="1" applyBorder="1" applyAlignment="1" applyProtection="1">
      <alignment horizontal="right"/>
      <protection locked="0"/>
    </xf>
    <xf numFmtId="0" fontId="3" fillId="34" borderId="84" xfId="0" applyFont="1" applyFill="1" applyBorder="1" applyAlignment="1">
      <alignment horizontal="left" vertical="center" wrapText="1" indent="4"/>
    </xf>
    <xf numFmtId="168" fontId="3" fillId="44" borderId="79" xfId="0" applyNumberFormat="1" applyFont="1" applyFill="1" applyBorder="1" applyAlignment="1">
      <alignment horizontal="right"/>
    </xf>
    <xf numFmtId="168" fontId="3" fillId="44" borderId="80" xfId="0" applyNumberFormat="1" applyFont="1" applyFill="1" applyBorder="1" applyAlignment="1">
      <alignment horizontal="right"/>
    </xf>
    <xf numFmtId="0" fontId="3" fillId="31" borderId="50" xfId="0" applyFont="1" applyFill="1" applyBorder="1" applyAlignment="1">
      <alignment horizontal="left" vertical="center" wrapText="1"/>
    </xf>
    <xf numFmtId="168" fontId="3" fillId="31" borderId="44" xfId="0" applyNumberFormat="1" applyFont="1" applyFill="1" applyBorder="1" applyAlignment="1">
      <alignment horizontal="right"/>
    </xf>
    <xf numFmtId="168" fontId="3" fillId="31" borderId="83" xfId="0" applyNumberFormat="1" applyFont="1" applyFill="1" applyBorder="1" applyAlignment="1">
      <alignment horizontal="right"/>
    </xf>
    <xf numFmtId="0" fontId="3" fillId="31" borderId="51" xfId="0" applyFont="1" applyFill="1" applyBorder="1" applyAlignment="1">
      <alignment horizontal="left" vertical="center" wrapText="1"/>
    </xf>
    <xf numFmtId="168" fontId="3" fillId="31" borderId="46" xfId="0" applyNumberFormat="1" applyFont="1" applyFill="1" applyBorder="1" applyAlignment="1">
      <alignment horizontal="right"/>
    </xf>
    <xf numFmtId="168" fontId="3" fillId="31" borderId="61" xfId="0" applyNumberFormat="1" applyFont="1" applyFill="1" applyBorder="1" applyAlignment="1">
      <alignment horizontal="right"/>
    </xf>
    <xf numFmtId="0" fontId="3" fillId="32" borderId="51" xfId="0" applyFont="1" applyFill="1" applyBorder="1" applyAlignment="1">
      <alignment horizontal="left" vertical="center" wrapText="1" indent="2"/>
    </xf>
    <xf numFmtId="168" fontId="3" fillId="32" borderId="46" xfId="30" applyNumberFormat="1" applyFont="1" applyFill="1" applyBorder="1" applyAlignment="1">
      <alignment horizontal="right"/>
    </xf>
    <xf numFmtId="168" fontId="3" fillId="32" borderId="61" xfId="30" applyNumberFormat="1" applyFont="1" applyFill="1" applyBorder="1" applyAlignment="1">
      <alignment horizontal="right"/>
    </xf>
    <xf numFmtId="0" fontId="3" fillId="31" borderId="69" xfId="0" applyFont="1" applyFill="1" applyBorder="1" applyAlignment="1">
      <alignment horizontal="left" vertical="center" wrapText="1"/>
    </xf>
    <xf numFmtId="168" fontId="3" fillId="31" borderId="48" xfId="0" applyNumberFormat="1" applyFont="1" applyFill="1" applyBorder="1" applyAlignment="1">
      <alignment horizontal="right"/>
    </xf>
    <xf numFmtId="168" fontId="3" fillId="31" borderId="65" xfId="0" applyNumberFormat="1" applyFont="1" applyFill="1" applyBorder="1" applyAlignment="1">
      <alignment horizontal="right"/>
    </xf>
    <xf numFmtId="168" fontId="3" fillId="44" borderId="87" xfId="0" applyNumberFormat="1" applyFont="1" applyFill="1" applyBorder="1" applyAlignment="1">
      <alignment horizontal="right"/>
    </xf>
    <xf numFmtId="0" fontId="3" fillId="39" borderId="87" xfId="0" applyFont="1" applyFill="1" applyBorder="1" applyAlignment="1" applyProtection="1">
      <alignment horizontal="right"/>
      <protection locked="0"/>
    </xf>
    <xf numFmtId="168" fontId="3" fillId="44" borderId="88" xfId="0" applyNumberFormat="1" applyFont="1" applyFill="1" applyBorder="1" applyAlignment="1">
      <alignment horizontal="right"/>
    </xf>
    <xf numFmtId="168" fontId="3" fillId="31" borderId="86" xfId="0" applyNumberFormat="1" applyFont="1" applyFill="1" applyBorder="1" applyAlignment="1">
      <alignment horizontal="right"/>
    </xf>
    <xf numFmtId="168" fontId="3" fillId="31" borderId="87" xfId="0" applyNumberFormat="1" applyFont="1" applyFill="1" applyBorder="1" applyAlignment="1">
      <alignment horizontal="right"/>
    </xf>
    <xf numFmtId="168" fontId="3" fillId="32" borderId="87" xfId="30" applyNumberFormat="1" applyFont="1" applyFill="1" applyBorder="1" applyAlignment="1">
      <alignment horizontal="right"/>
    </xf>
    <xf numFmtId="168" fontId="3" fillId="31" borderId="89" xfId="0" applyNumberFormat="1" applyFont="1" applyFill="1" applyBorder="1" applyAlignment="1">
      <alignment horizontal="right"/>
    </xf>
    <xf numFmtId="168" fontId="3" fillId="44" borderId="63" xfId="0" applyNumberFormat="1" applyFont="1" applyFill="1" applyBorder="1" applyAlignment="1">
      <alignment horizontal="right"/>
    </xf>
    <xf numFmtId="0" fontId="3" fillId="39" borderId="63" xfId="0" applyFont="1" applyFill="1" applyBorder="1" applyAlignment="1" applyProtection="1">
      <alignment horizontal="right"/>
      <protection locked="0"/>
    </xf>
    <xf numFmtId="168" fontId="3" fillId="44" borderId="82" xfId="0" applyNumberFormat="1" applyFont="1" applyFill="1" applyBorder="1" applyAlignment="1">
      <alignment horizontal="right"/>
    </xf>
    <xf numFmtId="168" fontId="3" fillId="31" borderId="90" xfId="0" applyNumberFormat="1" applyFont="1" applyFill="1" applyBorder="1" applyAlignment="1">
      <alignment horizontal="right"/>
    </xf>
    <xf numFmtId="168" fontId="3" fillId="31" borderId="63" xfId="0" applyNumberFormat="1" applyFont="1" applyFill="1" applyBorder="1" applyAlignment="1">
      <alignment horizontal="right"/>
    </xf>
    <xf numFmtId="168" fontId="3" fillId="32" borderId="63" xfId="30" applyNumberFormat="1" applyFont="1" applyFill="1" applyBorder="1" applyAlignment="1">
      <alignment horizontal="right"/>
    </xf>
    <xf numFmtId="168" fontId="3" fillId="31" borderId="67" xfId="0" applyNumberFormat="1" applyFont="1" applyFill="1" applyBorder="1" applyAlignment="1">
      <alignment horizontal="right"/>
    </xf>
    <xf numFmtId="168" fontId="3" fillId="44" borderId="64" xfId="0" applyNumberFormat="1" applyFont="1" applyFill="1" applyBorder="1" applyAlignment="1">
      <alignment horizontal="right"/>
    </xf>
    <xf numFmtId="0" fontId="3" fillId="39" borderId="64" xfId="0" applyFont="1" applyFill="1" applyBorder="1" applyAlignment="1" applyProtection="1">
      <alignment horizontal="right"/>
      <protection locked="0"/>
    </xf>
    <xf numFmtId="168" fontId="3" fillId="44" borderId="81" xfId="0" applyNumberFormat="1" applyFont="1" applyFill="1" applyBorder="1" applyAlignment="1">
      <alignment horizontal="right"/>
    </xf>
    <xf numFmtId="168" fontId="3" fillId="31" borderId="91" xfId="0" applyNumberFormat="1" applyFont="1" applyFill="1" applyBorder="1" applyAlignment="1">
      <alignment horizontal="right"/>
    </xf>
    <xf numFmtId="168" fontId="3" fillId="31" borderId="64" xfId="0" applyNumberFormat="1" applyFont="1" applyFill="1" applyBorder="1" applyAlignment="1">
      <alignment horizontal="right"/>
    </xf>
    <xf numFmtId="168" fontId="3" fillId="32" borderId="64" xfId="30" applyNumberFormat="1" applyFont="1" applyFill="1" applyBorder="1" applyAlignment="1">
      <alignment horizontal="right"/>
    </xf>
    <xf numFmtId="168" fontId="3" fillId="31" borderId="68" xfId="0" applyNumberFormat="1" applyFont="1" applyFill="1" applyBorder="1" applyAlignment="1">
      <alignment horizontal="right"/>
    </xf>
    <xf numFmtId="0" fontId="11" fillId="37" borderId="48" xfId="0" applyFont="1" applyFill="1" applyBorder="1" applyAlignment="1">
      <alignment horizontal="center" vertical="center" wrapText="1"/>
    </xf>
    <xf numFmtId="0" fontId="11" fillId="37" borderId="65" xfId="0" applyFont="1" applyFill="1" applyBorder="1" applyAlignment="1">
      <alignment horizontal="center" vertical="center" wrapText="1"/>
    </xf>
    <xf numFmtId="168" fontId="3" fillId="44" borderId="61" xfId="30" applyNumberFormat="1" applyFont="1" applyFill="1" applyBorder="1" applyAlignment="1">
      <alignment horizontal="right"/>
    </xf>
    <xf numFmtId="168" fontId="3" fillId="44" borderId="87" xfId="30" applyNumberFormat="1" applyFont="1" applyFill="1" applyBorder="1" applyAlignment="1">
      <alignment horizontal="right"/>
    </xf>
    <xf numFmtId="168" fontId="3" fillId="44" borderId="46" xfId="30" applyNumberFormat="1" applyFont="1" applyFill="1" applyBorder="1" applyAlignment="1">
      <alignment horizontal="right"/>
    </xf>
    <xf numFmtId="168" fontId="3" fillId="44" borderId="46" xfId="0" quotePrefix="1" applyNumberFormat="1" applyFont="1" applyFill="1" applyBorder="1" applyAlignment="1">
      <alignment horizontal="right"/>
    </xf>
    <xf numFmtId="0" fontId="3" fillId="31" borderId="93" xfId="0" applyFont="1" applyFill="1" applyBorder="1" applyAlignment="1">
      <alignment horizontal="left" vertical="center" wrapText="1"/>
    </xf>
    <xf numFmtId="0" fontId="3" fillId="31" borderId="94" xfId="0" applyFont="1" applyFill="1" applyBorder="1" applyAlignment="1">
      <alignment horizontal="left" vertical="center" wrapText="1"/>
    </xf>
    <xf numFmtId="0" fontId="3" fillId="31" borderId="95" xfId="0" applyFont="1" applyFill="1" applyBorder="1" applyAlignment="1">
      <alignment horizontal="left" vertical="center" wrapText="1"/>
    </xf>
    <xf numFmtId="0" fontId="0" fillId="34" borderId="0" xfId="0" applyFill="1"/>
    <xf numFmtId="0" fontId="3" fillId="34" borderId="0" xfId="0" applyFont="1" applyFill="1"/>
    <xf numFmtId="0" fontId="0" fillId="34" borderId="21" xfId="0" applyFill="1" applyBorder="1"/>
    <xf numFmtId="0" fontId="0" fillId="34" borderId="0" xfId="0" applyFill="1" applyAlignment="1">
      <alignment horizontal="left"/>
    </xf>
    <xf numFmtId="0" fontId="0" fillId="34" borderId="19" xfId="0" applyFill="1" applyBorder="1"/>
    <xf numFmtId="0" fontId="0" fillId="34" borderId="0" xfId="0" applyFill="1" applyAlignment="1">
      <alignment vertical="center"/>
    </xf>
    <xf numFmtId="0" fontId="64" fillId="40" borderId="65" xfId="0" applyFont="1" applyFill="1" applyBorder="1" applyAlignment="1">
      <alignment horizontal="center" vertical="center" wrapText="1"/>
    </xf>
    <xf numFmtId="0" fontId="64" fillId="41" borderId="65" xfId="0" applyFont="1" applyFill="1" applyBorder="1" applyAlignment="1">
      <alignment horizontal="center" vertical="center" wrapText="1"/>
    </xf>
    <xf numFmtId="0" fontId="64" fillId="45" borderId="65" xfId="0" applyFont="1" applyFill="1" applyBorder="1" applyAlignment="1">
      <alignment horizontal="center" vertical="center" wrapText="1"/>
    </xf>
    <xf numFmtId="0" fontId="64" fillId="47" borderId="65" xfId="0" applyFont="1" applyFill="1" applyBorder="1" applyAlignment="1">
      <alignment horizontal="center" vertical="center" wrapText="1"/>
    </xf>
    <xf numFmtId="0" fontId="11" fillId="32" borderId="36" xfId="0" applyFont="1" applyFill="1" applyBorder="1" applyAlignment="1">
      <alignment vertical="center"/>
    </xf>
    <xf numFmtId="0" fontId="3" fillId="34" borderId="51" xfId="0" applyFont="1" applyFill="1" applyBorder="1" applyAlignment="1">
      <alignment horizontal="left" vertical="center" wrapText="1" indent="2"/>
    </xf>
    <xf numFmtId="168" fontId="3" fillId="18" borderId="61" xfId="30" applyNumberFormat="1" applyFont="1" applyFill="1" applyBorder="1"/>
    <xf numFmtId="168" fontId="3" fillId="18" borderId="46" xfId="30" applyNumberFormat="1" applyFont="1" applyFill="1" applyBorder="1" applyAlignment="1">
      <alignment horizontal="right"/>
    </xf>
    <xf numFmtId="168" fontId="3" fillId="18" borderId="44" xfId="30" applyNumberFormat="1" applyFont="1" applyFill="1" applyBorder="1" applyAlignment="1">
      <alignment horizontal="right"/>
    </xf>
    <xf numFmtId="168" fontId="3" fillId="18" borderId="83" xfId="30" applyNumberFormat="1" applyFont="1" applyFill="1" applyBorder="1" applyAlignment="1">
      <alignment horizontal="right"/>
    </xf>
    <xf numFmtId="168" fontId="3" fillId="30" borderId="46" xfId="30" applyNumberFormat="1" applyFont="1" applyFill="1" applyBorder="1" applyAlignment="1">
      <alignment horizontal="right"/>
    </xf>
    <xf numFmtId="168" fontId="3" fillId="39" borderId="46" xfId="30" applyNumberFormat="1" applyFont="1" applyFill="1" applyBorder="1" applyAlignment="1">
      <alignment horizontal="right"/>
    </xf>
    <xf numFmtId="168" fontId="3" fillId="30" borderId="48" xfId="30" applyNumberFormat="1" applyFont="1" applyFill="1" applyBorder="1" applyAlignment="1">
      <alignment horizontal="right"/>
    </xf>
    <xf numFmtId="168" fontId="3" fillId="30" borderId="65" xfId="30" applyNumberFormat="1" applyFont="1" applyFill="1" applyBorder="1" applyAlignment="1">
      <alignment horizontal="right"/>
    </xf>
    <xf numFmtId="0" fontId="3" fillId="34" borderId="0" xfId="0" applyFont="1" applyFill="1"/>
    <xf numFmtId="0" fontId="3" fillId="25" borderId="36" xfId="0" applyFont="1" applyFill="1" applyBorder="1" applyAlignment="1" applyProtection="1">
      <alignment vertical="center"/>
      <protection locked="0"/>
    </xf>
    <xf numFmtId="0" fontId="3" fillId="25" borderId="35" xfId="0" applyFont="1" applyFill="1" applyBorder="1" applyAlignment="1" applyProtection="1">
      <alignment vertical="center" wrapText="1"/>
      <protection locked="0"/>
    </xf>
    <xf numFmtId="166" fontId="3" fillId="18" borderId="61" xfId="30" applyNumberFormat="1" applyFont="1" applyFill="1" applyBorder="1"/>
    <xf numFmtId="0" fontId="12" fillId="30" borderId="61" xfId="0" applyFont="1" applyFill="1" applyBorder="1" applyAlignment="1">
      <alignment horizontal="left" vertical="center" wrapText="1"/>
    </xf>
    <xf numFmtId="0" fontId="6" fillId="30" borderId="61" xfId="0" applyFont="1" applyFill="1" applyBorder="1" applyAlignment="1">
      <alignment horizontal="left" vertical="center" wrapText="1"/>
    </xf>
    <xf numFmtId="0" fontId="6" fillId="30" borderId="46" xfId="0" applyFont="1" applyFill="1" applyBorder="1" applyAlignment="1">
      <alignment horizontal="left" vertical="center" wrapText="1"/>
    </xf>
    <xf numFmtId="0" fontId="11" fillId="32" borderId="35" xfId="0" applyFont="1" applyFill="1" applyBorder="1" applyAlignment="1">
      <alignment vertical="center"/>
    </xf>
    <xf numFmtId="0" fontId="11" fillId="32" borderId="34" xfId="0" applyFont="1" applyFill="1" applyBorder="1" applyAlignment="1">
      <alignment vertical="center"/>
    </xf>
    <xf numFmtId="0" fontId="11" fillId="32" borderId="35" xfId="0" applyFont="1" applyFill="1" applyBorder="1" applyAlignment="1">
      <alignment horizontal="right" vertical="center"/>
    </xf>
    <xf numFmtId="0" fontId="11" fillId="32" borderId="34" xfId="0" applyFont="1" applyFill="1" applyBorder="1" applyAlignment="1">
      <alignment horizontal="right" vertical="center"/>
    </xf>
    <xf numFmtId="0" fontId="12" fillId="30" borderId="44" xfId="0" applyFont="1" applyFill="1" applyBorder="1" applyAlignment="1">
      <alignment horizontal="left" vertical="center" wrapText="1"/>
    </xf>
    <xf numFmtId="0" fontId="12" fillId="30" borderId="83" xfId="0" applyFont="1" applyFill="1" applyBorder="1" applyAlignment="1">
      <alignment horizontal="left" vertical="center" wrapText="1"/>
    </xf>
    <xf numFmtId="0" fontId="6" fillId="30" borderId="83" xfId="0" applyFont="1" applyFill="1" applyBorder="1" applyAlignment="1">
      <alignment horizontal="left" vertical="center" wrapText="1"/>
    </xf>
    <xf numFmtId="0" fontId="6" fillId="30" borderId="91" xfId="0" applyFont="1" applyFill="1" applyBorder="1" applyAlignment="1">
      <alignment horizontal="left" vertical="center" wrapText="1"/>
    </xf>
    <xf numFmtId="9" fontId="3" fillId="18" borderId="64" xfId="44" applyFont="1" applyFill="1" applyBorder="1"/>
    <xf numFmtId="0" fontId="12" fillId="30" borderId="46" xfId="0" applyFont="1" applyFill="1" applyBorder="1" applyAlignment="1">
      <alignment horizontal="left" vertical="center" wrapText="1"/>
    </xf>
    <xf numFmtId="0" fontId="6" fillId="30" borderId="64" xfId="0" applyFont="1" applyFill="1" applyBorder="1" applyAlignment="1">
      <alignment horizontal="left" vertical="center" wrapText="1"/>
    </xf>
    <xf numFmtId="168" fontId="3" fillId="18" borderId="91" xfId="30" applyNumberFormat="1" applyFont="1" applyFill="1" applyBorder="1" applyAlignment="1">
      <alignment horizontal="right"/>
    </xf>
    <xf numFmtId="168" fontId="3" fillId="18" borderId="64" xfId="30" applyNumberFormat="1" applyFont="1" applyFill="1" applyBorder="1" applyAlignment="1">
      <alignment horizontal="right"/>
    </xf>
    <xf numFmtId="168" fontId="3" fillId="30" borderId="64" xfId="30" applyNumberFormat="1" applyFont="1" applyFill="1" applyBorder="1" applyAlignment="1">
      <alignment horizontal="right"/>
    </xf>
    <xf numFmtId="168" fontId="3" fillId="39" borderId="64" xfId="30" applyNumberFormat="1" applyFont="1" applyFill="1" applyBorder="1" applyAlignment="1">
      <alignment horizontal="right"/>
    </xf>
    <xf numFmtId="168" fontId="3" fillId="39" borderId="61" xfId="0" applyNumberFormat="1" applyFont="1" applyFill="1" applyBorder="1" applyAlignment="1">
      <alignment horizontal="right"/>
    </xf>
    <xf numFmtId="168" fontId="3" fillId="30" borderId="77" xfId="0" applyNumberFormat="1" applyFont="1" applyFill="1" applyBorder="1" applyAlignment="1">
      <alignment horizontal="right"/>
    </xf>
    <xf numFmtId="168" fontId="6" fillId="31" borderId="61" xfId="0" applyNumberFormat="1" applyFont="1" applyFill="1" applyBorder="1" applyAlignment="1">
      <alignment horizontal="right"/>
    </xf>
    <xf numFmtId="168" fontId="3" fillId="25" borderId="61" xfId="0" applyNumberFormat="1" applyFont="1" applyFill="1" applyBorder="1" applyAlignment="1">
      <alignment horizontal="right"/>
    </xf>
    <xf numFmtId="0" fontId="3" fillId="30" borderId="77" xfId="0" applyFont="1" applyFill="1" applyBorder="1" applyAlignment="1">
      <alignment horizontal="right" wrapText="1"/>
    </xf>
    <xf numFmtId="168" fontId="3" fillId="32" borderId="63" xfId="0" applyNumberFormat="1" applyFont="1" applyFill="1" applyBorder="1" applyAlignment="1">
      <alignment horizontal="right" wrapText="1"/>
    </xf>
    <xf numFmtId="168" fontId="3" fillId="30" borderId="63" xfId="0" applyNumberFormat="1" applyFont="1" applyFill="1" applyBorder="1" applyAlignment="1">
      <alignment horizontal="right" wrapText="1"/>
    </xf>
    <xf numFmtId="168" fontId="3" fillId="25" borderId="102" xfId="0" applyNumberFormat="1" applyFont="1" applyFill="1" applyBorder="1" applyAlignment="1">
      <alignment horizontal="right"/>
    </xf>
    <xf numFmtId="168" fontId="3" fillId="25" borderId="61" xfId="0" applyNumberFormat="1" applyFont="1" applyFill="1" applyBorder="1"/>
    <xf numFmtId="0" fontId="3" fillId="44" borderId="71" xfId="0" applyFont="1" applyFill="1" applyBorder="1" applyAlignment="1">
      <alignment horizontal="left" vertical="center" wrapText="1"/>
    </xf>
    <xf numFmtId="0" fontId="3" fillId="44" borderId="51" xfId="0" applyFont="1" applyFill="1" applyBorder="1" applyAlignment="1">
      <alignment horizontal="left" vertical="center" wrapText="1" indent="2"/>
    </xf>
    <xf numFmtId="168" fontId="3" fillId="32" borderId="44" xfId="0" applyNumberFormat="1" applyFont="1" applyFill="1" applyBorder="1" applyAlignment="1">
      <alignment horizontal="right" wrapText="1"/>
    </xf>
    <xf numFmtId="168" fontId="3" fillId="32" borderId="90" xfId="0" applyNumberFormat="1" applyFont="1" applyFill="1" applyBorder="1" applyAlignment="1">
      <alignment horizontal="right" wrapText="1"/>
    </xf>
    <xf numFmtId="168" fontId="3" fillId="30" borderId="76" xfId="0" applyNumberFormat="1" applyFont="1" applyFill="1" applyBorder="1" applyAlignment="1">
      <alignment horizontal="right" wrapText="1"/>
    </xf>
    <xf numFmtId="0" fontId="3" fillId="30" borderId="51" xfId="0" applyFont="1" applyFill="1" applyBorder="1" applyAlignment="1">
      <alignment horizontal="right" wrapText="1"/>
    </xf>
    <xf numFmtId="0" fontId="3" fillId="30" borderId="78" xfId="0" applyFont="1" applyFill="1" applyBorder="1" applyAlignment="1">
      <alignment horizontal="right" wrapText="1"/>
    </xf>
    <xf numFmtId="168" fontId="3" fillId="32" borderId="46" xfId="0" applyNumberFormat="1" applyFont="1" applyFill="1" applyBorder="1" applyAlignment="1">
      <alignment horizontal="right" wrapText="1"/>
    </xf>
    <xf numFmtId="168" fontId="3" fillId="30" borderId="78" xfId="0" applyNumberFormat="1" applyFont="1" applyFill="1" applyBorder="1" applyAlignment="1">
      <alignment horizontal="right" wrapText="1"/>
    </xf>
    <xf numFmtId="168" fontId="3" fillId="39" borderId="46" xfId="0" applyNumberFormat="1" applyFont="1" applyFill="1" applyBorder="1" applyAlignment="1">
      <alignment horizontal="right"/>
    </xf>
    <xf numFmtId="168" fontId="3" fillId="30" borderId="46" xfId="0" applyNumberFormat="1" applyFont="1" applyFill="1" applyBorder="1" applyAlignment="1">
      <alignment horizontal="right" wrapText="1"/>
    </xf>
    <xf numFmtId="168" fontId="3" fillId="30" borderId="78" xfId="0" applyNumberFormat="1" applyFont="1" applyFill="1" applyBorder="1" applyAlignment="1">
      <alignment horizontal="right"/>
    </xf>
    <xf numFmtId="168" fontId="3" fillId="25" borderId="103" xfId="0" applyNumberFormat="1" applyFont="1" applyFill="1" applyBorder="1" applyAlignment="1">
      <alignment horizontal="right"/>
    </xf>
    <xf numFmtId="168" fontId="6" fillId="31" borderId="46" xfId="0" applyNumberFormat="1" applyFont="1" applyFill="1" applyBorder="1" applyAlignment="1">
      <alignment horizontal="right"/>
    </xf>
    <xf numFmtId="168" fontId="6" fillId="31" borderId="64" xfId="0" applyNumberFormat="1" applyFont="1" applyFill="1" applyBorder="1" applyAlignment="1">
      <alignment horizontal="right"/>
    </xf>
    <xf numFmtId="168" fontId="3" fillId="25" borderId="46" xfId="0" applyNumberFormat="1" applyFont="1" applyFill="1" applyBorder="1" applyAlignment="1">
      <alignment horizontal="right"/>
    </xf>
    <xf numFmtId="168" fontId="3" fillId="25" borderId="64" xfId="0" applyNumberFormat="1" applyFont="1" applyFill="1" applyBorder="1" applyAlignment="1">
      <alignment horizontal="right"/>
    </xf>
    <xf numFmtId="0" fontId="3" fillId="34" borderId="51" xfId="0" applyFont="1" applyFill="1" applyBorder="1" applyAlignment="1">
      <alignment horizontal="left" wrapText="1"/>
    </xf>
    <xf numFmtId="43" fontId="3" fillId="30" borderId="46" xfId="30" applyFont="1" applyFill="1" applyBorder="1" applyAlignment="1">
      <alignment horizontal="right"/>
    </xf>
    <xf numFmtId="43" fontId="3" fillId="30" borderId="63" xfId="30" applyFont="1" applyFill="1" applyBorder="1" applyAlignment="1">
      <alignment horizontal="right"/>
    </xf>
    <xf numFmtId="43" fontId="3" fillId="30" borderId="78" xfId="30" applyFont="1" applyFill="1" applyBorder="1" applyAlignment="1">
      <alignment horizontal="right"/>
    </xf>
    <xf numFmtId="0" fontId="0" fillId="34" borderId="0" xfId="0" applyFill="1" applyBorder="1"/>
    <xf numFmtId="168" fontId="3" fillId="34" borderId="0" xfId="0" applyNumberFormat="1" applyFont="1" applyFill="1"/>
    <xf numFmtId="0" fontId="6" fillId="39" borderId="76" xfId="0" applyFont="1" applyFill="1" applyBorder="1" applyAlignment="1">
      <alignment horizontal="left" vertical="center" wrapText="1"/>
    </xf>
    <xf numFmtId="0" fontId="6" fillId="39" borderId="91" xfId="0" applyFont="1" applyFill="1" applyBorder="1" applyAlignment="1">
      <alignment horizontal="left" vertical="center" wrapText="1"/>
    </xf>
    <xf numFmtId="0" fontId="6" fillId="39" borderId="78" xfId="0" applyFont="1" applyFill="1" applyBorder="1" applyAlignment="1">
      <alignment horizontal="left" vertical="center" wrapText="1"/>
    </xf>
    <xf numFmtId="164" fontId="3" fillId="32" borderId="46" xfId="44" applyNumberFormat="1" applyFont="1" applyFill="1" applyBorder="1"/>
    <xf numFmtId="164" fontId="3" fillId="32" borderId="61" xfId="44" applyNumberFormat="1" applyFont="1" applyFill="1" applyBorder="1"/>
    <xf numFmtId="164" fontId="3" fillId="32" borderId="64" xfId="44" applyNumberFormat="1" applyFont="1" applyFill="1" applyBorder="1"/>
    <xf numFmtId="170" fontId="3" fillId="39" borderId="46" xfId="30" applyNumberFormat="1" applyFont="1" applyFill="1" applyBorder="1"/>
    <xf numFmtId="170" fontId="3" fillId="39" borderId="61" xfId="30" applyNumberFormat="1" applyFont="1" applyFill="1" applyBorder="1"/>
    <xf numFmtId="170" fontId="3" fillId="39" borderId="64" xfId="30" applyNumberFormat="1" applyFont="1" applyFill="1" applyBorder="1"/>
    <xf numFmtId="0" fontId="3" fillId="34" borderId="61" xfId="30" applyNumberFormat="1" applyFont="1" applyFill="1" applyBorder="1"/>
    <xf numFmtId="0" fontId="3" fillId="34" borderId="64" xfId="30" applyNumberFormat="1" applyFont="1" applyFill="1" applyBorder="1"/>
    <xf numFmtId="43" fontId="3" fillId="31" borderId="48" xfId="0" applyNumberFormat="1" applyFont="1" applyFill="1" applyBorder="1"/>
    <xf numFmtId="43" fontId="3" fillId="31" borderId="65" xfId="0" applyNumberFormat="1" applyFont="1" applyFill="1" applyBorder="1"/>
    <xf numFmtId="168" fontId="3" fillId="31" borderId="65" xfId="0" applyNumberFormat="1" applyFont="1" applyFill="1" applyBorder="1"/>
    <xf numFmtId="168" fontId="3" fillId="31" borderId="68" xfId="0" applyNumberFormat="1" applyFont="1" applyFill="1" applyBorder="1"/>
    <xf numFmtId="168" fontId="3" fillId="31" borderId="48" xfId="0" applyNumberFormat="1" applyFont="1" applyFill="1" applyBorder="1"/>
    <xf numFmtId="0" fontId="3" fillId="30" borderId="71" xfId="0" applyFont="1" applyFill="1" applyBorder="1" applyAlignment="1">
      <alignment horizontal="left" vertical="center" wrapText="1"/>
    </xf>
    <xf numFmtId="168" fontId="3" fillId="30" borderId="44" xfId="0" applyNumberFormat="1" applyFont="1" applyFill="1" applyBorder="1"/>
    <xf numFmtId="168" fontId="3" fillId="30" borderId="83" xfId="0" applyNumberFormat="1" applyFont="1" applyFill="1" applyBorder="1"/>
    <xf numFmtId="168" fontId="3" fillId="31" borderId="46" xfId="0" applyNumberFormat="1" applyFont="1" applyFill="1" applyBorder="1"/>
    <xf numFmtId="168" fontId="3" fillId="31" borderId="61" xfId="0" applyNumberFormat="1" applyFont="1" applyFill="1" applyBorder="1"/>
    <xf numFmtId="168" fontId="6" fillId="31" borderId="69" xfId="0" applyNumberFormat="1" applyFont="1" applyFill="1" applyBorder="1" applyAlignment="1">
      <alignment horizontal="left" wrapText="1"/>
    </xf>
    <xf numFmtId="0" fontId="6" fillId="34" borderId="71" xfId="0" applyFont="1" applyFill="1" applyBorder="1" applyAlignment="1">
      <alignment horizontal="left" vertical="center" wrapText="1"/>
    </xf>
    <xf numFmtId="0" fontId="3" fillId="25" borderId="25" xfId="0" applyFont="1" applyFill="1" applyBorder="1" applyAlignment="1" applyProtection="1">
      <alignment vertical="center"/>
      <protection locked="0"/>
    </xf>
    <xf numFmtId="0" fontId="12" fillId="30" borderId="91" xfId="0" applyFont="1" applyFill="1" applyBorder="1" applyAlignment="1">
      <alignment horizontal="left" vertical="center" wrapText="1"/>
    </xf>
    <xf numFmtId="0" fontId="12" fillId="30" borderId="64" xfId="0" applyFont="1" applyFill="1" applyBorder="1" applyAlignment="1">
      <alignment horizontal="left" vertical="center" wrapText="1"/>
    </xf>
    <xf numFmtId="0" fontId="6" fillId="30" borderId="44" xfId="0" applyFont="1" applyFill="1" applyBorder="1" applyAlignment="1">
      <alignment horizontal="left" vertical="center" wrapText="1"/>
    </xf>
    <xf numFmtId="168" fontId="3" fillId="30" borderId="68" xfId="30" applyNumberFormat="1" applyFont="1" applyFill="1" applyBorder="1" applyAlignment="1">
      <alignment horizontal="right"/>
    </xf>
    <xf numFmtId="0" fontId="64" fillId="37" borderId="65" xfId="0" applyFont="1" applyFill="1" applyBorder="1" applyAlignment="1">
      <alignment horizontal="center" vertical="center" wrapText="1"/>
    </xf>
    <xf numFmtId="0" fontId="64" fillId="37" borderId="48" xfId="0" applyFont="1" applyFill="1" applyBorder="1" applyAlignment="1">
      <alignment horizontal="center" vertical="center" wrapText="1"/>
    </xf>
    <xf numFmtId="0" fontId="64" fillId="42" borderId="65" xfId="0" applyFont="1" applyFill="1" applyBorder="1" applyAlignment="1">
      <alignment horizontal="center" vertical="center" wrapText="1"/>
    </xf>
    <xf numFmtId="0" fontId="64" fillId="37" borderId="79" xfId="0" applyFont="1" applyFill="1" applyBorder="1" applyAlignment="1">
      <alignment horizontal="center" vertical="center" wrapText="1"/>
    </xf>
    <xf numFmtId="0" fontId="64" fillId="37" borderId="80" xfId="0" applyFont="1" applyFill="1" applyBorder="1" applyAlignment="1">
      <alignment horizontal="center" vertical="center" wrapText="1"/>
    </xf>
    <xf numFmtId="0" fontId="64" fillId="42" borderId="80" xfId="0" applyFont="1" applyFill="1" applyBorder="1" applyAlignment="1">
      <alignment horizontal="center" vertical="center" wrapText="1"/>
    </xf>
    <xf numFmtId="0" fontId="66" fillId="36" borderId="80" xfId="0" applyFont="1" applyFill="1" applyBorder="1" applyAlignment="1">
      <alignment horizontal="center" vertical="center"/>
    </xf>
    <xf numFmtId="0" fontId="64" fillId="37" borderId="85" xfId="0" applyFont="1" applyFill="1" applyBorder="1" applyAlignment="1">
      <alignment horizontal="center" vertical="center" wrapText="1"/>
    </xf>
    <xf numFmtId="0" fontId="0" fillId="48" borderId="24" xfId="0" applyFill="1" applyBorder="1"/>
    <xf numFmtId="0" fontId="3" fillId="34" borderId="71" xfId="0" applyFont="1" applyFill="1" applyBorder="1" applyAlignment="1">
      <alignment horizontal="left" vertical="center" wrapText="1" indent="4"/>
    </xf>
    <xf numFmtId="0" fontId="48" fillId="36" borderId="61" xfId="0" applyFont="1" applyFill="1" applyBorder="1" applyAlignment="1">
      <alignment horizontal="center" vertical="center" wrapText="1"/>
    </xf>
    <xf numFmtId="168" fontId="3" fillId="30" borderId="46" xfId="30" applyNumberFormat="1" applyFont="1" applyFill="1" applyBorder="1"/>
    <xf numFmtId="168" fontId="3" fillId="30" borderId="61" xfId="30" applyNumberFormat="1" applyFont="1" applyFill="1" applyBorder="1"/>
    <xf numFmtId="0" fontId="3" fillId="0" borderId="0" xfId="0" applyFont="1" applyFill="1" applyAlignment="1">
      <alignment vertical="top"/>
    </xf>
    <xf numFmtId="168" fontId="3" fillId="30" borderId="48" xfId="30" applyNumberFormat="1" applyFont="1" applyFill="1" applyBorder="1"/>
    <xf numFmtId="168" fontId="3" fillId="30" borderId="65" xfId="30" applyNumberFormat="1" applyFont="1" applyFill="1" applyBorder="1"/>
    <xf numFmtId="0" fontId="6" fillId="34" borderId="69" xfId="0" applyFont="1" applyFill="1" applyBorder="1" applyAlignment="1">
      <alignment horizontal="left" vertical="center" wrapText="1"/>
    </xf>
    <xf numFmtId="168" fontId="12" fillId="35" borderId="63" xfId="30" applyNumberFormat="1" applyFont="1" applyFill="1" applyBorder="1"/>
    <xf numFmtId="168" fontId="12" fillId="35" borderId="61" xfId="30" applyNumberFormat="1" applyFont="1" applyFill="1" applyBorder="1"/>
    <xf numFmtId="0" fontId="9" fillId="34" borderId="0" xfId="38" applyFill="1" applyAlignment="1" applyProtection="1"/>
    <xf numFmtId="0" fontId="0" fillId="34" borderId="0" xfId="0" applyFill="1"/>
    <xf numFmtId="168" fontId="46" fillId="32" borderId="43" xfId="30" applyNumberFormat="1" applyFont="1" applyFill="1" applyBorder="1"/>
    <xf numFmtId="168" fontId="46" fillId="32" borderId="105" xfId="30" applyNumberFormat="1" applyFont="1" applyFill="1" applyBorder="1"/>
    <xf numFmtId="168" fontId="46" fillId="32" borderId="106" xfId="30" applyNumberFormat="1" applyFont="1" applyFill="1" applyBorder="1"/>
    <xf numFmtId="168" fontId="46" fillId="32" borderId="107" xfId="30" applyNumberFormat="1" applyFont="1" applyFill="1" applyBorder="1"/>
    <xf numFmtId="168" fontId="6" fillId="30" borderId="44" xfId="0" applyNumberFormat="1" applyFont="1" applyFill="1" applyBorder="1" applyAlignment="1">
      <alignment horizontal="left" vertical="center" wrapText="1"/>
    </xf>
    <xf numFmtId="168" fontId="6" fillId="30" borderId="83" xfId="0" applyNumberFormat="1" applyFont="1" applyFill="1" applyBorder="1" applyAlignment="1">
      <alignment horizontal="left" vertical="center" wrapText="1"/>
    </xf>
    <xf numFmtId="168" fontId="6" fillId="30" borderId="46" xfId="0" applyNumberFormat="1" applyFont="1" applyFill="1" applyBorder="1" applyAlignment="1">
      <alignment horizontal="left" vertical="center" wrapText="1"/>
    </xf>
    <xf numFmtId="168" fontId="6" fillId="30" borderId="61" xfId="0" applyNumberFormat="1" applyFont="1" applyFill="1" applyBorder="1" applyAlignment="1">
      <alignment horizontal="left" vertical="center" wrapText="1"/>
    </xf>
    <xf numFmtId="168" fontId="12" fillId="35" borderId="46" xfId="30" applyNumberFormat="1" applyFont="1" applyFill="1" applyBorder="1"/>
    <xf numFmtId="0" fontId="3" fillId="22" borderId="36" xfId="0" applyFont="1" applyFill="1" applyBorder="1" applyAlignment="1" applyProtection="1">
      <alignment vertical="center" wrapText="1"/>
      <protection locked="0"/>
    </xf>
    <xf numFmtId="0" fontId="3" fillId="22" borderId="35" xfId="0" applyFont="1" applyFill="1" applyBorder="1" applyAlignment="1" applyProtection="1">
      <alignment vertical="center" wrapText="1"/>
      <protection locked="0"/>
    </xf>
    <xf numFmtId="0" fontId="48" fillId="36" borderId="97" xfId="0" applyFont="1" applyFill="1" applyBorder="1" applyAlignment="1">
      <alignment horizontal="center" vertical="center" wrapText="1"/>
    </xf>
    <xf numFmtId="0" fontId="3" fillId="39" borderId="18" xfId="0" applyFont="1" applyFill="1" applyBorder="1" applyAlignment="1">
      <alignment horizontal="center" vertical="center" wrapText="1"/>
    </xf>
    <xf numFmtId="168" fontId="3" fillId="32" borderId="19" xfId="30" applyNumberFormat="1" applyFont="1" applyFill="1" applyBorder="1"/>
    <xf numFmtId="168" fontId="3" fillId="32" borderId="0" xfId="30" applyNumberFormat="1" applyFont="1" applyFill="1" applyBorder="1"/>
    <xf numFmtId="168" fontId="3" fillId="32" borderId="71" xfId="30" applyNumberFormat="1" applyFont="1" applyFill="1" applyBorder="1"/>
    <xf numFmtId="168" fontId="3" fillId="32" borderId="99" xfId="30" applyNumberFormat="1" applyFont="1" applyFill="1" applyBorder="1"/>
    <xf numFmtId="168" fontId="3" fillId="32" borderId="21" xfId="30" applyNumberFormat="1" applyFont="1" applyFill="1" applyBorder="1"/>
    <xf numFmtId="168" fontId="3" fillId="32" borderId="22" xfId="30" applyNumberFormat="1" applyFont="1" applyFill="1" applyBorder="1"/>
    <xf numFmtId="0" fontId="6" fillId="34" borderId="36" xfId="0" applyFont="1" applyFill="1" applyBorder="1" applyAlignment="1" applyProtection="1">
      <alignment horizontal="left" vertical="center" wrapText="1"/>
      <protection locked="0"/>
    </xf>
    <xf numFmtId="168" fontId="3" fillId="32" borderId="23" xfId="30" applyNumberFormat="1" applyFont="1" applyFill="1" applyBorder="1"/>
    <xf numFmtId="168" fontId="46" fillId="32" borderId="111" xfId="30" applyNumberFormat="1" applyFont="1" applyFill="1" applyBorder="1"/>
    <xf numFmtId="168" fontId="46" fillId="32" borderId="112" xfId="30" applyNumberFormat="1" applyFont="1" applyFill="1" applyBorder="1"/>
    <xf numFmtId="168" fontId="6" fillId="30" borderId="64" xfId="0" applyNumberFormat="1" applyFont="1" applyFill="1" applyBorder="1" applyAlignment="1">
      <alignment horizontal="left" vertical="center" wrapText="1"/>
    </xf>
    <xf numFmtId="168" fontId="12" fillId="35" borderId="64" xfId="30" applyNumberFormat="1" applyFont="1" applyFill="1" applyBorder="1"/>
    <xf numFmtId="168" fontId="6" fillId="30" borderId="91" xfId="0" applyNumberFormat="1" applyFont="1" applyFill="1" applyBorder="1" applyAlignment="1">
      <alignment horizontal="left" vertical="center" wrapText="1"/>
    </xf>
    <xf numFmtId="168" fontId="12" fillId="35" borderId="48" xfId="30" applyNumberFormat="1" applyFont="1" applyFill="1" applyBorder="1"/>
    <xf numFmtId="168" fontId="12" fillId="35" borderId="65" xfId="30" applyNumberFormat="1" applyFont="1" applyFill="1" applyBorder="1"/>
    <xf numFmtId="168" fontId="12" fillId="35" borderId="68" xfId="30" applyNumberFormat="1" applyFont="1" applyFill="1" applyBorder="1"/>
    <xf numFmtId="168" fontId="6" fillId="49" borderId="57" xfId="0" applyNumberFormat="1" applyFont="1" applyFill="1" applyBorder="1" applyAlignment="1">
      <alignment horizontal="left" vertical="center" wrapText="1"/>
    </xf>
    <xf numFmtId="168" fontId="3" fillId="30" borderId="57" xfId="30" applyNumberFormat="1" applyFont="1" applyFill="1" applyBorder="1"/>
    <xf numFmtId="0" fontId="3" fillId="22" borderId="52" xfId="0" applyFont="1" applyFill="1" applyBorder="1" applyAlignment="1" applyProtection="1">
      <alignment vertical="center" wrapText="1"/>
      <protection locked="0"/>
    </xf>
    <xf numFmtId="0" fontId="3" fillId="22" borderId="53" xfId="0" applyFont="1" applyFill="1" applyBorder="1" applyAlignment="1" applyProtection="1">
      <alignment vertical="center" wrapText="1"/>
      <protection locked="0"/>
    </xf>
    <xf numFmtId="0" fontId="46" fillId="0" borderId="0" xfId="0" applyFont="1" applyFill="1"/>
    <xf numFmtId="0" fontId="46" fillId="0" borderId="0" xfId="0" applyFont="1" applyFill="1" applyBorder="1"/>
    <xf numFmtId="0" fontId="46" fillId="0" borderId="0" xfId="0" applyFont="1"/>
    <xf numFmtId="0" fontId="46" fillId="0" borderId="0" xfId="0" applyFont="1" applyAlignment="1">
      <alignment horizontal="right"/>
    </xf>
    <xf numFmtId="168" fontId="46" fillId="39" borderId="0" xfId="30" applyNumberFormat="1" applyFont="1" applyFill="1" applyBorder="1" applyAlignment="1">
      <alignment horizontal="right"/>
    </xf>
    <xf numFmtId="168" fontId="13" fillId="0" borderId="0" xfId="30" applyNumberFormat="1" applyFont="1" applyFill="1" applyBorder="1" applyAlignment="1">
      <alignment horizontal="right"/>
    </xf>
    <xf numFmtId="0" fontId="3" fillId="0" borderId="0" xfId="0" applyFont="1" applyAlignment="1">
      <alignment horizontal="right"/>
    </xf>
    <xf numFmtId="0" fontId="3" fillId="0" borderId="0" xfId="0" applyFont="1" applyFill="1" applyBorder="1" applyAlignment="1">
      <alignment horizontal="right"/>
    </xf>
    <xf numFmtId="168" fontId="3" fillId="32" borderId="43" xfId="30" applyNumberFormat="1" applyFont="1" applyFill="1" applyBorder="1"/>
    <xf numFmtId="0" fontId="0" fillId="52" borderId="21" xfId="0" applyFill="1" applyBorder="1"/>
    <xf numFmtId="0" fontId="0" fillId="52" borderId="22" xfId="0" applyFill="1" applyBorder="1"/>
    <xf numFmtId="0" fontId="48" fillId="36" borderId="61" xfId="0" applyFont="1" applyFill="1" applyBorder="1" applyAlignment="1">
      <alignment horizontal="center" vertical="center"/>
    </xf>
    <xf numFmtId="0" fontId="66" fillId="36" borderId="61" xfId="0" applyFont="1" applyFill="1" applyBorder="1" applyAlignment="1">
      <alignment horizontal="center" vertical="center"/>
    </xf>
    <xf numFmtId="0" fontId="3" fillId="25" borderId="34" xfId="0" applyFont="1" applyFill="1" applyBorder="1" applyAlignment="1" applyProtection="1">
      <alignment horizontal="center" vertical="center" wrapText="1"/>
      <protection locked="0"/>
    </xf>
    <xf numFmtId="0" fontId="3" fillId="25" borderId="34" xfId="0" applyFont="1" applyFill="1" applyBorder="1" applyAlignment="1" applyProtection="1">
      <alignment vertical="center" wrapText="1"/>
      <protection locked="0"/>
    </xf>
    <xf numFmtId="0" fontId="64" fillId="37" borderId="61" xfId="0" applyFont="1" applyFill="1" applyBorder="1" applyAlignment="1">
      <alignment horizontal="center" vertical="center" wrapText="1"/>
    </xf>
    <xf numFmtId="0" fontId="64" fillId="42" borderId="61" xfId="0" applyFont="1" applyFill="1" applyBorder="1" applyAlignment="1">
      <alignment horizontal="center" vertical="center" wrapText="1"/>
    </xf>
    <xf numFmtId="0" fontId="3" fillId="25" borderId="42" xfId="0" applyFont="1" applyFill="1" applyBorder="1" applyAlignment="1" applyProtection="1">
      <alignment vertical="center" wrapText="1"/>
      <protection locked="0"/>
    </xf>
    <xf numFmtId="168" fontId="3" fillId="18" borderId="44" xfId="30" applyNumberFormat="1" applyFont="1" applyFill="1" applyBorder="1"/>
    <xf numFmtId="168" fontId="3" fillId="18" borderId="83" xfId="30" applyNumberFormat="1" applyFont="1" applyFill="1" applyBorder="1"/>
    <xf numFmtId="168" fontId="3" fillId="18" borderId="62" xfId="30" applyNumberFormat="1" applyFont="1" applyFill="1" applyBorder="1"/>
    <xf numFmtId="168" fontId="3" fillId="18" borderId="65" xfId="30" applyNumberFormat="1" applyFont="1" applyFill="1" applyBorder="1"/>
    <xf numFmtId="168" fontId="3" fillId="18" borderId="56" xfId="30" applyNumberFormat="1" applyFont="1" applyFill="1" applyBorder="1"/>
    <xf numFmtId="168" fontId="3" fillId="18" borderId="63" xfId="30" applyNumberFormat="1" applyFont="1" applyFill="1" applyBorder="1"/>
    <xf numFmtId="168" fontId="46" fillId="30" borderId="43" xfId="30" applyNumberFormat="1" applyFont="1" applyFill="1" applyBorder="1" applyAlignment="1">
      <alignment horizontal="right"/>
    </xf>
    <xf numFmtId="168" fontId="3" fillId="18" borderId="43" xfId="30" applyNumberFormat="1" applyFont="1" applyFill="1" applyBorder="1"/>
    <xf numFmtId="168" fontId="46" fillId="31" borderId="43" xfId="30" applyNumberFormat="1" applyFont="1" applyFill="1" applyBorder="1" applyAlignment="1">
      <alignment horizontal="right"/>
    </xf>
    <xf numFmtId="168" fontId="46" fillId="18" borderId="43" xfId="30" applyNumberFormat="1" applyFont="1" applyFill="1" applyBorder="1" applyAlignment="1">
      <alignment horizontal="right"/>
    </xf>
    <xf numFmtId="168" fontId="46" fillId="31" borderId="106" xfId="30" applyNumberFormat="1" applyFont="1" applyFill="1" applyBorder="1" applyAlignment="1">
      <alignment horizontal="right"/>
    </xf>
    <xf numFmtId="0" fontId="3" fillId="25" borderId="120" xfId="0" applyFont="1" applyFill="1" applyBorder="1" applyAlignment="1" applyProtection="1">
      <alignment vertical="center" wrapText="1"/>
      <protection locked="0"/>
    </xf>
    <xf numFmtId="168" fontId="46" fillId="25" borderId="119" xfId="30" applyNumberFormat="1" applyFont="1" applyFill="1" applyBorder="1" applyAlignment="1">
      <alignment horizontal="right"/>
    </xf>
    <xf numFmtId="168" fontId="3" fillId="30" borderId="83" xfId="30" applyNumberFormat="1" applyFont="1" applyFill="1" applyBorder="1" applyAlignment="1">
      <alignment horizontal="right"/>
    </xf>
    <xf numFmtId="168" fontId="46" fillId="31" borderId="109" xfId="30" applyNumberFormat="1" applyFont="1" applyFill="1" applyBorder="1" applyAlignment="1">
      <alignment horizontal="right"/>
    </xf>
    <xf numFmtId="168" fontId="46" fillId="25" borderId="116" xfId="30" applyNumberFormat="1" applyFont="1" applyFill="1" applyBorder="1" applyAlignment="1">
      <alignment horizontal="right"/>
    </xf>
    <xf numFmtId="0" fontId="11" fillId="32" borderId="23" xfId="0" applyFont="1" applyFill="1" applyBorder="1" applyAlignment="1">
      <alignment vertical="center"/>
    </xf>
    <xf numFmtId="168" fontId="3" fillId="32" borderId="64" xfId="30" applyNumberFormat="1" applyFont="1" applyFill="1" applyBorder="1"/>
    <xf numFmtId="168" fontId="3" fillId="39" borderId="44" xfId="30" applyNumberFormat="1" applyFont="1" applyFill="1" applyBorder="1"/>
    <xf numFmtId="168" fontId="46" fillId="39" borderId="19" xfId="30" applyNumberFormat="1" applyFont="1" applyFill="1" applyBorder="1" applyAlignment="1">
      <alignment horizontal="right"/>
    </xf>
    <xf numFmtId="168" fontId="46" fillId="25" borderId="121" xfId="30" applyNumberFormat="1" applyFont="1" applyFill="1" applyBorder="1" applyAlignment="1">
      <alignment horizontal="right"/>
    </xf>
    <xf numFmtId="168" fontId="3" fillId="25" borderId="46" xfId="0" applyNumberFormat="1" applyFont="1" applyFill="1" applyBorder="1"/>
    <xf numFmtId="168" fontId="46" fillId="31" borderId="112" xfId="30" applyNumberFormat="1" applyFont="1" applyFill="1" applyBorder="1" applyAlignment="1">
      <alignment horizontal="right"/>
    </xf>
    <xf numFmtId="0" fontId="46" fillId="34" borderId="123" xfId="0" applyFont="1" applyFill="1" applyBorder="1" applyAlignment="1">
      <alignment horizontal="left" vertical="center" wrapText="1" indent="4"/>
    </xf>
    <xf numFmtId="0" fontId="51" fillId="34" borderId="123" xfId="0" applyFont="1" applyFill="1" applyBorder="1" applyAlignment="1">
      <alignment horizontal="left" vertical="center" wrapText="1"/>
    </xf>
    <xf numFmtId="0" fontId="51" fillId="34" borderId="93" xfId="0" applyFont="1" applyFill="1" applyBorder="1" applyAlignment="1">
      <alignment horizontal="left"/>
    </xf>
    <xf numFmtId="168" fontId="46" fillId="31" borderId="108" xfId="30" applyNumberFormat="1" applyFont="1" applyFill="1" applyBorder="1" applyAlignment="1">
      <alignment horizontal="right"/>
    </xf>
    <xf numFmtId="168" fontId="3" fillId="25" borderId="64" xfId="0" applyNumberFormat="1" applyFont="1" applyFill="1" applyBorder="1"/>
    <xf numFmtId="168" fontId="3" fillId="30" borderId="44" xfId="30" applyNumberFormat="1" applyFont="1" applyFill="1" applyBorder="1"/>
    <xf numFmtId="168" fontId="3" fillId="30" borderId="91" xfId="30" applyNumberFormat="1" applyFont="1" applyFill="1" applyBorder="1"/>
    <xf numFmtId="168" fontId="3" fillId="30" borderId="83" xfId="30" applyNumberFormat="1" applyFont="1" applyFill="1" applyBorder="1"/>
    <xf numFmtId="168" fontId="46" fillId="25" borderId="126" xfId="30" applyNumberFormat="1" applyFont="1" applyFill="1" applyBorder="1" applyAlignment="1">
      <alignment horizontal="right"/>
    </xf>
    <xf numFmtId="168" fontId="46" fillId="18" borderId="105" xfId="30" applyNumberFormat="1" applyFont="1" applyFill="1" applyBorder="1" applyAlignment="1">
      <alignment horizontal="right"/>
    </xf>
    <xf numFmtId="168" fontId="46" fillId="31" borderId="105" xfId="30" applyNumberFormat="1" applyFont="1" applyFill="1" applyBorder="1" applyAlignment="1">
      <alignment horizontal="right"/>
    </xf>
    <xf numFmtId="168" fontId="46" fillId="30" borderId="111" xfId="30" applyNumberFormat="1" applyFont="1" applyFill="1" applyBorder="1" applyAlignment="1">
      <alignment horizontal="right"/>
    </xf>
    <xf numFmtId="0" fontId="3" fillId="25" borderId="26" xfId="0" applyFont="1" applyFill="1" applyBorder="1" applyAlignment="1" applyProtection="1">
      <alignment vertical="center" wrapText="1"/>
      <protection locked="0"/>
    </xf>
    <xf numFmtId="0" fontId="64" fillId="37" borderId="68" xfId="0" applyFont="1" applyFill="1" applyBorder="1" applyAlignment="1">
      <alignment horizontal="center" vertical="center" wrapText="1"/>
    </xf>
    <xf numFmtId="168" fontId="46" fillId="31" borderId="107" xfId="30" applyNumberFormat="1" applyFont="1" applyFill="1" applyBorder="1" applyAlignment="1">
      <alignment horizontal="right"/>
    </xf>
    <xf numFmtId="168" fontId="46" fillId="18" borderId="111" xfId="30" applyNumberFormat="1" applyFont="1" applyFill="1" applyBorder="1" applyAlignment="1">
      <alignment horizontal="right"/>
    </xf>
    <xf numFmtId="168" fontId="46" fillId="31" borderId="111" xfId="30" applyNumberFormat="1" applyFont="1" applyFill="1" applyBorder="1" applyAlignment="1">
      <alignment horizontal="right"/>
    </xf>
    <xf numFmtId="168" fontId="3" fillId="30" borderId="63" xfId="30" applyNumberFormat="1" applyFont="1" applyFill="1" applyBorder="1"/>
    <xf numFmtId="168" fontId="46" fillId="30" borderId="108" xfId="30" applyNumberFormat="1" applyFont="1" applyFill="1" applyBorder="1" applyAlignment="1">
      <alignment horizontal="right"/>
    </xf>
    <xf numFmtId="0" fontId="0" fillId="0" borderId="74" xfId="0" applyBorder="1"/>
    <xf numFmtId="168" fontId="3" fillId="30" borderId="64" xfId="30" applyNumberFormat="1" applyFont="1" applyFill="1" applyBorder="1"/>
    <xf numFmtId="168" fontId="46" fillId="25" borderId="124" xfId="30" applyNumberFormat="1" applyFont="1" applyFill="1" applyBorder="1" applyAlignment="1">
      <alignment horizontal="right"/>
    </xf>
    <xf numFmtId="168" fontId="46" fillId="30" borderId="105" xfId="30" applyNumberFormat="1" applyFont="1" applyFill="1" applyBorder="1" applyAlignment="1">
      <alignment horizontal="right"/>
    </xf>
    <xf numFmtId="168" fontId="3" fillId="39" borderId="83" xfId="30" applyNumberFormat="1" applyFont="1" applyFill="1" applyBorder="1"/>
    <xf numFmtId="0" fontId="11" fillId="32" borderId="22" xfId="0" applyFont="1" applyFill="1" applyBorder="1" applyAlignment="1">
      <alignment vertical="center"/>
    </xf>
    <xf numFmtId="168" fontId="3" fillId="0" borderId="0" xfId="30" applyNumberFormat="1" applyFont="1" applyFill="1" applyBorder="1"/>
    <xf numFmtId="168" fontId="3" fillId="32" borderId="61" xfId="30" applyNumberFormat="1" applyFont="1" applyFill="1" applyBorder="1" applyAlignment="1">
      <alignment horizontal="right"/>
    </xf>
    <xf numFmtId="168" fontId="3" fillId="32" borderId="64" xfId="30" applyNumberFormat="1" applyFont="1" applyFill="1" applyBorder="1" applyAlignment="1">
      <alignment horizontal="right"/>
    </xf>
    <xf numFmtId="168" fontId="3" fillId="18" borderId="61" xfId="30" applyNumberFormat="1" applyFont="1" applyFill="1" applyBorder="1"/>
    <xf numFmtId="168" fontId="3" fillId="18" borderId="46" xfId="30" applyNumberFormat="1" applyFont="1" applyFill="1" applyBorder="1"/>
    <xf numFmtId="168" fontId="3" fillId="18" borderId="64" xfId="30" applyNumberFormat="1" applyFont="1" applyFill="1" applyBorder="1"/>
    <xf numFmtId="168" fontId="3" fillId="18" borderId="61" xfId="30" applyNumberFormat="1" applyFont="1" applyFill="1" applyBorder="1" applyAlignment="1">
      <alignment horizontal="right"/>
    </xf>
    <xf numFmtId="168" fontId="3" fillId="39" borderId="46" xfId="30" applyNumberFormat="1" applyFont="1" applyFill="1" applyBorder="1"/>
    <xf numFmtId="168" fontId="3" fillId="39" borderId="61" xfId="30" applyNumberFormat="1" applyFont="1" applyFill="1" applyBorder="1"/>
    <xf numFmtId="168" fontId="3" fillId="39" borderId="64" xfId="30" applyNumberFormat="1" applyFont="1" applyFill="1" applyBorder="1"/>
    <xf numFmtId="168" fontId="3" fillId="30" borderId="61" xfId="30" applyNumberFormat="1" applyFont="1" applyFill="1" applyBorder="1" applyAlignment="1">
      <alignment horizontal="right"/>
    </xf>
    <xf numFmtId="168" fontId="3" fillId="39" borderId="61" xfId="30" applyNumberFormat="1" applyFont="1" applyFill="1" applyBorder="1" applyAlignment="1">
      <alignment horizontal="right"/>
    </xf>
    <xf numFmtId="168" fontId="3" fillId="25" borderId="61" xfId="30" applyNumberFormat="1" applyFont="1" applyFill="1" applyBorder="1"/>
    <xf numFmtId="168" fontId="3" fillId="39" borderId="0" xfId="30" applyNumberFormat="1" applyFont="1" applyFill="1" applyBorder="1"/>
    <xf numFmtId="168" fontId="3" fillId="39" borderId="99" xfId="30" applyNumberFormat="1" applyFont="1" applyFill="1" applyBorder="1"/>
    <xf numFmtId="168" fontId="3" fillId="39" borderId="19" xfId="30" applyNumberFormat="1" applyFont="1" applyFill="1" applyBorder="1"/>
    <xf numFmtId="168" fontId="3" fillId="39" borderId="71" xfId="30" applyNumberFormat="1" applyFont="1" applyFill="1" applyBorder="1"/>
    <xf numFmtId="168" fontId="3" fillId="25" borderId="46" xfId="30" applyNumberFormat="1" applyFont="1" applyFill="1" applyBorder="1"/>
    <xf numFmtId="0" fontId="0" fillId="0" borderId="0" xfId="0"/>
    <xf numFmtId="0" fontId="3" fillId="0" borderId="0" xfId="0" applyFont="1"/>
    <xf numFmtId="0" fontId="3" fillId="18" borderId="61" xfId="30" applyNumberFormat="1" applyFont="1" applyFill="1" applyBorder="1"/>
    <xf numFmtId="168" fontId="3" fillId="25" borderId="61" xfId="0" applyNumberFormat="1" applyFont="1" applyFill="1" applyBorder="1"/>
    <xf numFmtId="0" fontId="3" fillId="25" borderId="61" xfId="0" applyNumberFormat="1" applyFont="1" applyFill="1" applyBorder="1"/>
    <xf numFmtId="168" fontId="3" fillId="32" borderId="46" xfId="30" applyNumberFormat="1" applyFont="1" applyFill="1" applyBorder="1"/>
    <xf numFmtId="168" fontId="3" fillId="32" borderId="61" xfId="30" applyNumberFormat="1" applyFont="1" applyFill="1" applyBorder="1"/>
    <xf numFmtId="168" fontId="3" fillId="25" borderId="64" xfId="30" applyNumberFormat="1" applyFont="1" applyFill="1" applyBorder="1"/>
    <xf numFmtId="0" fontId="3" fillId="22" borderId="46" xfId="0" applyFont="1" applyFill="1" applyBorder="1" applyAlignment="1" applyProtection="1">
      <alignment vertical="center" wrapText="1"/>
      <protection locked="0"/>
    </xf>
    <xf numFmtId="0" fontId="6" fillId="34" borderId="0" xfId="0" applyFont="1" applyFill="1" applyBorder="1"/>
    <xf numFmtId="0" fontId="3" fillId="34" borderId="0" xfId="0" applyFont="1" applyFill="1" applyBorder="1"/>
    <xf numFmtId="0" fontId="3" fillId="34" borderId="0" xfId="0" applyFont="1" applyFill="1" applyBorder="1" applyAlignment="1">
      <alignment vertical="top" wrapText="1"/>
    </xf>
    <xf numFmtId="0" fontId="6" fillId="34" borderId="0" xfId="0" applyFont="1" applyFill="1"/>
    <xf numFmtId="0" fontId="3" fillId="34" borderId="0" xfId="0" applyFont="1" applyFill="1" applyAlignment="1">
      <alignment wrapText="1"/>
    </xf>
    <xf numFmtId="0" fontId="6" fillId="34" borderId="0" xfId="0" applyFont="1" applyFill="1" applyBorder="1" applyAlignment="1">
      <alignment wrapText="1"/>
    </xf>
    <xf numFmtId="0" fontId="3" fillId="34" borderId="0" xfId="0" applyFont="1" applyFill="1" applyBorder="1" applyAlignment="1">
      <alignment wrapText="1"/>
    </xf>
    <xf numFmtId="0" fontId="15" fillId="34" borderId="0" xfId="0" applyNumberFormat="1" applyFont="1" applyFill="1"/>
    <xf numFmtId="0" fontId="13" fillId="34" borderId="0" xfId="0" applyFont="1" applyFill="1"/>
    <xf numFmtId="0" fontId="15" fillId="19" borderId="0" xfId="0" applyFont="1" applyFill="1" applyBorder="1" applyAlignment="1" applyProtection="1">
      <alignment vertical="center"/>
      <protection locked="0"/>
    </xf>
    <xf numFmtId="0" fontId="3" fillId="34" borderId="94" xfId="0" applyFont="1" applyFill="1" applyBorder="1" applyAlignment="1">
      <alignment horizontal="left" vertical="center" wrapText="1" indent="4"/>
    </xf>
    <xf numFmtId="0" fontId="6" fillId="34" borderId="94" xfId="0" applyFont="1" applyFill="1" applyBorder="1" applyAlignment="1">
      <alignment horizontal="left" vertical="center" wrapText="1"/>
    </xf>
    <xf numFmtId="168" fontId="3" fillId="18" borderId="57" xfId="30" applyNumberFormat="1" applyFont="1" applyFill="1" applyBorder="1"/>
    <xf numFmtId="0" fontId="6" fillId="34" borderId="46" xfId="0" applyFont="1" applyFill="1" applyBorder="1"/>
    <xf numFmtId="168" fontId="6" fillId="39" borderId="61" xfId="0" applyNumberFormat="1" applyFont="1" applyFill="1" applyBorder="1" applyAlignment="1">
      <alignment horizontal="left" vertical="center" wrapText="1"/>
    </xf>
    <xf numFmtId="168" fontId="6" fillId="39" borderId="62" xfId="0" applyNumberFormat="1" applyFont="1" applyFill="1" applyBorder="1" applyAlignment="1">
      <alignment horizontal="left" vertical="center" wrapText="1"/>
    </xf>
    <xf numFmtId="168" fontId="6" fillId="39" borderId="64" xfId="0" applyNumberFormat="1" applyFont="1" applyFill="1" applyBorder="1" applyAlignment="1">
      <alignment horizontal="left" vertical="center" wrapText="1"/>
    </xf>
    <xf numFmtId="0" fontId="0" fillId="25" borderId="74" xfId="0" applyFill="1" applyBorder="1"/>
    <xf numFmtId="0" fontId="0" fillId="25" borderId="92" xfId="0" applyFill="1" applyBorder="1"/>
    <xf numFmtId="168" fontId="6" fillId="39" borderId="87" xfId="0" applyNumberFormat="1" applyFont="1" applyFill="1" applyBorder="1" applyAlignment="1">
      <alignment horizontal="left" vertical="center" wrapText="1"/>
    </xf>
    <xf numFmtId="0" fontId="3" fillId="34" borderId="51" xfId="0" applyFont="1" applyFill="1" applyBorder="1" applyAlignment="1">
      <alignment horizontal="left" vertical="center" wrapText="1" indent="4"/>
    </xf>
    <xf numFmtId="0" fontId="6" fillId="34" borderId="51" xfId="0" applyFont="1" applyFill="1" applyBorder="1" applyAlignment="1">
      <alignment horizontal="left" vertical="center" wrapText="1"/>
    </xf>
    <xf numFmtId="168" fontId="3" fillId="30" borderId="67" xfId="30" applyNumberFormat="1" applyFont="1" applyFill="1" applyBorder="1"/>
    <xf numFmtId="168" fontId="3" fillId="30" borderId="68" xfId="30" applyNumberFormat="1" applyFont="1" applyFill="1" applyBorder="1"/>
    <xf numFmtId="0" fontId="3" fillId="25" borderId="63" xfId="0" applyNumberFormat="1" applyFont="1" applyFill="1" applyBorder="1"/>
    <xf numFmtId="168" fontId="3" fillId="18" borderId="91" xfId="30" applyNumberFormat="1" applyFont="1" applyFill="1" applyBorder="1"/>
    <xf numFmtId="168" fontId="3" fillId="18" borderId="60" xfId="30" applyNumberFormat="1" applyFont="1" applyFill="1" applyBorder="1"/>
    <xf numFmtId="0" fontId="3" fillId="39" borderId="20" xfId="0" applyFont="1" applyFill="1" applyBorder="1" applyAlignment="1">
      <alignment horizontal="center" vertical="center" wrapText="1"/>
    </xf>
    <xf numFmtId="0" fontId="3" fillId="34" borderId="0" xfId="0" applyFont="1" applyFill="1" applyBorder="1" applyAlignment="1">
      <alignment vertical="top"/>
    </xf>
    <xf numFmtId="168" fontId="3" fillId="39" borderId="48" xfId="30" applyNumberFormat="1" applyFont="1" applyFill="1" applyBorder="1"/>
    <xf numFmtId="168" fontId="3" fillId="39" borderId="65" xfId="30" applyNumberFormat="1" applyFont="1" applyFill="1" applyBorder="1"/>
    <xf numFmtId="168" fontId="3" fillId="39" borderId="68" xfId="30" applyNumberFormat="1" applyFont="1" applyFill="1" applyBorder="1"/>
    <xf numFmtId="168" fontId="3" fillId="39" borderId="46" xfId="0" applyNumberFormat="1" applyFont="1" applyFill="1" applyBorder="1"/>
    <xf numFmtId="168" fontId="3" fillId="39" borderId="61" xfId="0" applyNumberFormat="1" applyFont="1" applyFill="1" applyBorder="1"/>
    <xf numFmtId="168" fontId="3" fillId="39" borderId="63" xfId="30" applyNumberFormat="1" applyFont="1" applyFill="1" applyBorder="1"/>
    <xf numFmtId="168" fontId="3" fillId="39" borderId="67" xfId="30" applyNumberFormat="1" applyFont="1" applyFill="1" applyBorder="1"/>
    <xf numFmtId="1" fontId="0" fillId="0" borderId="0" xfId="0" applyNumberFormat="1"/>
    <xf numFmtId="0" fontId="0" fillId="0" borderId="0" xfId="0" applyFill="1" applyBorder="1"/>
    <xf numFmtId="0" fontId="3" fillId="34" borderId="77" xfId="0" applyFont="1" applyFill="1" applyBorder="1" applyAlignment="1">
      <alignment horizontal="left" vertical="center" wrapText="1" indent="4"/>
    </xf>
    <xf numFmtId="0" fontId="6" fillId="34" borderId="77" xfId="0" applyFont="1" applyFill="1" applyBorder="1" applyAlignment="1">
      <alignment horizontal="left" vertical="center" wrapText="1"/>
    </xf>
    <xf numFmtId="168" fontId="49" fillId="25" borderId="73" xfId="30" applyNumberFormat="1" applyFont="1" applyFill="1" applyBorder="1"/>
    <xf numFmtId="0" fontId="3" fillId="18" borderId="64" xfId="30" applyNumberFormat="1" applyFont="1" applyFill="1" applyBorder="1"/>
    <xf numFmtId="0" fontId="3" fillId="25" borderId="64" xfId="0" applyNumberFormat="1" applyFont="1" applyFill="1" applyBorder="1"/>
    <xf numFmtId="168" fontId="3" fillId="25" borderId="63" xfId="0" applyNumberFormat="1" applyFont="1" applyFill="1" applyBorder="1"/>
    <xf numFmtId="0" fontId="0" fillId="34" borderId="23" xfId="0" applyFill="1" applyBorder="1"/>
    <xf numFmtId="0" fontId="0" fillId="34" borderId="24" xfId="0" applyFill="1" applyBorder="1"/>
    <xf numFmtId="0" fontId="0" fillId="34" borderId="25" xfId="0" applyFill="1" applyBorder="1"/>
    <xf numFmtId="0" fontId="0" fillId="34" borderId="132" xfId="0" applyFill="1" applyBorder="1"/>
    <xf numFmtId="0" fontId="0" fillId="34" borderId="74" xfId="0" applyFill="1" applyBorder="1"/>
    <xf numFmtId="0" fontId="0" fillId="34" borderId="92" xfId="0" applyFill="1" applyBorder="1"/>
    <xf numFmtId="168" fontId="3" fillId="39" borderId="91" xfId="30" applyNumberFormat="1" applyFont="1" applyFill="1" applyBorder="1"/>
    <xf numFmtId="168" fontId="3" fillId="39" borderId="21" xfId="30" applyNumberFormat="1" applyFont="1" applyFill="1" applyBorder="1"/>
    <xf numFmtId="168" fontId="3" fillId="39" borderId="22" xfId="30" applyNumberFormat="1" applyFont="1" applyFill="1" applyBorder="1"/>
    <xf numFmtId="168" fontId="3" fillId="39" borderId="23" xfId="30" applyNumberFormat="1" applyFont="1" applyFill="1" applyBorder="1"/>
    <xf numFmtId="168" fontId="3" fillId="39" borderId="24" xfId="30" applyNumberFormat="1" applyFont="1" applyFill="1" applyBorder="1"/>
    <xf numFmtId="168" fontId="3" fillId="39" borderId="127" xfId="30" applyNumberFormat="1" applyFont="1" applyFill="1" applyBorder="1"/>
    <xf numFmtId="0" fontId="3" fillId="34" borderId="77" xfId="0" applyFont="1" applyFill="1" applyBorder="1" applyAlignment="1">
      <alignment horizontal="left" vertical="center" wrapText="1"/>
    </xf>
    <xf numFmtId="168" fontId="6" fillId="39" borderId="46" xfId="0" applyNumberFormat="1" applyFont="1" applyFill="1" applyBorder="1" applyAlignment="1">
      <alignment horizontal="left" vertical="center" wrapText="1"/>
    </xf>
    <xf numFmtId="168" fontId="6" fillId="39" borderId="63" xfId="0" applyNumberFormat="1" applyFont="1" applyFill="1" applyBorder="1" applyAlignment="1">
      <alignment horizontal="left" vertical="center" wrapText="1"/>
    </xf>
    <xf numFmtId="168" fontId="6" fillId="39" borderId="44" xfId="0" applyNumberFormat="1" applyFont="1" applyFill="1" applyBorder="1" applyAlignment="1">
      <alignment horizontal="left" vertical="center" wrapText="1"/>
    </xf>
    <xf numFmtId="168" fontId="6" fillId="39" borderId="83" xfId="0" applyNumberFormat="1" applyFont="1" applyFill="1" applyBorder="1" applyAlignment="1">
      <alignment horizontal="left" vertical="center" wrapText="1"/>
    </xf>
    <xf numFmtId="168" fontId="6" fillId="39" borderId="91" xfId="0" applyNumberFormat="1" applyFont="1" applyFill="1" applyBorder="1" applyAlignment="1">
      <alignment horizontal="left" vertical="center" wrapText="1"/>
    </xf>
    <xf numFmtId="168" fontId="3" fillId="32" borderId="50" xfId="30" applyNumberFormat="1" applyFont="1" applyFill="1" applyBorder="1"/>
    <xf numFmtId="168" fontId="3" fillId="32" borderId="75" xfId="30" applyNumberFormat="1" applyFont="1" applyFill="1" applyBorder="1"/>
    <xf numFmtId="168" fontId="3" fillId="32" borderId="76" xfId="30" applyNumberFormat="1" applyFont="1" applyFill="1" applyBorder="1"/>
    <xf numFmtId="168" fontId="49" fillId="25" borderId="73" xfId="30" applyNumberFormat="1" applyFont="1" applyFill="1" applyBorder="1" applyAlignment="1"/>
    <xf numFmtId="0" fontId="64" fillId="42" borderId="68" xfId="0" applyFont="1" applyFill="1" applyBorder="1" applyAlignment="1">
      <alignment horizontal="center" vertical="center" wrapText="1"/>
    </xf>
    <xf numFmtId="0" fontId="3" fillId="34" borderId="0" xfId="0" applyFont="1" applyFill="1" applyAlignment="1"/>
    <xf numFmtId="0" fontId="3" fillId="0" borderId="0" xfId="0" applyFont="1" applyFill="1" applyBorder="1" applyAlignment="1" applyProtection="1">
      <alignment wrapText="1"/>
      <protection locked="0"/>
    </xf>
    <xf numFmtId="0" fontId="3" fillId="0" borderId="0" xfId="0" applyFont="1" applyFill="1" applyBorder="1" applyAlignment="1"/>
    <xf numFmtId="0" fontId="3" fillId="22" borderId="80" xfId="0" applyFont="1" applyFill="1" applyBorder="1" applyAlignment="1" applyProtection="1">
      <alignment vertical="center" wrapText="1"/>
      <protection locked="0"/>
    </xf>
    <xf numFmtId="168" fontId="3" fillId="39" borderId="64" xfId="0" applyNumberFormat="1" applyFont="1" applyFill="1" applyBorder="1"/>
    <xf numFmtId="168" fontId="6" fillId="39" borderId="72" xfId="0" applyNumberFormat="1" applyFont="1" applyFill="1" applyBorder="1" applyAlignment="1">
      <alignment horizontal="left" vertical="center" wrapText="1"/>
    </xf>
    <xf numFmtId="168" fontId="6" fillId="39" borderId="86" xfId="0" applyNumberFormat="1" applyFont="1" applyFill="1" applyBorder="1" applyAlignment="1">
      <alignment horizontal="left" vertical="center" wrapText="1"/>
    </xf>
    <xf numFmtId="0" fontId="3" fillId="34" borderId="0" xfId="0" applyFont="1" applyFill="1" applyAlignment="1">
      <alignment horizontal="left"/>
    </xf>
    <xf numFmtId="43" fontId="12" fillId="34" borderId="0" xfId="0" applyNumberFormat="1" applyFont="1" applyFill="1" applyBorder="1"/>
    <xf numFmtId="168" fontId="3" fillId="34" borderId="0" xfId="30" applyNumberFormat="1" applyFont="1" applyFill="1" applyBorder="1"/>
    <xf numFmtId="0" fontId="3" fillId="34" borderId="93" xfId="0" applyFont="1" applyFill="1" applyBorder="1" applyAlignment="1">
      <alignment horizontal="left" vertical="center" wrapText="1" indent="4"/>
    </xf>
    <xf numFmtId="0" fontId="64" fillId="37" borderId="81" xfId="0" applyFont="1" applyFill="1" applyBorder="1" applyAlignment="1">
      <alignment horizontal="center" vertical="center" wrapText="1"/>
    </xf>
    <xf numFmtId="168" fontId="3" fillId="39" borderId="66" xfId="30" applyNumberFormat="1" applyFont="1" applyFill="1" applyBorder="1"/>
    <xf numFmtId="43" fontId="6" fillId="30" borderId="61" xfId="0" applyNumberFormat="1" applyFont="1" applyFill="1" applyBorder="1"/>
    <xf numFmtId="43" fontId="6" fillId="30" borderId="65" xfId="0" applyNumberFormat="1" applyFont="1" applyFill="1" applyBorder="1"/>
    <xf numFmtId="43" fontId="6" fillId="30" borderId="48" xfId="0" applyNumberFormat="1" applyFont="1" applyFill="1" applyBorder="1"/>
    <xf numFmtId="43" fontId="6" fillId="30" borderId="68" xfId="0" applyNumberFormat="1" applyFont="1" applyFill="1" applyBorder="1"/>
    <xf numFmtId="43" fontId="6" fillId="30" borderId="82" xfId="0" applyNumberFormat="1" applyFont="1" applyFill="1" applyBorder="1"/>
    <xf numFmtId="43" fontId="6" fillId="30" borderId="80" xfId="0" applyNumberFormat="1" applyFont="1" applyFill="1" applyBorder="1"/>
    <xf numFmtId="43" fontId="6" fillId="30" borderId="85" xfId="0" applyNumberFormat="1" applyFont="1" applyFill="1" applyBorder="1"/>
    <xf numFmtId="43" fontId="6" fillId="30" borderId="46" xfId="0" applyNumberFormat="1" applyFont="1" applyFill="1" applyBorder="1"/>
    <xf numFmtId="43" fontId="6" fillId="30" borderId="64" xfId="0" applyNumberFormat="1" applyFont="1" applyFill="1" applyBorder="1"/>
    <xf numFmtId="43" fontId="6" fillId="30" borderId="61" xfId="0" applyNumberFormat="1" applyFont="1" applyFill="1" applyBorder="1" applyAlignment="1">
      <alignment horizontal="right"/>
    </xf>
    <xf numFmtId="43" fontId="6" fillId="30" borderId="65" xfId="0" applyNumberFormat="1" applyFont="1" applyFill="1" applyBorder="1" applyAlignment="1">
      <alignment horizontal="right"/>
    </xf>
    <xf numFmtId="0" fontId="6" fillId="34" borderId="94" xfId="0" applyFont="1" applyFill="1" applyBorder="1"/>
    <xf numFmtId="0" fontId="6" fillId="34" borderId="95" xfId="0" applyFont="1" applyFill="1" applyBorder="1"/>
    <xf numFmtId="168" fontId="6" fillId="30" borderId="48" xfId="0" applyNumberFormat="1" applyFont="1" applyFill="1" applyBorder="1" applyAlignment="1">
      <alignment horizontal="left" vertical="center" wrapText="1"/>
    </xf>
    <xf numFmtId="168" fontId="6" fillId="30" borderId="65" xfId="0" applyNumberFormat="1" applyFont="1" applyFill="1" applyBorder="1" applyAlignment="1">
      <alignment horizontal="left" vertical="center" wrapText="1"/>
    </xf>
    <xf numFmtId="168" fontId="6" fillId="30" borderId="68" xfId="0" applyNumberFormat="1" applyFont="1" applyFill="1" applyBorder="1" applyAlignment="1">
      <alignment horizontal="left" vertical="center" wrapText="1"/>
    </xf>
    <xf numFmtId="168" fontId="6" fillId="39" borderId="56" xfId="0" applyNumberFormat="1" applyFont="1" applyFill="1" applyBorder="1" applyAlignment="1">
      <alignment horizontal="left" vertical="center" wrapText="1"/>
    </xf>
    <xf numFmtId="168" fontId="6" fillId="39" borderId="57" xfId="0" applyNumberFormat="1" applyFont="1" applyFill="1" applyBorder="1" applyAlignment="1">
      <alignment horizontal="left" vertical="center" wrapText="1"/>
    </xf>
    <xf numFmtId="168" fontId="6" fillId="39" borderId="60" xfId="0" applyNumberFormat="1" applyFont="1" applyFill="1" applyBorder="1" applyAlignment="1">
      <alignment horizontal="left" vertical="center" wrapText="1"/>
    </xf>
    <xf numFmtId="0" fontId="3" fillId="25" borderId="46" xfId="0" applyNumberFormat="1" applyFont="1" applyFill="1" applyBorder="1"/>
    <xf numFmtId="0" fontId="3" fillId="34" borderId="71" xfId="0" applyFont="1" applyFill="1" applyBorder="1" applyAlignment="1">
      <alignment horizontal="left" vertical="center" wrapText="1" indent="4"/>
    </xf>
    <xf numFmtId="168" fontId="6" fillId="30" borderId="65" xfId="0" applyNumberFormat="1" applyFont="1" applyFill="1" applyBorder="1"/>
    <xf numFmtId="168" fontId="6" fillId="30" borderId="68" xfId="0" applyNumberFormat="1" applyFont="1" applyFill="1" applyBorder="1"/>
    <xf numFmtId="168" fontId="6" fillId="30" borderId="48" xfId="0" applyNumberFormat="1" applyFont="1" applyFill="1" applyBorder="1"/>
    <xf numFmtId="0" fontId="6" fillId="41" borderId="65" xfId="0" applyFont="1" applyFill="1" applyBorder="1" applyAlignment="1" applyProtection="1">
      <alignment horizontal="center" vertical="center" wrapText="1"/>
      <protection locked="0"/>
    </xf>
    <xf numFmtId="168" fontId="3" fillId="18" borderId="48" xfId="30" applyNumberFormat="1" applyFont="1" applyFill="1" applyBorder="1"/>
    <xf numFmtId="168" fontId="3" fillId="18" borderId="68" xfId="30" applyNumberFormat="1" applyFont="1" applyFill="1" applyBorder="1"/>
    <xf numFmtId="0" fontId="0" fillId="34" borderId="0" xfId="0" applyFill="1" applyBorder="1"/>
    <xf numFmtId="0" fontId="3" fillId="22" borderId="54" xfId="0" applyFont="1" applyFill="1" applyBorder="1" applyAlignment="1" applyProtection="1">
      <alignment vertical="center" wrapText="1"/>
      <protection locked="0"/>
    </xf>
    <xf numFmtId="167" fontId="3" fillId="33" borderId="61" xfId="0" applyNumberFormat="1" applyFont="1" applyFill="1" applyBorder="1"/>
    <xf numFmtId="0" fontId="3" fillId="21" borderId="61" xfId="0" applyFont="1" applyFill="1" applyBorder="1"/>
    <xf numFmtId="10" fontId="6" fillId="33" borderId="62" xfId="44" applyNumberFormat="1" applyFont="1" applyFill="1" applyBorder="1"/>
    <xf numFmtId="0" fontId="3" fillId="33" borderId="61" xfId="0" applyFont="1" applyFill="1" applyBorder="1"/>
    <xf numFmtId="167" fontId="3" fillId="21" borderId="61" xfId="0" applyNumberFormat="1" applyFont="1" applyFill="1" applyBorder="1"/>
    <xf numFmtId="10" fontId="6" fillId="21" borderId="62" xfId="44" applyNumberFormat="1" applyFont="1" applyFill="1" applyBorder="1"/>
    <xf numFmtId="10" fontId="6" fillId="25" borderId="62" xfId="44" applyNumberFormat="1" applyFont="1" applyFill="1" applyBorder="1"/>
    <xf numFmtId="0" fontId="3" fillId="21" borderId="65" xfId="0" applyFont="1" applyFill="1" applyBorder="1"/>
    <xf numFmtId="10" fontId="6" fillId="25" borderId="66" xfId="44" applyNumberFormat="1" applyFont="1" applyFill="1" applyBorder="1"/>
    <xf numFmtId="0" fontId="3" fillId="32" borderId="83" xfId="0" applyFont="1" applyFill="1" applyBorder="1"/>
    <xf numFmtId="0" fontId="3" fillId="32" borderId="72" xfId="0" applyFont="1" applyFill="1" applyBorder="1"/>
    <xf numFmtId="0" fontId="3" fillId="32" borderId="46" xfId="0" applyFont="1" applyFill="1" applyBorder="1"/>
    <xf numFmtId="0" fontId="3" fillId="32" borderId="61" xfId="0" applyFont="1" applyFill="1" applyBorder="1"/>
    <xf numFmtId="0" fontId="3" fillId="32" borderId="62" xfId="0" applyFont="1" applyFill="1" applyBorder="1"/>
    <xf numFmtId="0" fontId="6" fillId="32" borderId="46" xfId="0" applyFont="1" applyFill="1" applyBorder="1" applyAlignment="1">
      <alignment horizontal="right"/>
    </xf>
    <xf numFmtId="0" fontId="6" fillId="32" borderId="61" xfId="0" applyFont="1" applyFill="1" applyBorder="1" applyAlignment="1">
      <alignment horizontal="right"/>
    </xf>
    <xf numFmtId="0" fontId="3" fillId="32" borderId="61" xfId="0" applyFont="1" applyFill="1" applyBorder="1" applyAlignment="1">
      <alignment wrapText="1"/>
    </xf>
    <xf numFmtId="0" fontId="6" fillId="32" borderId="62" xfId="0" applyFont="1" applyFill="1" applyBorder="1" applyAlignment="1">
      <alignment horizontal="left"/>
    </xf>
    <xf numFmtId="17" fontId="3" fillId="32" borderId="61" xfId="0" applyNumberFormat="1" applyFont="1" applyFill="1" applyBorder="1"/>
    <xf numFmtId="17" fontId="3" fillId="32" borderId="65" xfId="0" applyNumberFormat="1" applyFont="1" applyFill="1" applyBorder="1"/>
    <xf numFmtId="17" fontId="3" fillId="30" borderId="19" xfId="0" applyNumberFormat="1" applyFont="1" applyFill="1" applyBorder="1"/>
    <xf numFmtId="0" fontId="6" fillId="30" borderId="19" xfId="0" applyFont="1" applyFill="1" applyBorder="1"/>
    <xf numFmtId="0" fontId="3" fillId="30" borderId="19" xfId="0" applyFont="1" applyFill="1" applyBorder="1"/>
    <xf numFmtId="0" fontId="68" fillId="30" borderId="19" xfId="0" applyFont="1" applyFill="1" applyBorder="1"/>
    <xf numFmtId="0" fontId="3" fillId="30" borderId="25" xfId="0" applyFont="1" applyFill="1" applyBorder="1"/>
    <xf numFmtId="0" fontId="3" fillId="30" borderId="13" xfId="0" applyFont="1" applyFill="1" applyBorder="1"/>
    <xf numFmtId="10" fontId="3" fillId="33" borderId="61" xfId="44" applyNumberFormat="1" applyFont="1" applyFill="1" applyBorder="1"/>
    <xf numFmtId="10" fontId="3" fillId="21" borderId="61" xfId="44" applyNumberFormat="1" applyFont="1" applyFill="1" applyBorder="1"/>
    <xf numFmtId="10" fontId="3" fillId="21" borderId="62" xfId="44" applyNumberFormat="1" applyFont="1" applyFill="1" applyBorder="1"/>
    <xf numFmtId="178" fontId="0" fillId="21" borderId="61" xfId="0" applyNumberFormat="1" applyFill="1" applyBorder="1"/>
    <xf numFmtId="178" fontId="0" fillId="21" borderId="62" xfId="0" applyNumberFormat="1" applyFill="1" applyBorder="1"/>
    <xf numFmtId="169" fontId="3" fillId="21" borderId="61" xfId="0" applyNumberFormat="1" applyFont="1" applyFill="1" applyBorder="1"/>
    <xf numFmtId="169" fontId="3" fillId="21" borderId="61" xfId="44" applyNumberFormat="1" applyFont="1" applyFill="1" applyBorder="1"/>
    <xf numFmtId="169" fontId="3" fillId="21" borderId="62" xfId="0" applyNumberFormat="1" applyFont="1" applyFill="1" applyBorder="1"/>
    <xf numFmtId="166" fontId="3" fillId="21" borderId="65" xfId="0" applyNumberFormat="1" applyFont="1" applyFill="1" applyBorder="1"/>
    <xf numFmtId="166" fontId="3" fillId="21" borderId="66" xfId="0" applyNumberFormat="1" applyFont="1" applyFill="1" applyBorder="1"/>
    <xf numFmtId="10" fontId="3" fillId="33" borderId="63" xfId="44" applyNumberFormat="1" applyFont="1" applyFill="1" applyBorder="1"/>
    <xf numFmtId="178" fontId="0" fillId="21" borderId="63" xfId="0" applyNumberFormat="1" applyFill="1" applyBorder="1"/>
    <xf numFmtId="169" fontId="3" fillId="21" borderId="63" xfId="0" applyNumberFormat="1" applyFont="1" applyFill="1" applyBorder="1"/>
    <xf numFmtId="166" fontId="3" fillId="21" borderId="67" xfId="0" applyNumberFormat="1" applyFont="1" applyFill="1" applyBorder="1"/>
    <xf numFmtId="17" fontId="3" fillId="30" borderId="13" xfId="0" applyNumberFormat="1" applyFont="1" applyFill="1" applyBorder="1"/>
    <xf numFmtId="0" fontId="6" fillId="30" borderId="13" xfId="0" applyFont="1" applyFill="1" applyBorder="1"/>
    <xf numFmtId="0" fontId="68" fillId="30" borderId="13" xfId="0" applyFont="1" applyFill="1" applyBorder="1"/>
    <xf numFmtId="0" fontId="3" fillId="30" borderId="135" xfId="0" applyFont="1" applyFill="1" applyBorder="1"/>
    <xf numFmtId="0" fontId="3" fillId="30" borderId="138" xfId="0" applyFont="1" applyFill="1" applyBorder="1"/>
    <xf numFmtId="0" fontId="3" fillId="30" borderId="137" xfId="0" applyFont="1" applyFill="1" applyBorder="1"/>
    <xf numFmtId="0" fontId="3" fillId="30" borderId="139" xfId="0" applyFont="1" applyFill="1" applyBorder="1"/>
    <xf numFmtId="172" fontId="3" fillId="30" borderId="140" xfId="0" applyNumberFormat="1" applyFont="1" applyFill="1" applyBorder="1"/>
    <xf numFmtId="172" fontId="3" fillId="30" borderId="99" xfId="0" applyNumberFormat="1" applyFont="1" applyFill="1" applyBorder="1"/>
    <xf numFmtId="172" fontId="3" fillId="30" borderId="141" xfId="0" applyNumberFormat="1" applyFont="1" applyFill="1" applyBorder="1"/>
    <xf numFmtId="0" fontId="6" fillId="32" borderId="59" xfId="0" applyFont="1" applyFill="1" applyBorder="1" applyAlignment="1">
      <alignment horizontal="right"/>
    </xf>
    <xf numFmtId="0" fontId="6" fillId="32" borderId="57" xfId="0" applyFont="1" applyFill="1" applyBorder="1" applyAlignment="1">
      <alignment horizontal="right"/>
    </xf>
    <xf numFmtId="0" fontId="6" fillId="32" borderId="58" xfId="0" applyFont="1" applyFill="1" applyBorder="1" applyAlignment="1">
      <alignment horizontal="right"/>
    </xf>
    <xf numFmtId="17" fontId="3" fillId="32" borderId="46" xfId="0" applyNumberFormat="1" applyFont="1" applyFill="1" applyBorder="1" applyAlignment="1">
      <alignment horizontal="right"/>
    </xf>
    <xf numFmtId="17" fontId="3" fillId="32" borderId="48" xfId="0" applyNumberFormat="1" applyFont="1" applyFill="1" applyBorder="1" applyAlignment="1">
      <alignment horizontal="right"/>
    </xf>
    <xf numFmtId="0" fontId="64" fillId="37" borderId="63" xfId="0" applyFont="1" applyFill="1" applyBorder="1" applyAlignment="1">
      <alignment horizontal="center" vertical="center" wrapText="1"/>
    </xf>
    <xf numFmtId="168" fontId="3" fillId="18" borderId="87" xfId="30" applyNumberFormat="1" applyFont="1" applyFill="1" applyBorder="1"/>
    <xf numFmtId="168" fontId="3" fillId="30" borderId="87" xfId="30" applyNumberFormat="1" applyFont="1" applyFill="1" applyBorder="1"/>
    <xf numFmtId="168" fontId="3" fillId="25" borderId="87" xfId="0" applyNumberFormat="1" applyFont="1" applyFill="1" applyBorder="1"/>
    <xf numFmtId="168" fontId="3" fillId="25" borderId="87" xfId="30" applyNumberFormat="1" applyFont="1" applyFill="1" applyBorder="1"/>
    <xf numFmtId="168" fontId="3" fillId="30" borderId="89" xfId="30" applyNumberFormat="1" applyFont="1" applyFill="1" applyBorder="1"/>
    <xf numFmtId="0" fontId="0" fillId="32" borderId="74" xfId="0" applyFill="1" applyBorder="1"/>
    <xf numFmtId="168" fontId="6" fillId="32" borderId="61" xfId="0" applyNumberFormat="1" applyFont="1" applyFill="1" applyBorder="1" applyAlignment="1">
      <alignment horizontal="left" vertical="center"/>
    </xf>
    <xf numFmtId="168" fontId="6" fillId="32" borderId="87" xfId="0" applyNumberFormat="1" applyFont="1" applyFill="1" applyBorder="1" applyAlignment="1">
      <alignment horizontal="left" vertical="center"/>
    </xf>
    <xf numFmtId="168" fontId="6" fillId="30" borderId="61" xfId="30" applyNumberFormat="1" applyFont="1" applyFill="1" applyBorder="1" applyAlignment="1"/>
    <xf numFmtId="168" fontId="6" fillId="30" borderId="87" xfId="30" applyNumberFormat="1" applyFont="1" applyFill="1" applyBorder="1" applyAlignment="1"/>
    <xf numFmtId="168" fontId="6" fillId="30" borderId="80" xfId="30" applyNumberFormat="1" applyFont="1" applyFill="1" applyBorder="1" applyAlignment="1"/>
    <xf numFmtId="168" fontId="6" fillId="30" borderId="88" xfId="30" applyNumberFormat="1" applyFont="1" applyFill="1" applyBorder="1" applyAlignment="1"/>
    <xf numFmtId="168" fontId="6" fillId="32" borderId="63" xfId="0" applyNumberFormat="1" applyFont="1" applyFill="1" applyBorder="1" applyAlignment="1">
      <alignment horizontal="left" vertical="center"/>
    </xf>
    <xf numFmtId="168" fontId="6" fillId="30" borderId="63" xfId="30" applyNumberFormat="1" applyFont="1" applyFill="1" applyBorder="1" applyAlignment="1"/>
    <xf numFmtId="168" fontId="6" fillId="30" borderId="82" xfId="30" applyNumberFormat="1" applyFont="1" applyFill="1" applyBorder="1" applyAlignment="1"/>
    <xf numFmtId="0" fontId="3" fillId="34" borderId="0"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3" fillId="34" borderId="0" xfId="0" applyFont="1" applyFill="1" applyBorder="1" applyAlignment="1" applyProtection="1">
      <alignment vertical="center" wrapText="1"/>
      <protection locked="0"/>
    </xf>
    <xf numFmtId="43" fontId="13" fillId="34" borderId="0" xfId="0" applyNumberFormat="1" applyFont="1" applyFill="1" applyBorder="1"/>
    <xf numFmtId="168" fontId="13" fillId="34" borderId="0" xfId="30" applyNumberFormat="1" applyFont="1" applyFill="1" applyBorder="1"/>
    <xf numFmtId="0" fontId="3" fillId="34" borderId="0" xfId="0" applyFont="1" applyFill="1" applyBorder="1" applyAlignment="1" applyProtection="1">
      <alignment horizontal="center" vertical="center" wrapText="1"/>
      <protection locked="0"/>
    </xf>
    <xf numFmtId="0" fontId="6" fillId="34" borderId="0" xfId="0" applyFont="1" applyFill="1" applyBorder="1" applyAlignment="1" applyProtection="1">
      <alignment horizontal="left" vertical="center" wrapText="1"/>
      <protection locked="0"/>
    </xf>
    <xf numFmtId="0" fontId="48" fillId="34" borderId="0" xfId="0" applyFont="1" applyFill="1" applyBorder="1" applyAlignment="1" applyProtection="1">
      <alignment horizontal="left" vertical="center" wrapText="1"/>
      <protection locked="0"/>
    </xf>
    <xf numFmtId="1" fontId="0" fillId="34" borderId="0" xfId="0" applyNumberFormat="1" applyFill="1"/>
    <xf numFmtId="168" fontId="6" fillId="39" borderId="56" xfId="0" applyNumberFormat="1" applyFont="1" applyFill="1" applyBorder="1" applyAlignment="1">
      <alignment horizontal="left" vertical="center"/>
    </xf>
    <xf numFmtId="168" fontId="6" fillId="39" borderId="57" xfId="0" applyNumberFormat="1" applyFont="1" applyFill="1" applyBorder="1" applyAlignment="1">
      <alignment horizontal="left" vertical="center"/>
    </xf>
    <xf numFmtId="168" fontId="6" fillId="39" borderId="136" xfId="0" applyNumberFormat="1" applyFont="1" applyFill="1" applyBorder="1" applyAlignment="1">
      <alignment horizontal="left" vertical="center"/>
    </xf>
    <xf numFmtId="168" fontId="6" fillId="39" borderId="46" xfId="0" applyNumberFormat="1" applyFont="1" applyFill="1" applyBorder="1" applyAlignment="1">
      <alignment horizontal="left" vertical="center"/>
    </xf>
    <xf numFmtId="168" fontId="6" fillId="39" borderId="61" xfId="0" applyNumberFormat="1" applyFont="1" applyFill="1" applyBorder="1" applyAlignment="1">
      <alignment horizontal="left" vertical="center"/>
    </xf>
    <xf numFmtId="168" fontId="6" fillId="39" borderId="87" xfId="0" applyNumberFormat="1" applyFont="1" applyFill="1" applyBorder="1" applyAlignment="1">
      <alignment horizontal="left" vertical="center"/>
    </xf>
    <xf numFmtId="168" fontId="6" fillId="30" borderId="46" xfId="30" applyNumberFormat="1" applyFont="1" applyFill="1" applyBorder="1" applyAlignment="1"/>
    <xf numFmtId="168" fontId="6" fillId="30" borderId="64" xfId="30" applyNumberFormat="1" applyFont="1" applyFill="1" applyBorder="1" applyAlignment="1"/>
    <xf numFmtId="168" fontId="6" fillId="30" borderId="48" xfId="30" applyNumberFormat="1" applyFont="1" applyFill="1" applyBorder="1" applyAlignment="1"/>
    <xf numFmtId="168" fontId="6" fillId="30" borderId="65" xfId="30" applyNumberFormat="1" applyFont="1" applyFill="1" applyBorder="1" applyAlignment="1"/>
    <xf numFmtId="168" fontId="6" fillId="30" borderId="89" xfId="30" applyNumberFormat="1" applyFont="1" applyFill="1" applyBorder="1" applyAlignment="1"/>
    <xf numFmtId="168" fontId="6" fillId="30" borderId="68" xfId="30" applyNumberFormat="1" applyFont="1" applyFill="1" applyBorder="1" applyAlignment="1"/>
    <xf numFmtId="168" fontId="3" fillId="30" borderId="48" xfId="30" applyNumberFormat="1" applyFont="1" applyFill="1" applyBorder="1" applyAlignment="1"/>
    <xf numFmtId="168" fontId="3" fillId="30" borderId="65" xfId="30" applyNumberFormat="1" applyFont="1" applyFill="1" applyBorder="1" applyAlignment="1"/>
    <xf numFmtId="168" fontId="3" fillId="30" borderId="68" xfId="30" applyNumberFormat="1" applyFont="1" applyFill="1" applyBorder="1" applyAlignment="1"/>
    <xf numFmtId="174" fontId="3" fillId="18" borderId="83" xfId="30" applyNumberFormat="1" applyFont="1" applyFill="1" applyBorder="1"/>
    <xf numFmtId="174" fontId="3" fillId="18" borderId="61" xfId="30" applyNumberFormat="1" applyFont="1" applyFill="1" applyBorder="1"/>
    <xf numFmtId="0" fontId="64" fillId="32" borderId="36" xfId="0" applyFont="1" applyFill="1" applyBorder="1" applyAlignment="1">
      <alignment vertical="center"/>
    </xf>
    <xf numFmtId="0" fontId="46" fillId="25" borderId="50" xfId="0" applyFont="1" applyFill="1" applyBorder="1" applyAlignment="1" applyProtection="1">
      <alignment horizontal="left" vertical="center" wrapText="1"/>
      <protection locked="0"/>
    </xf>
    <xf numFmtId="0" fontId="46" fillId="25" borderId="51" xfId="0" applyFont="1" applyFill="1" applyBorder="1" applyAlignment="1" applyProtection="1">
      <alignment horizontal="left" vertical="center" wrapText="1"/>
      <protection locked="0"/>
    </xf>
    <xf numFmtId="0" fontId="11" fillId="32" borderId="52" xfId="0" applyFont="1" applyFill="1" applyBorder="1" applyAlignment="1">
      <alignment vertical="center"/>
    </xf>
    <xf numFmtId="0" fontId="11" fillId="32" borderId="53" xfId="0" applyFont="1" applyFill="1" applyBorder="1" applyAlignment="1">
      <alignment vertical="center"/>
    </xf>
    <xf numFmtId="0" fontId="3" fillId="25" borderId="36" xfId="0" applyFont="1" applyFill="1" applyBorder="1" applyAlignment="1" applyProtection="1">
      <alignment vertical="center" wrapText="1"/>
      <protection locked="0"/>
    </xf>
    <xf numFmtId="0" fontId="6" fillId="31" borderId="51" xfId="0" applyFont="1" applyFill="1" applyBorder="1" applyAlignment="1" applyProtection="1">
      <alignment horizontal="left" vertical="center" wrapText="1"/>
      <protection locked="0"/>
    </xf>
    <xf numFmtId="0" fontId="46" fillId="25" borderId="84" xfId="0" applyFont="1" applyFill="1" applyBorder="1" applyAlignment="1" applyProtection="1">
      <alignment horizontal="left" vertical="center" wrapText="1"/>
      <protection locked="0"/>
    </xf>
    <xf numFmtId="168" fontId="3" fillId="18" borderId="79" xfId="30" applyNumberFormat="1" applyFont="1" applyFill="1" applyBorder="1"/>
    <xf numFmtId="168" fontId="3" fillId="18" borderId="80" xfId="30" applyNumberFormat="1" applyFont="1" applyFill="1" applyBorder="1"/>
    <xf numFmtId="174" fontId="3" fillId="18" borderId="80" xfId="30" applyNumberFormat="1" applyFont="1" applyFill="1" applyBorder="1"/>
    <xf numFmtId="0" fontId="46" fillId="25" borderId="71" xfId="0" applyFont="1" applyFill="1" applyBorder="1" applyAlignment="1" applyProtection="1">
      <alignment horizontal="left" vertical="center" wrapText="1"/>
      <protection locked="0"/>
    </xf>
    <xf numFmtId="174" fontId="3" fillId="18" borderId="57" xfId="30" applyNumberFormat="1" applyFont="1" applyFill="1" applyBorder="1"/>
    <xf numFmtId="0" fontId="11" fillId="32" borderId="54" xfId="0" applyFont="1" applyFill="1" applyBorder="1" applyAlignment="1">
      <alignment vertical="center"/>
    </xf>
    <xf numFmtId="168" fontId="3" fillId="18" borderId="81" xfId="30" applyNumberFormat="1" applyFont="1" applyFill="1" applyBorder="1"/>
    <xf numFmtId="174" fontId="3" fillId="18" borderId="44" xfId="30" applyNumberFormat="1" applyFont="1" applyFill="1" applyBorder="1"/>
    <xf numFmtId="174" fontId="3" fillId="18" borderId="91" xfId="30" applyNumberFormat="1" applyFont="1" applyFill="1" applyBorder="1"/>
    <xf numFmtId="174" fontId="3" fillId="18" borderId="46" xfId="30" applyNumberFormat="1" applyFont="1" applyFill="1" applyBorder="1"/>
    <xf numFmtId="174" fontId="3" fillId="18" borderId="64" xfId="30" applyNumberFormat="1" applyFont="1" applyFill="1" applyBorder="1"/>
    <xf numFmtId="174" fontId="3" fillId="18" borderId="79" xfId="30" applyNumberFormat="1" applyFont="1" applyFill="1" applyBorder="1"/>
    <xf numFmtId="174" fontId="3" fillId="18" borderId="81" xfId="30" applyNumberFormat="1" applyFont="1" applyFill="1" applyBorder="1"/>
    <xf numFmtId="174" fontId="3" fillId="18" borderId="56" xfId="30" applyNumberFormat="1" applyFont="1" applyFill="1" applyBorder="1"/>
    <xf numFmtId="174" fontId="3" fillId="18" borderId="60" xfId="30" applyNumberFormat="1" applyFont="1" applyFill="1" applyBorder="1"/>
    <xf numFmtId="0" fontId="6" fillId="30" borderId="69" xfId="0" applyFont="1" applyFill="1" applyBorder="1" applyAlignment="1" applyProtection="1">
      <alignment horizontal="left" vertical="center" wrapText="1"/>
      <protection locked="0"/>
    </xf>
    <xf numFmtId="0" fontId="0" fillId="0" borderId="92" xfId="0" applyBorder="1"/>
    <xf numFmtId="0" fontId="0" fillId="34" borderId="73" xfId="0" applyFill="1" applyBorder="1"/>
    <xf numFmtId="0" fontId="3" fillId="34" borderId="51" xfId="0" applyFont="1" applyFill="1" applyBorder="1" applyAlignment="1">
      <alignment horizontal="left" vertical="center" wrapText="1" indent="1"/>
    </xf>
    <xf numFmtId="0" fontId="6" fillId="34" borderId="71" xfId="0" applyFont="1" applyFill="1" applyBorder="1" applyAlignment="1" applyProtection="1">
      <alignment horizontal="left" vertical="center" wrapText="1"/>
      <protection locked="0"/>
    </xf>
    <xf numFmtId="168" fontId="3" fillId="18" borderId="52" xfId="30" applyNumberFormat="1" applyFont="1" applyFill="1" applyBorder="1"/>
    <xf numFmtId="168" fontId="3" fillId="18" borderId="53" xfId="30" applyNumberFormat="1" applyFont="1" applyFill="1" applyBorder="1"/>
    <xf numFmtId="168" fontId="3" fillId="18" borderId="54" xfId="30" applyNumberFormat="1" applyFont="1" applyFill="1" applyBorder="1"/>
    <xf numFmtId="174" fontId="3" fillId="18" borderId="52" xfId="30" applyNumberFormat="1" applyFont="1" applyFill="1" applyBorder="1"/>
    <xf numFmtId="174" fontId="3" fillId="18" borderId="53" xfId="30" applyNumberFormat="1" applyFont="1" applyFill="1" applyBorder="1"/>
    <xf numFmtId="174" fontId="3" fillId="18" borderId="54" xfId="30" applyNumberFormat="1" applyFont="1" applyFill="1" applyBorder="1"/>
    <xf numFmtId="1" fontId="3" fillId="18" borderId="61" xfId="30" applyNumberFormat="1" applyFont="1" applyFill="1" applyBorder="1"/>
    <xf numFmtId="1" fontId="3" fillId="18" borderId="61" xfId="44" applyNumberFormat="1" applyFont="1" applyFill="1" applyBorder="1"/>
    <xf numFmtId="164" fontId="3" fillId="18" borderId="61" xfId="44" applyNumberFormat="1" applyFont="1" applyFill="1" applyBorder="1"/>
    <xf numFmtId="0" fontId="3" fillId="18" borderId="61" xfId="0" applyFont="1" applyFill="1" applyBorder="1"/>
    <xf numFmtId="0" fontId="8" fillId="34" borderId="0" xfId="0" applyFont="1" applyFill="1"/>
    <xf numFmtId="41" fontId="8" fillId="39" borderId="61" xfId="0" applyNumberFormat="1" applyFont="1" applyFill="1" applyBorder="1"/>
    <xf numFmtId="0" fontId="13" fillId="39" borderId="127" xfId="0" applyFont="1" applyFill="1" applyBorder="1" applyAlignment="1">
      <alignment horizontal="center" vertical="center" wrapText="1"/>
    </xf>
    <xf numFmtId="0" fontId="8" fillId="34" borderId="0" xfId="0" applyFont="1" applyFill="1" applyAlignment="1">
      <alignment horizontal="center" vertical="center"/>
    </xf>
    <xf numFmtId="164" fontId="3" fillId="18" borderId="57" xfId="44" applyNumberFormat="1" applyFont="1" applyFill="1" applyBorder="1"/>
    <xf numFmtId="0" fontId="64" fillId="37" borderId="66" xfId="0" applyFont="1" applyFill="1" applyBorder="1" applyAlignment="1">
      <alignment horizontal="center" vertical="center" wrapText="1"/>
    </xf>
    <xf numFmtId="0" fontId="3" fillId="34" borderId="0" xfId="0" applyFont="1" applyFill="1" applyBorder="1" applyAlignment="1">
      <alignment horizontal="center" vertical="center"/>
    </xf>
    <xf numFmtId="0" fontId="46" fillId="34" borderId="0" xfId="0" applyFont="1" applyFill="1" applyBorder="1" applyAlignment="1">
      <alignment horizontal="center" vertical="center" wrapText="1"/>
    </xf>
    <xf numFmtId="0" fontId="46" fillId="34" borderId="0" xfId="0" applyFont="1" applyFill="1" applyBorder="1" applyAlignment="1" applyProtection="1">
      <alignment horizontal="center" vertical="center" wrapText="1"/>
      <protection locked="0"/>
    </xf>
    <xf numFmtId="164" fontId="3" fillId="34" borderId="0" xfId="44" applyNumberFormat="1" applyFont="1" applyFill="1" applyBorder="1"/>
    <xf numFmtId="0" fontId="8" fillId="34" borderId="0" xfId="0" applyFont="1" applyFill="1" applyBorder="1"/>
    <xf numFmtId="164" fontId="3" fillId="39" borderId="61" xfId="44" applyNumberFormat="1" applyFont="1" applyFill="1" applyBorder="1"/>
    <xf numFmtId="0" fontId="3" fillId="34" borderId="93" xfId="0" applyFont="1" applyFill="1" applyBorder="1" applyAlignment="1">
      <alignment horizontal="left" vertical="center" wrapText="1" indent="1"/>
    </xf>
    <xf numFmtId="0" fontId="3" fillId="34" borderId="94" xfId="0" applyFont="1" applyFill="1" applyBorder="1" applyAlignment="1">
      <alignment horizontal="left" vertical="center" wrapText="1" indent="1"/>
    </xf>
    <xf numFmtId="0" fontId="3" fillId="34" borderId="95" xfId="0" applyFont="1" applyFill="1" applyBorder="1" applyAlignment="1">
      <alignment horizontal="left" vertical="center" wrapText="1" indent="1"/>
    </xf>
    <xf numFmtId="0" fontId="6" fillId="18" borderId="61" xfId="0" applyFont="1" applyFill="1" applyBorder="1" applyAlignment="1">
      <alignment vertical="center" wrapText="1"/>
    </xf>
    <xf numFmtId="0" fontId="6" fillId="18" borderId="61" xfId="0" applyFont="1" applyFill="1" applyBorder="1" applyAlignment="1">
      <alignment vertical="center"/>
    </xf>
    <xf numFmtId="0" fontId="0" fillId="34" borderId="0" xfId="0" applyFill="1"/>
    <xf numFmtId="0" fontId="0" fillId="34" borderId="0" xfId="0" applyFill="1" applyAlignment="1">
      <alignment wrapText="1"/>
    </xf>
    <xf numFmtId="0" fontId="6" fillId="30" borderId="52" xfId="0" applyFont="1" applyFill="1" applyBorder="1"/>
    <xf numFmtId="0" fontId="6" fillId="30" borderId="53" xfId="0" applyFont="1" applyFill="1" applyBorder="1"/>
    <xf numFmtId="0" fontId="6" fillId="30" borderId="54" xfId="0" applyFont="1" applyFill="1" applyBorder="1"/>
    <xf numFmtId="0" fontId="3" fillId="18" borderId="61" xfId="0" applyFont="1" applyFill="1" applyBorder="1" applyAlignment="1" applyProtection="1">
      <alignment horizontal="right" vertical="center" wrapText="1"/>
      <protection locked="0"/>
    </xf>
    <xf numFmtId="0" fontId="3" fillId="18" borderId="62" xfId="0" applyFont="1" applyFill="1" applyBorder="1" applyAlignment="1" applyProtection="1">
      <alignment horizontal="right" vertical="center" wrapText="1"/>
      <protection locked="0"/>
    </xf>
    <xf numFmtId="0" fontId="3" fillId="18" borderId="65" xfId="0" applyFont="1" applyFill="1" applyBorder="1" applyAlignment="1" applyProtection="1">
      <alignment horizontal="right" vertical="center" wrapText="1"/>
      <protection locked="0"/>
    </xf>
    <xf numFmtId="0" fontId="3" fillId="34" borderId="46" xfId="0" applyFont="1" applyFill="1" applyBorder="1" applyAlignment="1">
      <alignment horizontal="left" vertical="center" wrapText="1"/>
    </xf>
    <xf numFmtId="0" fontId="3" fillId="34" borderId="48" xfId="0" applyFont="1" applyFill="1" applyBorder="1" applyAlignment="1">
      <alignment horizontal="left" vertical="center" wrapText="1"/>
    </xf>
    <xf numFmtId="0" fontId="0" fillId="34" borderId="0" xfId="0" applyFill="1"/>
    <xf numFmtId="0" fontId="45" fillId="34" borderId="0" xfId="0" applyFont="1" applyFill="1" applyBorder="1"/>
    <xf numFmtId="0" fontId="3" fillId="34" borderId="0" xfId="0" applyFont="1" applyFill="1" applyBorder="1" applyAlignment="1">
      <alignment vertical="top" wrapText="1"/>
    </xf>
    <xf numFmtId="0" fontId="6" fillId="34" borderId="0" xfId="0" applyFont="1" applyFill="1" applyBorder="1" applyAlignment="1">
      <alignment vertical="top"/>
    </xf>
    <xf numFmtId="0" fontId="0" fillId="34" borderId="0" xfId="0" applyFill="1"/>
    <xf numFmtId="0" fontId="3" fillId="34" borderId="50" xfId="0" applyFont="1" applyFill="1" applyBorder="1" applyAlignment="1">
      <alignment horizontal="left" vertical="center" wrapText="1" indent="1"/>
    </xf>
    <xf numFmtId="0" fontId="3" fillId="34" borderId="69" xfId="0" applyFont="1" applyFill="1" applyBorder="1" applyAlignment="1">
      <alignment horizontal="left" vertical="center" wrapText="1" indent="1"/>
    </xf>
    <xf numFmtId="0" fontId="3" fillId="18" borderId="63" xfId="0" applyFont="1" applyFill="1" applyBorder="1" applyAlignment="1" applyProtection="1">
      <alignment horizontal="right" vertical="center" wrapText="1"/>
      <protection locked="0"/>
    </xf>
    <xf numFmtId="0" fontId="3" fillId="18" borderId="44" xfId="0" applyFont="1" applyFill="1" applyBorder="1" applyAlignment="1" applyProtection="1">
      <alignment horizontal="right" vertical="center" wrapText="1"/>
      <protection locked="0"/>
    </xf>
    <xf numFmtId="0" fontId="3" fillId="18" borderId="83" xfId="0" applyFont="1" applyFill="1" applyBorder="1" applyAlignment="1" applyProtection="1">
      <alignment horizontal="right" vertical="center" wrapText="1"/>
      <protection locked="0"/>
    </xf>
    <xf numFmtId="0" fontId="3" fillId="18" borderId="91" xfId="0" applyFont="1" applyFill="1" applyBorder="1" applyAlignment="1" applyProtection="1">
      <alignment horizontal="right" vertical="center" wrapText="1"/>
      <protection locked="0"/>
    </xf>
    <xf numFmtId="0" fontId="3" fillId="18" borderId="46" xfId="0" applyFont="1" applyFill="1" applyBorder="1" applyAlignment="1" applyProtection="1">
      <alignment horizontal="right" vertical="center" wrapText="1"/>
      <protection locked="0"/>
    </xf>
    <xf numFmtId="0" fontId="3" fillId="18" borderId="64" xfId="0" applyFont="1" applyFill="1" applyBorder="1" applyAlignment="1" applyProtection="1">
      <alignment horizontal="right" vertical="center" wrapText="1"/>
      <protection locked="0"/>
    </xf>
    <xf numFmtId="0" fontId="3" fillId="18" borderId="48" xfId="0" applyFont="1" applyFill="1" applyBorder="1" applyAlignment="1" applyProtection="1">
      <alignment horizontal="right" vertical="center" wrapText="1"/>
      <protection locked="0"/>
    </xf>
    <xf numFmtId="0" fontId="3" fillId="18" borderId="68" xfId="0" applyFont="1" applyFill="1" applyBorder="1" applyAlignment="1" applyProtection="1">
      <alignment horizontal="right" vertical="center" wrapText="1"/>
      <protection locked="0"/>
    </xf>
    <xf numFmtId="0" fontId="3" fillId="18" borderId="46" xfId="0" applyFont="1" applyFill="1" applyBorder="1"/>
    <xf numFmtId="3" fontId="8" fillId="18" borderId="61" xfId="0" applyNumberFormat="1" applyFont="1" applyFill="1" applyBorder="1"/>
    <xf numFmtId="0" fontId="3" fillId="34" borderId="46" xfId="0" applyFont="1" applyFill="1" applyBorder="1" applyAlignment="1">
      <alignment horizontal="left" vertical="center" wrapText="1" indent="2"/>
    </xf>
    <xf numFmtId="41" fontId="13" fillId="30" borderId="65" xfId="0" applyNumberFormat="1" applyFont="1" applyFill="1" applyBorder="1"/>
    <xf numFmtId="0" fontId="6" fillId="39" borderId="44" xfId="0" applyFont="1" applyFill="1" applyBorder="1" applyAlignment="1">
      <alignment horizontal="left" vertical="center" wrapText="1"/>
    </xf>
    <xf numFmtId="3" fontId="8" fillId="18" borderId="46" xfId="0" applyNumberFormat="1" applyFont="1" applyFill="1" applyBorder="1"/>
    <xf numFmtId="0" fontId="41" fillId="18" borderId="0" xfId="0" applyFont="1" applyFill="1" applyBorder="1" applyAlignment="1">
      <alignment horizontal="center" vertical="center"/>
    </xf>
    <xf numFmtId="0" fontId="69" fillId="18" borderId="0" xfId="0" applyFont="1" applyFill="1" applyBorder="1" applyAlignment="1">
      <alignment horizontal="center" vertical="center"/>
    </xf>
    <xf numFmtId="0" fontId="69" fillId="18" borderId="31" xfId="0" applyFont="1" applyFill="1" applyBorder="1" applyAlignment="1">
      <alignment horizontal="center" vertical="center"/>
    </xf>
    <xf numFmtId="0" fontId="69" fillId="0" borderId="0" xfId="0" applyFont="1" applyFill="1" applyBorder="1" applyAlignment="1">
      <alignment horizontal="center" vertical="center"/>
    </xf>
    <xf numFmtId="0" fontId="70" fillId="18" borderId="0" xfId="0" applyFont="1" applyFill="1" applyBorder="1" applyAlignment="1">
      <alignment horizontal="center" vertical="center"/>
    </xf>
    <xf numFmtId="0" fontId="54" fillId="18" borderId="30" xfId="0" applyFont="1" applyFill="1" applyBorder="1" applyAlignment="1">
      <alignment horizontal="center" vertical="center"/>
    </xf>
    <xf numFmtId="0" fontId="54" fillId="18" borderId="0" xfId="0" applyFont="1" applyFill="1" applyBorder="1" applyAlignment="1">
      <alignment horizontal="center" vertical="center"/>
    </xf>
    <xf numFmtId="0" fontId="71" fillId="18" borderId="0" xfId="0" applyFont="1" applyFill="1" applyBorder="1" applyAlignment="1">
      <alignment horizontal="center" vertical="center"/>
    </xf>
    <xf numFmtId="0" fontId="72" fillId="18" borderId="0" xfId="0" applyFont="1" applyFill="1" applyBorder="1" applyAlignment="1">
      <alignment horizontal="center" vertical="center"/>
    </xf>
    <xf numFmtId="0" fontId="54" fillId="0" borderId="0" xfId="0" applyFont="1" applyFill="1" applyBorder="1" applyAlignment="1">
      <alignment horizontal="center" vertical="center"/>
    </xf>
    <xf numFmtId="0" fontId="73" fillId="18" borderId="0" xfId="0" applyFont="1" applyFill="1" applyBorder="1" applyAlignment="1">
      <alignment horizontal="center" vertical="center"/>
    </xf>
    <xf numFmtId="0" fontId="58" fillId="32" borderId="44" xfId="0" applyFont="1" applyFill="1" applyBorder="1"/>
    <xf numFmtId="0" fontId="58" fillId="32" borderId="83" xfId="0" applyFont="1" applyFill="1" applyBorder="1"/>
    <xf numFmtId="0" fontId="33" fillId="0" borderId="0" xfId="0" applyFont="1" applyFill="1" applyBorder="1" applyAlignment="1">
      <alignment horizontal="center" vertical="center"/>
    </xf>
    <xf numFmtId="0" fontId="33" fillId="34" borderId="0" xfId="0" applyFont="1" applyFill="1" applyBorder="1" applyAlignment="1">
      <alignment horizontal="center" vertical="center"/>
    </xf>
    <xf numFmtId="0" fontId="6" fillId="34" borderId="36" xfId="0" applyFont="1" applyFill="1" applyBorder="1" applyAlignment="1">
      <alignment horizontal="left" vertical="center" wrapText="1"/>
    </xf>
    <xf numFmtId="44" fontId="54" fillId="39" borderId="23" xfId="31" applyFont="1" applyFill="1" applyBorder="1" applyAlignment="1">
      <alignment horizontal="center" vertical="center" wrapText="1"/>
    </xf>
    <xf numFmtId="44" fontId="54" fillId="39" borderId="24" xfId="31" applyFont="1" applyFill="1" applyBorder="1" applyAlignment="1">
      <alignment horizontal="center" vertical="center" wrapText="1"/>
    </xf>
    <xf numFmtId="0" fontId="46" fillId="34" borderId="0" xfId="0" applyFont="1" applyFill="1" applyBorder="1" applyAlignment="1">
      <alignment vertical="center"/>
    </xf>
    <xf numFmtId="0" fontId="74" fillId="0" borderId="0" xfId="0" applyFont="1" applyFill="1" applyBorder="1" applyAlignment="1">
      <alignment vertical="center"/>
    </xf>
    <xf numFmtId="41" fontId="3" fillId="39" borderId="61" xfId="0" applyNumberFormat="1" applyFont="1" applyFill="1" applyBorder="1"/>
    <xf numFmtId="0" fontId="3" fillId="34" borderId="71" xfId="0" applyFont="1" applyFill="1" applyBorder="1" applyAlignment="1">
      <alignment horizontal="left" vertical="center" wrapText="1" indent="1"/>
    </xf>
    <xf numFmtId="3" fontId="8" fillId="18" borderId="56" xfId="0" applyNumberFormat="1" applyFont="1" applyFill="1" applyBorder="1"/>
    <xf numFmtId="3" fontId="8" fillId="18" borderId="57" xfId="0" applyNumberFormat="1" applyFont="1" applyFill="1" applyBorder="1"/>
    <xf numFmtId="0" fontId="3" fillId="18" borderId="44" xfId="0" applyFont="1" applyFill="1" applyBorder="1" applyAlignment="1">
      <alignment vertical="center" wrapText="1"/>
    </xf>
    <xf numFmtId="1" fontId="6" fillId="39" borderId="86" xfId="0" applyNumberFormat="1" applyFont="1" applyFill="1" applyBorder="1"/>
    <xf numFmtId="1" fontId="6" fillId="39" borderId="75" xfId="0" applyNumberFormat="1" applyFont="1" applyFill="1" applyBorder="1"/>
    <xf numFmtId="0" fontId="76" fillId="28" borderId="36" xfId="0" applyFont="1" applyFill="1" applyBorder="1" applyAlignment="1">
      <alignment vertical="center"/>
    </xf>
    <xf numFmtId="0" fontId="77" fillId="28" borderId="22" xfId="0" applyFont="1" applyFill="1" applyBorder="1" applyAlignment="1">
      <alignment vertical="center"/>
    </xf>
    <xf numFmtId="0" fontId="64" fillId="30" borderId="36" xfId="0" applyFont="1" applyFill="1" applyBorder="1" applyAlignment="1">
      <alignment vertical="center"/>
    </xf>
    <xf numFmtId="0" fontId="64" fillId="30" borderId="35" xfId="0" applyFont="1" applyFill="1" applyBorder="1" applyAlignment="1">
      <alignment vertical="center"/>
    </xf>
    <xf numFmtId="0" fontId="64" fillId="30" borderId="34" xfId="0" applyFont="1" applyFill="1" applyBorder="1" applyAlignment="1">
      <alignment vertical="center"/>
    </xf>
    <xf numFmtId="0" fontId="13" fillId="34" borderId="0" xfId="0" applyFont="1" applyFill="1" applyBorder="1"/>
    <xf numFmtId="0" fontId="0" fillId="34" borderId="0" xfId="0" applyFill="1" applyBorder="1"/>
    <xf numFmtId="0" fontId="11" fillId="42" borderId="65" xfId="0" applyFont="1" applyFill="1" applyBorder="1" applyAlignment="1">
      <alignment horizontal="center" vertical="center" wrapText="1"/>
    </xf>
    <xf numFmtId="0" fontId="3" fillId="39" borderId="56" xfId="0" applyFont="1" applyFill="1" applyBorder="1" applyAlignment="1" applyProtection="1">
      <alignment horizontal="right"/>
      <protection locked="0"/>
    </xf>
    <xf numFmtId="0" fontId="3" fillId="39" borderId="57" xfId="0" applyFont="1" applyFill="1" applyBorder="1" applyAlignment="1" applyProtection="1">
      <alignment horizontal="right"/>
      <protection locked="0"/>
    </xf>
    <xf numFmtId="0" fontId="3" fillId="39" borderId="136" xfId="0" applyFont="1" applyFill="1" applyBorder="1" applyAlignment="1" applyProtection="1">
      <alignment horizontal="right"/>
      <protection locked="0"/>
    </xf>
    <xf numFmtId="0" fontId="3" fillId="39" borderId="60" xfId="0" applyFont="1" applyFill="1" applyBorder="1" applyAlignment="1" applyProtection="1">
      <alignment horizontal="right"/>
      <protection locked="0"/>
    </xf>
    <xf numFmtId="0" fontId="3" fillId="39" borderId="59" xfId="0" applyFont="1" applyFill="1" applyBorder="1" applyAlignment="1" applyProtection="1">
      <alignment horizontal="right"/>
      <protection locked="0"/>
    </xf>
    <xf numFmtId="0" fontId="11" fillId="37" borderId="66" xfId="0" applyFont="1" applyFill="1" applyBorder="1" applyAlignment="1">
      <alignment horizontal="center" vertical="center" wrapText="1"/>
    </xf>
    <xf numFmtId="0" fontId="11" fillId="42" borderId="66" xfId="0" applyFont="1" applyFill="1" applyBorder="1" applyAlignment="1">
      <alignment horizontal="center" vertical="center" wrapText="1"/>
    </xf>
    <xf numFmtId="0" fontId="48" fillId="36" borderId="65" xfId="0" applyFont="1" applyFill="1" applyBorder="1" applyAlignment="1">
      <alignment horizontal="center" vertical="center"/>
    </xf>
    <xf numFmtId="164" fontId="3" fillId="18" borderId="44" xfId="44" applyNumberFormat="1" applyFont="1" applyFill="1" applyBorder="1"/>
    <xf numFmtId="164" fontId="3" fillId="18" borderId="83" xfId="44" applyNumberFormat="1" applyFont="1" applyFill="1" applyBorder="1"/>
    <xf numFmtId="164" fontId="3" fillId="18" borderId="91" xfId="44" applyNumberFormat="1" applyFont="1" applyFill="1" applyBorder="1"/>
    <xf numFmtId="164" fontId="3" fillId="18" borderId="46" xfId="44" applyNumberFormat="1" applyFont="1" applyFill="1" applyBorder="1"/>
    <xf numFmtId="164" fontId="3" fillId="18" borderId="64" xfId="44" applyNumberFormat="1" applyFont="1" applyFill="1" applyBorder="1"/>
    <xf numFmtId="164" fontId="3" fillId="18" borderId="65" xfId="44" applyNumberFormat="1" applyFont="1" applyFill="1" applyBorder="1"/>
    <xf numFmtId="164" fontId="3" fillId="18" borderId="68" xfId="44" applyNumberFormat="1" applyFont="1" applyFill="1" applyBorder="1"/>
    <xf numFmtId="0" fontId="3" fillId="39" borderId="87" xfId="0" applyFont="1" applyFill="1" applyBorder="1" applyAlignment="1">
      <alignment horizontal="left" vertical="center" wrapText="1"/>
    </xf>
    <xf numFmtId="0" fontId="3" fillId="18" borderId="63" xfId="0" applyFont="1" applyFill="1" applyBorder="1"/>
    <xf numFmtId="0" fontId="3" fillId="18" borderId="44" xfId="0" applyFont="1" applyFill="1" applyBorder="1"/>
    <xf numFmtId="0" fontId="3" fillId="18" borderId="83" xfId="0" applyFont="1" applyFill="1" applyBorder="1"/>
    <xf numFmtId="0" fontId="3" fillId="18" borderId="91" xfId="0" applyFont="1" applyFill="1" applyBorder="1"/>
    <xf numFmtId="0" fontId="3" fillId="18" borderId="64" xfId="0" applyFont="1" applyFill="1" applyBorder="1"/>
    <xf numFmtId="0" fontId="3" fillId="18" borderId="48" xfId="0" applyFont="1" applyFill="1" applyBorder="1"/>
    <xf numFmtId="0" fontId="3" fillId="18" borderId="65" xfId="0" applyFont="1" applyFill="1" applyBorder="1"/>
    <xf numFmtId="0" fontId="3" fillId="18" borderId="68" xfId="0" applyFont="1" applyFill="1" applyBorder="1"/>
    <xf numFmtId="0" fontId="3" fillId="18" borderId="90" xfId="0" applyFont="1" applyFill="1" applyBorder="1"/>
    <xf numFmtId="0" fontId="3" fillId="18" borderId="67" xfId="0" applyFont="1" applyFill="1" applyBorder="1"/>
    <xf numFmtId="164" fontId="3" fillId="18" borderId="56" xfId="44" applyNumberFormat="1" applyFont="1" applyFill="1" applyBorder="1"/>
    <xf numFmtId="164" fontId="3" fillId="18" borderId="60" xfId="44" applyNumberFormat="1" applyFont="1" applyFill="1" applyBorder="1"/>
    <xf numFmtId="168" fontId="6" fillId="39" borderId="48" xfId="0" applyNumberFormat="1" applyFont="1" applyFill="1" applyBorder="1" applyAlignment="1">
      <alignment horizontal="left" vertical="center" wrapText="1"/>
    </xf>
    <xf numFmtId="168" fontId="6" fillId="39" borderId="65" xfId="0" applyNumberFormat="1" applyFont="1" applyFill="1" applyBorder="1" applyAlignment="1">
      <alignment horizontal="left" vertical="center" wrapText="1"/>
    </xf>
    <xf numFmtId="168" fontId="6" fillId="39" borderId="68" xfId="0" applyNumberFormat="1" applyFont="1" applyFill="1" applyBorder="1" applyAlignment="1">
      <alignment horizontal="left" vertical="center" wrapText="1"/>
    </xf>
    <xf numFmtId="175" fontId="3" fillId="39" borderId="44" xfId="0" applyNumberFormat="1" applyFont="1" applyFill="1" applyBorder="1" applyAlignment="1">
      <alignment horizontal="right" wrapText="1"/>
    </xf>
    <xf numFmtId="175" fontId="3" fillId="39" borderId="83" xfId="0" applyNumberFormat="1" applyFont="1" applyFill="1" applyBorder="1" applyAlignment="1">
      <alignment horizontal="right" wrapText="1"/>
    </xf>
    <xf numFmtId="175" fontId="3" fillId="39" borderId="91" xfId="0" applyNumberFormat="1" applyFont="1" applyFill="1" applyBorder="1" applyAlignment="1">
      <alignment horizontal="right" wrapText="1"/>
    </xf>
    <xf numFmtId="164" fontId="3" fillId="39" borderId="46" xfId="44" applyNumberFormat="1" applyFont="1" applyFill="1" applyBorder="1"/>
    <xf numFmtId="164" fontId="3" fillId="39" borderId="64" xfId="44" applyNumberFormat="1" applyFont="1" applyFill="1" applyBorder="1"/>
    <xf numFmtId="175" fontId="3" fillId="39" borderId="48" xfId="0" applyNumberFormat="1" applyFont="1" applyFill="1" applyBorder="1" applyAlignment="1">
      <alignment horizontal="right" wrapText="1"/>
    </xf>
    <xf numFmtId="175" fontId="3" fillId="39" borderId="65" xfId="0" applyNumberFormat="1" applyFont="1" applyFill="1" applyBorder="1" applyAlignment="1">
      <alignment horizontal="right" wrapText="1"/>
    </xf>
    <xf numFmtId="175" fontId="3" fillId="39" borderId="68" xfId="0" applyNumberFormat="1" applyFont="1" applyFill="1" applyBorder="1" applyAlignment="1">
      <alignment horizontal="right" wrapText="1"/>
    </xf>
    <xf numFmtId="1" fontId="3" fillId="18" borderId="44" xfId="30" applyNumberFormat="1" applyFont="1" applyFill="1" applyBorder="1"/>
    <xf numFmtId="1" fontId="3" fillId="18" borderId="83" xfId="30" applyNumberFormat="1" applyFont="1" applyFill="1" applyBorder="1"/>
    <xf numFmtId="1" fontId="3" fillId="18" borderId="91" xfId="30" applyNumberFormat="1" applyFont="1" applyFill="1" applyBorder="1"/>
    <xf numFmtId="1" fontId="3" fillId="18" borderId="46" xfId="30" applyNumberFormat="1" applyFont="1" applyFill="1" applyBorder="1"/>
    <xf numFmtId="1" fontId="3" fillId="18" borderId="64" xfId="30" applyNumberFormat="1" applyFont="1" applyFill="1" applyBorder="1"/>
    <xf numFmtId="1" fontId="3" fillId="18" borderId="44" xfId="44" applyNumberFormat="1" applyFont="1" applyFill="1" applyBorder="1"/>
    <xf numFmtId="1" fontId="3" fillId="18" borderId="83" xfId="44" applyNumberFormat="1" applyFont="1" applyFill="1" applyBorder="1"/>
    <xf numFmtId="1" fontId="3" fillId="18" borderId="91" xfId="44" applyNumberFormat="1" applyFont="1" applyFill="1" applyBorder="1"/>
    <xf numFmtId="1" fontId="3" fillId="18" borderId="46" xfId="44" applyNumberFormat="1" applyFont="1" applyFill="1" applyBorder="1"/>
    <xf numFmtId="1" fontId="3" fillId="18" borderId="64" xfId="44" applyNumberFormat="1" applyFont="1" applyFill="1" applyBorder="1"/>
    <xf numFmtId="0" fontId="3" fillId="34" borderId="84" xfId="0" applyFont="1" applyFill="1" applyBorder="1" applyAlignment="1">
      <alignment horizontal="left" vertical="center" wrapText="1" indent="1"/>
    </xf>
    <xf numFmtId="0" fontId="6" fillId="18" borderId="44" xfId="0" applyFont="1" applyFill="1" applyBorder="1" applyAlignment="1">
      <alignment vertical="center" wrapText="1"/>
    </xf>
    <xf numFmtId="0" fontId="6" fillId="18" borderId="83" xfId="0" applyFont="1" applyFill="1" applyBorder="1" applyAlignment="1">
      <alignment vertical="center" wrapText="1"/>
    </xf>
    <xf numFmtId="0" fontId="6" fillId="18" borderId="91" xfId="0" applyFont="1" applyFill="1" applyBorder="1" applyAlignment="1">
      <alignment vertical="center" wrapText="1"/>
    </xf>
    <xf numFmtId="0" fontId="6" fillId="18" borderId="46" xfId="0" applyFont="1" applyFill="1" applyBorder="1" applyAlignment="1">
      <alignment vertical="center" wrapText="1"/>
    </xf>
    <xf numFmtId="0" fontId="6" fillId="18" borderId="64" xfId="0" applyFont="1" applyFill="1" applyBorder="1" applyAlignment="1">
      <alignment vertical="center" wrapText="1"/>
    </xf>
    <xf numFmtId="0" fontId="6" fillId="18" borderId="46" xfId="0" applyFont="1" applyFill="1" applyBorder="1" applyAlignment="1">
      <alignment vertical="center"/>
    </xf>
    <xf numFmtId="0" fontId="6" fillId="18" borderId="64" xfId="0" applyFont="1" applyFill="1" applyBorder="1" applyAlignment="1">
      <alignment vertical="center"/>
    </xf>
    <xf numFmtId="0" fontId="3" fillId="14" borderId="0" xfId="0" applyFont="1" applyFill="1" applyBorder="1" applyAlignment="1">
      <alignment horizontal="left" vertical="top" wrapText="1"/>
    </xf>
    <xf numFmtId="0" fontId="78" fillId="34" borderId="0" xfId="0" applyFont="1" applyFill="1" applyBorder="1"/>
    <xf numFmtId="0" fontId="64" fillId="30" borderId="21" xfId="0" applyFont="1" applyFill="1" applyBorder="1" applyAlignment="1">
      <alignment vertical="center"/>
    </xf>
    <xf numFmtId="0" fontId="64" fillId="30" borderId="22" xfId="0" applyFont="1" applyFill="1" applyBorder="1" applyAlignment="1">
      <alignment vertical="center"/>
    </xf>
    <xf numFmtId="0" fontId="64" fillId="30" borderId="23" xfId="0" applyFont="1" applyFill="1" applyBorder="1" applyAlignment="1">
      <alignment vertical="center"/>
    </xf>
    <xf numFmtId="0" fontId="6" fillId="42" borderId="44" xfId="0" applyFont="1" applyFill="1" applyBorder="1" applyAlignment="1">
      <alignment horizontal="center" vertical="center" wrapText="1"/>
    </xf>
    <xf numFmtId="0" fontId="6" fillId="42" borderId="83" xfId="0" applyFont="1" applyFill="1" applyBorder="1" applyAlignment="1">
      <alignment horizontal="center" vertical="center" wrapText="1"/>
    </xf>
    <xf numFmtId="164" fontId="3" fillId="18" borderId="61" xfId="44" applyNumberFormat="1" applyFont="1" applyFill="1" applyBorder="1" applyAlignment="1">
      <alignment vertical="center" wrapText="1"/>
    </xf>
    <xf numFmtId="0" fontId="6" fillId="42" borderId="91" xfId="0" applyFont="1" applyFill="1" applyBorder="1" applyAlignment="1">
      <alignment horizontal="center" vertical="center" wrapText="1"/>
    </xf>
    <xf numFmtId="6" fontId="3" fillId="18" borderId="64" xfId="44" applyNumberFormat="1" applyFont="1" applyFill="1" applyBorder="1" applyAlignment="1">
      <alignment vertical="center" wrapText="1"/>
    </xf>
    <xf numFmtId="176" fontId="3" fillId="18" borderId="64" xfId="44" applyNumberFormat="1" applyFont="1" applyFill="1" applyBorder="1" applyAlignment="1">
      <alignment vertical="center" wrapText="1"/>
    </xf>
    <xf numFmtId="164" fontId="3" fillId="18" borderId="46" xfId="44" applyNumberFormat="1" applyFont="1" applyFill="1" applyBorder="1" applyAlignment="1">
      <alignment horizontal="left" vertical="center" wrapText="1" indent="1"/>
    </xf>
    <xf numFmtId="164" fontId="3" fillId="18" borderId="79" xfId="44" applyNumberFormat="1" applyFont="1" applyFill="1" applyBorder="1" applyAlignment="1">
      <alignment horizontal="left" vertical="center" wrapText="1" indent="1"/>
    </xf>
    <xf numFmtId="164" fontId="3" fillId="18" borderId="80" xfId="44" applyNumberFormat="1" applyFont="1" applyFill="1" applyBorder="1" applyAlignment="1">
      <alignment vertical="center" wrapText="1"/>
    </xf>
    <xf numFmtId="176" fontId="3" fillId="18" borderId="81" xfId="44" applyNumberFormat="1" applyFont="1" applyFill="1" applyBorder="1" applyAlignment="1">
      <alignment vertical="center" wrapText="1"/>
    </xf>
    <xf numFmtId="0" fontId="6" fillId="34" borderId="52" xfId="0" applyFont="1" applyFill="1" applyBorder="1" applyAlignment="1" applyProtection="1">
      <alignment horizontal="left" vertical="center" wrapText="1"/>
      <protection locked="0"/>
    </xf>
    <xf numFmtId="0" fontId="3" fillId="18" borderId="53" xfId="0" applyFont="1" applyFill="1" applyBorder="1" applyAlignment="1" applyProtection="1">
      <alignment vertical="center" wrapText="1"/>
      <protection locked="0"/>
    </xf>
    <xf numFmtId="176" fontId="3" fillId="18" borderId="54" xfId="44" applyNumberFormat="1" applyFont="1" applyFill="1" applyBorder="1" applyAlignment="1">
      <alignment vertical="center" wrapText="1"/>
    </xf>
    <xf numFmtId="0" fontId="13" fillId="34" borderId="44" xfId="0" applyFont="1" applyFill="1" applyBorder="1" applyAlignment="1">
      <alignment horizontal="left" vertical="center" wrapText="1"/>
    </xf>
    <xf numFmtId="0" fontId="6" fillId="30" borderId="72" xfId="0" applyFont="1" applyFill="1" applyBorder="1" applyAlignment="1" applyProtection="1">
      <alignment horizontal="right" vertical="center"/>
      <protection locked="0"/>
    </xf>
    <xf numFmtId="3" fontId="3" fillId="18" borderId="61" xfId="44" applyNumberFormat="1" applyFont="1" applyFill="1" applyBorder="1" applyAlignment="1">
      <alignment vertical="center" wrapText="1"/>
    </xf>
    <xf numFmtId="0" fontId="6" fillId="32" borderId="61" xfId="0" applyFont="1" applyFill="1" applyBorder="1" applyAlignment="1" applyProtection="1">
      <alignment horizontal="right" vertical="center"/>
      <protection locked="0"/>
    </xf>
    <xf numFmtId="175" fontId="3" fillId="26" borderId="61" xfId="30" applyNumberFormat="1" applyFont="1" applyFill="1" applyBorder="1"/>
    <xf numFmtId="164" fontId="3" fillId="26" borderId="61" xfId="30" applyNumberFormat="1" applyFont="1" applyFill="1" applyBorder="1"/>
    <xf numFmtId="164" fontId="3" fillId="26" borderId="65" xfId="30" applyNumberFormat="1" applyFont="1" applyFill="1" applyBorder="1"/>
    <xf numFmtId="0" fontId="3" fillId="34" borderId="46" xfId="0" applyFont="1" applyFill="1" applyBorder="1"/>
    <xf numFmtId="164" fontId="79" fillId="30" borderId="62" xfId="44" applyNumberFormat="1" applyFont="1" applyFill="1" applyBorder="1"/>
    <xf numFmtId="164" fontId="79" fillId="30" borderId="66" xfId="44" applyNumberFormat="1" applyFont="1" applyFill="1" applyBorder="1"/>
    <xf numFmtId="0" fontId="6" fillId="32" borderId="62" xfId="0" applyFont="1" applyFill="1" applyBorder="1" applyAlignment="1" applyProtection="1">
      <alignment horizontal="right" vertical="center"/>
      <protection locked="0"/>
    </xf>
    <xf numFmtId="0" fontId="6" fillId="42" borderId="96" xfId="0" applyFont="1" applyFill="1" applyBorder="1" applyAlignment="1">
      <alignment horizontal="center" vertical="center" wrapText="1"/>
    </xf>
    <xf numFmtId="0" fontId="6" fillId="42" borderId="98" xfId="0" applyFont="1" applyFill="1" applyBorder="1" applyAlignment="1">
      <alignment horizontal="center" vertical="center" wrapText="1"/>
    </xf>
    <xf numFmtId="177" fontId="3" fillId="26" borderId="83" xfId="30" applyNumberFormat="1" applyFont="1" applyFill="1" applyBorder="1"/>
    <xf numFmtId="177" fontId="3" fillId="26" borderId="61" xfId="30" applyNumberFormat="1" applyFont="1" applyFill="1" applyBorder="1"/>
    <xf numFmtId="6" fontId="6" fillId="32" borderId="61" xfId="0" applyNumberFormat="1" applyFont="1" applyFill="1" applyBorder="1" applyAlignment="1" applyProtection="1">
      <alignment horizontal="right" vertical="center"/>
      <protection locked="0"/>
    </xf>
    <xf numFmtId="177" fontId="3" fillId="26" borderId="65" xfId="30" applyNumberFormat="1" applyFont="1" applyFill="1" applyBorder="1"/>
    <xf numFmtId="0" fontId="76" fillId="28" borderId="0" xfId="0" applyFont="1" applyFill="1" applyBorder="1" applyAlignment="1">
      <alignment vertical="center"/>
    </xf>
    <xf numFmtId="0" fontId="77" fillId="28" borderId="0" xfId="0" applyFont="1" applyFill="1" applyBorder="1" applyAlignment="1">
      <alignment vertical="center"/>
    </xf>
    <xf numFmtId="0" fontId="3" fillId="34" borderId="44" xfId="0" applyFont="1" applyFill="1" applyBorder="1" applyAlignment="1">
      <alignment horizontal="left" vertical="center" wrapText="1"/>
    </xf>
    <xf numFmtId="0" fontId="3" fillId="34" borderId="46" xfId="0" applyFont="1" applyFill="1" applyBorder="1" applyAlignment="1">
      <alignment horizontal="left" vertical="center" wrapText="1"/>
    </xf>
    <xf numFmtId="0" fontId="3" fillId="34" borderId="48" xfId="0" applyFont="1" applyFill="1" applyBorder="1" applyAlignment="1">
      <alignment horizontal="left" vertical="center" wrapText="1"/>
    </xf>
    <xf numFmtId="0" fontId="0" fillId="34" borderId="0" xfId="0" applyFill="1" applyBorder="1" applyAlignment="1">
      <alignment vertical="top"/>
    </xf>
    <xf numFmtId="0" fontId="0" fillId="0" borderId="0" xfId="0" applyBorder="1" applyAlignment="1">
      <alignment vertical="top"/>
    </xf>
    <xf numFmtId="0" fontId="7" fillId="18" borderId="72" xfId="0" applyFont="1" applyFill="1" applyBorder="1" applyAlignment="1" applyProtection="1">
      <alignment horizontal="right" vertical="center"/>
      <protection locked="0"/>
    </xf>
    <xf numFmtId="0" fontId="7" fillId="18" borderId="62" xfId="0" applyFont="1" applyFill="1" applyBorder="1" applyAlignment="1" applyProtection="1">
      <alignment horizontal="right" vertical="center"/>
      <protection locked="0"/>
    </xf>
    <xf numFmtId="0" fontId="34" fillId="18" borderId="62" xfId="0" applyFont="1" applyFill="1" applyBorder="1" applyAlignment="1" applyProtection="1">
      <alignment horizontal="right" vertical="center"/>
      <protection locked="0"/>
    </xf>
    <xf numFmtId="0" fontId="34" fillId="18" borderId="66" xfId="0" applyFont="1" applyFill="1" applyBorder="1" applyAlignment="1" applyProtection="1">
      <alignment horizontal="right" vertical="center"/>
      <protection locked="0"/>
    </xf>
    <xf numFmtId="0" fontId="7" fillId="18" borderId="66" xfId="0" applyFont="1" applyFill="1" applyBorder="1" applyAlignment="1" applyProtection="1">
      <alignment horizontal="right" vertical="center"/>
      <protection locked="0"/>
    </xf>
    <xf numFmtId="0" fontId="34" fillId="18" borderId="72" xfId="0" applyFont="1" applyFill="1" applyBorder="1" applyAlignment="1" applyProtection="1">
      <alignment horizontal="right" vertical="center"/>
      <protection locked="0"/>
    </xf>
    <xf numFmtId="0" fontId="74" fillId="34" borderId="0" xfId="0" applyFont="1" applyFill="1" applyBorder="1" applyAlignment="1">
      <alignment vertical="center"/>
    </xf>
    <xf numFmtId="0" fontId="74" fillId="34" borderId="0" xfId="0" applyFont="1" applyFill="1" applyBorder="1" applyAlignment="1">
      <alignment vertical="center" wrapText="1"/>
    </xf>
    <xf numFmtId="0" fontId="3" fillId="18" borderId="61" xfId="0" applyFont="1" applyFill="1" applyBorder="1" applyAlignment="1" applyProtection="1">
      <alignment horizontal="right" vertical="center" wrapText="1"/>
      <protection locked="0"/>
    </xf>
    <xf numFmtId="0" fontId="76" fillId="28" borderId="21" xfId="0" applyFont="1" applyFill="1" applyBorder="1" applyAlignment="1">
      <alignment vertical="center"/>
    </xf>
    <xf numFmtId="0" fontId="0" fillId="34" borderId="0" xfId="0" applyFill="1" applyBorder="1" applyAlignment="1">
      <alignment wrapText="1"/>
    </xf>
    <xf numFmtId="41" fontId="6" fillId="30" borderId="61" xfId="0" applyNumberFormat="1" applyFont="1" applyFill="1" applyBorder="1" applyAlignment="1">
      <alignment horizontal="right" vertical="center" wrapText="1"/>
    </xf>
    <xf numFmtId="0" fontId="3" fillId="34" borderId="51" xfId="0" applyFont="1" applyFill="1" applyBorder="1" applyAlignment="1">
      <alignment horizontal="left" vertical="center" wrapText="1"/>
    </xf>
    <xf numFmtId="0" fontId="3" fillId="18" borderId="46" xfId="0" applyFont="1" applyFill="1" applyBorder="1" applyAlignment="1" applyProtection="1">
      <alignment horizontal="right" vertical="center" wrapText="1"/>
      <protection locked="0"/>
    </xf>
    <xf numFmtId="0" fontId="3" fillId="18" borderId="64" xfId="0" applyFont="1" applyFill="1" applyBorder="1" applyAlignment="1" applyProtection="1">
      <alignment horizontal="right" vertical="center" wrapText="1"/>
      <protection locked="0"/>
    </xf>
    <xf numFmtId="41" fontId="6" fillId="30" borderId="46" xfId="0" applyNumberFormat="1" applyFont="1" applyFill="1" applyBorder="1" applyAlignment="1">
      <alignment horizontal="right" vertical="center" wrapText="1"/>
    </xf>
    <xf numFmtId="41" fontId="6" fillId="30" borderId="64" xfId="0" applyNumberFormat="1" applyFont="1" applyFill="1" applyBorder="1" applyAlignment="1">
      <alignment horizontal="right" vertical="center" wrapText="1"/>
    </xf>
    <xf numFmtId="43" fontId="13" fillId="34" borderId="0" xfId="0" applyNumberFormat="1" applyFont="1" applyFill="1"/>
    <xf numFmtId="43" fontId="13" fillId="34" borderId="0" xfId="0" applyNumberFormat="1" applyFont="1" applyFill="1" applyBorder="1" applyAlignment="1">
      <alignment horizontal="center"/>
    </xf>
    <xf numFmtId="0" fontId="6" fillId="39" borderId="51" xfId="0" applyFont="1" applyFill="1" applyBorder="1" applyAlignment="1">
      <alignment horizontal="left" vertical="center" wrapText="1"/>
    </xf>
    <xf numFmtId="0" fontId="3" fillId="18" borderId="87" xfId="0" applyFont="1" applyFill="1" applyBorder="1"/>
    <xf numFmtId="0" fontId="6" fillId="42" borderId="65" xfId="0" applyFont="1" applyFill="1" applyBorder="1" applyAlignment="1">
      <alignment horizontal="center" vertical="center" wrapText="1"/>
    </xf>
    <xf numFmtId="0" fontId="6" fillId="37" borderId="65" xfId="0" applyFont="1" applyFill="1" applyBorder="1" applyAlignment="1">
      <alignment horizontal="center" vertical="center" wrapText="1"/>
    </xf>
    <xf numFmtId="1" fontId="3" fillId="18" borderId="61" xfId="44" applyNumberFormat="1" applyFont="1" applyFill="1" applyBorder="1" applyProtection="1">
      <protection locked="0"/>
    </xf>
    <xf numFmtId="0" fontId="5" fillId="0" borderId="0" xfId="0" applyFont="1" applyFill="1" applyBorder="1" applyAlignment="1">
      <alignment vertical="center"/>
    </xf>
    <xf numFmtId="0" fontId="6" fillId="32" borderId="143" xfId="0" applyFont="1" applyFill="1" applyBorder="1" applyAlignment="1">
      <alignment horizontal="center" vertical="center" wrapText="1"/>
    </xf>
    <xf numFmtId="0" fontId="76" fillId="28" borderId="22" xfId="0" applyFont="1" applyFill="1" applyBorder="1" applyAlignment="1">
      <alignment vertical="center"/>
    </xf>
    <xf numFmtId="0" fontId="76" fillId="28" borderId="23" xfId="0" applyFont="1" applyFill="1" applyBorder="1" applyAlignment="1">
      <alignment vertical="center"/>
    </xf>
    <xf numFmtId="1" fontId="3" fillId="18" borderId="64" xfId="44" applyNumberFormat="1" applyFont="1" applyFill="1" applyBorder="1" applyProtection="1">
      <protection locked="0"/>
    </xf>
    <xf numFmtId="0" fontId="5" fillId="34" borderId="0" xfId="0" applyFont="1" applyFill="1" applyBorder="1"/>
    <xf numFmtId="0" fontId="5" fillId="34" borderId="0" xfId="0" applyFont="1" applyFill="1" applyBorder="1" applyAlignment="1">
      <alignment vertical="center"/>
    </xf>
    <xf numFmtId="43" fontId="3" fillId="34" borderId="0" xfId="0" applyNumberFormat="1" applyFont="1" applyFill="1"/>
    <xf numFmtId="0" fontId="3" fillId="18" borderId="44" xfId="0" applyFont="1" applyFill="1" applyBorder="1" applyAlignment="1" applyProtection="1">
      <alignment horizontal="right" vertical="center" wrapText="1"/>
      <protection locked="0"/>
    </xf>
    <xf numFmtId="0" fontId="3" fillId="18" borderId="83" xfId="0" applyFont="1" applyFill="1" applyBorder="1" applyAlignment="1" applyProtection="1">
      <alignment horizontal="right" vertical="center" wrapText="1"/>
      <protection locked="0"/>
    </xf>
    <xf numFmtId="0" fontId="3" fillId="18" borderId="91" xfId="0" applyFont="1" applyFill="1" applyBorder="1" applyAlignment="1" applyProtection="1">
      <alignment horizontal="right" vertical="center" wrapText="1"/>
      <protection locked="0"/>
    </xf>
    <xf numFmtId="43" fontId="3" fillId="30" borderId="48" xfId="0" applyNumberFormat="1" applyFont="1" applyFill="1" applyBorder="1"/>
    <xf numFmtId="43" fontId="3" fillId="30" borderId="65" xfId="0" applyNumberFormat="1" applyFont="1" applyFill="1" applyBorder="1"/>
    <xf numFmtId="43" fontId="3" fillId="30" borderId="68" xfId="0" applyNumberFormat="1" applyFont="1" applyFill="1" applyBorder="1"/>
    <xf numFmtId="168" fontId="3" fillId="32" borderId="83" xfId="30" applyNumberFormat="1" applyFont="1" applyFill="1" applyBorder="1" applyAlignment="1" applyProtection="1">
      <alignment horizontal="right" vertical="center" wrapText="1"/>
      <protection locked="0"/>
    </xf>
    <xf numFmtId="168" fontId="3" fillId="32" borderId="72" xfId="30" applyNumberFormat="1" applyFont="1" applyFill="1" applyBorder="1" applyAlignment="1" applyProtection="1">
      <alignment horizontal="right" vertical="center" wrapText="1"/>
      <protection locked="0"/>
    </xf>
    <xf numFmtId="168" fontId="3" fillId="32" borderId="61" xfId="30" applyNumberFormat="1" applyFont="1" applyFill="1" applyBorder="1" applyAlignment="1" applyProtection="1">
      <alignment horizontal="right" vertical="center" wrapText="1"/>
      <protection locked="0"/>
    </xf>
    <xf numFmtId="168" fontId="3" fillId="32" borderId="62" xfId="30" applyNumberFormat="1" applyFont="1" applyFill="1" applyBorder="1" applyAlignment="1" applyProtection="1">
      <alignment horizontal="right" vertical="center" wrapText="1"/>
      <protection locked="0"/>
    </xf>
    <xf numFmtId="168" fontId="3" fillId="32" borderId="65" xfId="30" applyNumberFormat="1" applyFont="1" applyFill="1" applyBorder="1" applyAlignment="1" applyProtection="1">
      <alignment horizontal="right" vertical="center" wrapText="1"/>
      <protection locked="0"/>
    </xf>
    <xf numFmtId="0" fontId="64" fillId="42" borderId="66" xfId="0" applyFont="1" applyFill="1" applyBorder="1" applyAlignment="1">
      <alignment horizontal="center" vertical="center" wrapText="1"/>
    </xf>
    <xf numFmtId="0" fontId="6" fillId="39" borderId="127" xfId="0" applyFont="1" applyFill="1" applyBorder="1" applyAlignment="1">
      <alignment horizontal="right" vertical="center"/>
    </xf>
    <xf numFmtId="0" fontId="3" fillId="18" borderId="61" xfId="0" applyFont="1" applyFill="1" applyBorder="1" applyAlignment="1" applyProtection="1">
      <alignment horizontal="right" vertical="center"/>
      <protection locked="0"/>
    </xf>
    <xf numFmtId="0" fontId="3" fillId="18" borderId="64" xfId="0" applyFont="1" applyFill="1" applyBorder="1" applyAlignment="1" applyProtection="1">
      <alignment horizontal="right" vertical="center"/>
      <protection locked="0"/>
    </xf>
    <xf numFmtId="0" fontId="6" fillId="39" borderId="78" xfId="0" applyFont="1" applyFill="1" applyBorder="1" applyAlignment="1">
      <alignment horizontal="right" vertical="center"/>
    </xf>
    <xf numFmtId="0" fontId="6" fillId="30" borderId="78" xfId="0" applyFont="1" applyFill="1" applyBorder="1" applyAlignment="1">
      <alignment horizontal="right" vertical="center"/>
    </xf>
    <xf numFmtId="0" fontId="3" fillId="18" borderId="65" xfId="0" applyFont="1" applyFill="1" applyBorder="1" applyAlignment="1" applyProtection="1">
      <alignment horizontal="right" vertical="center"/>
      <protection locked="0"/>
    </xf>
    <xf numFmtId="0" fontId="3" fillId="18" borderId="68" xfId="0" applyFont="1" applyFill="1" applyBorder="1" applyAlignment="1" applyProtection="1">
      <alignment horizontal="right" vertical="center"/>
      <protection locked="0"/>
    </xf>
    <xf numFmtId="0" fontId="6" fillId="39" borderId="150" xfId="0" applyFont="1" applyFill="1" applyBorder="1" applyAlignment="1">
      <alignment horizontal="right" vertical="center"/>
    </xf>
    <xf numFmtId="168" fontId="3" fillId="31" borderId="61" xfId="30" applyNumberFormat="1" applyFont="1" applyFill="1" applyBorder="1"/>
    <xf numFmtId="0" fontId="6" fillId="34" borderId="0" xfId="0" applyFont="1" applyFill="1" applyBorder="1"/>
    <xf numFmtId="0" fontId="6" fillId="0" borderId="0" xfId="0" applyFont="1" applyFill="1"/>
    <xf numFmtId="0" fontId="6" fillId="34" borderId="0" xfId="0" applyFont="1" applyFill="1"/>
    <xf numFmtId="0" fontId="6" fillId="0" borderId="0" xfId="0" applyFont="1"/>
    <xf numFmtId="0" fontId="6" fillId="31" borderId="51" xfId="0" applyFont="1" applyFill="1" applyBorder="1" applyAlignment="1">
      <alignment horizontal="left" vertical="center" wrapText="1"/>
    </xf>
    <xf numFmtId="168" fontId="3" fillId="31" borderId="46" xfId="30" applyNumberFormat="1" applyFont="1" applyFill="1" applyBorder="1"/>
    <xf numFmtId="168" fontId="3" fillId="31" borderId="64" xfId="30" applyNumberFormat="1" applyFont="1" applyFill="1" applyBorder="1"/>
    <xf numFmtId="0" fontId="3" fillId="39" borderId="51" xfId="0" applyFont="1" applyFill="1" applyBorder="1" applyAlignment="1">
      <alignment horizontal="left" vertical="center" wrapText="1" indent="2"/>
    </xf>
    <xf numFmtId="0" fontId="3" fillId="0" borderId="0" xfId="0" applyFont="1" applyAlignment="1">
      <alignment vertical="top"/>
    </xf>
    <xf numFmtId="0" fontId="6" fillId="18" borderId="61" xfId="0" applyFont="1" applyFill="1" applyBorder="1"/>
    <xf numFmtId="0" fontId="3" fillId="25" borderId="46" xfId="0" applyFont="1" applyFill="1" applyBorder="1" applyAlignment="1">
      <alignment horizontal="left" vertical="center" wrapText="1" indent="2"/>
    </xf>
    <xf numFmtId="0" fontId="6" fillId="40" borderId="65" xfId="0" applyFont="1" applyFill="1" applyBorder="1" applyAlignment="1">
      <alignment horizontal="center" vertical="center" wrapText="1"/>
    </xf>
    <xf numFmtId="0" fontId="6" fillId="41" borderId="65" xfId="0" applyFont="1" applyFill="1" applyBorder="1" applyAlignment="1">
      <alignment horizontal="center" vertical="center" wrapText="1"/>
    </xf>
    <xf numFmtId="0" fontId="6" fillId="40" borderId="48" xfId="0" applyFont="1" applyFill="1" applyBorder="1" applyAlignment="1">
      <alignment horizontal="center" vertical="center" wrapText="1"/>
    </xf>
    <xf numFmtId="0" fontId="6" fillId="40" borderId="66" xfId="0" applyFont="1" applyFill="1" applyBorder="1" applyAlignment="1">
      <alignment horizontal="center" vertical="center" wrapText="1"/>
    </xf>
    <xf numFmtId="0" fontId="3" fillId="18" borderId="120" xfId="0" applyFont="1" applyFill="1" applyBorder="1" applyAlignment="1" applyProtection="1">
      <alignment vertical="center" wrapText="1"/>
      <protection locked="0"/>
    </xf>
    <xf numFmtId="0" fontId="3" fillId="18" borderId="132" xfId="0" applyFont="1" applyFill="1" applyBorder="1" applyAlignment="1" applyProtection="1">
      <alignment vertical="center" wrapText="1"/>
      <protection locked="0"/>
    </xf>
    <xf numFmtId="0" fontId="3" fillId="25" borderId="48" xfId="0" applyFont="1" applyFill="1" applyBorder="1" applyAlignment="1">
      <alignment horizontal="left" vertical="center" wrapText="1" indent="2"/>
    </xf>
    <xf numFmtId="0" fontId="3" fillId="18" borderId="89" xfId="0" applyFont="1" applyFill="1" applyBorder="1"/>
    <xf numFmtId="0" fontId="3" fillId="25" borderId="149" xfId="0" applyNumberFormat="1" applyFont="1" applyFill="1" applyBorder="1" applyAlignment="1" applyProtection="1">
      <alignment horizontal="center" vertical="center" wrapText="1"/>
      <protection locked="0"/>
    </xf>
    <xf numFmtId="0" fontId="0" fillId="18" borderId="44" xfId="0" applyFill="1" applyBorder="1"/>
    <xf numFmtId="0" fontId="0" fillId="18" borderId="83" xfId="0" applyFill="1" applyBorder="1"/>
    <xf numFmtId="0" fontId="0" fillId="18" borderId="72" xfId="0" applyFill="1" applyBorder="1"/>
    <xf numFmtId="0" fontId="0" fillId="18" borderId="48" xfId="0" applyFill="1" applyBorder="1"/>
    <xf numFmtId="0" fontId="0" fillId="18" borderId="65" xfId="0" applyFill="1" applyBorder="1"/>
    <xf numFmtId="0" fontId="0" fillId="18" borderId="66" xfId="0" applyFill="1" applyBorder="1"/>
    <xf numFmtId="0" fontId="6" fillId="34" borderId="92" xfId="0" applyFont="1" applyFill="1" applyBorder="1"/>
    <xf numFmtId="0" fontId="6" fillId="30" borderId="74" xfId="0" applyFont="1" applyFill="1" applyBorder="1"/>
    <xf numFmtId="0" fontId="3" fillId="30" borderId="46" xfId="0" applyFont="1" applyFill="1" applyBorder="1"/>
    <xf numFmtId="0" fontId="3" fillId="30" borderId="61" xfId="0" applyFont="1" applyFill="1" applyBorder="1"/>
    <xf numFmtId="0" fontId="3" fillId="30" borderId="64" xfId="0" applyFont="1" applyFill="1" applyBorder="1"/>
    <xf numFmtId="0" fontId="0" fillId="18" borderId="68" xfId="0" applyFill="1" applyBorder="1"/>
    <xf numFmtId="43" fontId="3" fillId="30" borderId="61" xfId="0" applyNumberFormat="1" applyFont="1" applyFill="1" applyBorder="1"/>
    <xf numFmtId="0" fontId="6" fillId="30" borderId="51" xfId="0" applyFont="1" applyFill="1" applyBorder="1" applyAlignment="1">
      <alignment horizontal="left"/>
    </xf>
    <xf numFmtId="0" fontId="3" fillId="34" borderId="51" xfId="0" applyFont="1" applyFill="1" applyBorder="1" applyAlignment="1">
      <alignment horizontal="left" indent="1"/>
    </xf>
    <xf numFmtId="0" fontId="3" fillId="34" borderId="69" xfId="0" applyFont="1" applyFill="1" applyBorder="1" applyAlignment="1">
      <alignment horizontal="left" indent="1"/>
    </xf>
    <xf numFmtId="43" fontId="3" fillId="30" borderId="46" xfId="0" applyNumberFormat="1" applyFont="1" applyFill="1" applyBorder="1"/>
    <xf numFmtId="43" fontId="3" fillId="30" borderId="64" xfId="0" applyNumberFormat="1" applyFont="1" applyFill="1" applyBorder="1"/>
    <xf numFmtId="0" fontId="3" fillId="18" borderId="25" xfId="0" applyFont="1" applyFill="1" applyBorder="1" applyAlignment="1" applyProtection="1">
      <alignment vertical="center" wrapText="1"/>
      <protection locked="0"/>
    </xf>
    <xf numFmtId="0" fontId="3" fillId="34" borderId="21" xfId="0" applyFont="1" applyFill="1" applyBorder="1" applyAlignment="1">
      <alignment horizontal="left" indent="1"/>
    </xf>
    <xf numFmtId="0" fontId="3" fillId="34" borderId="25" xfId="0" applyFont="1" applyFill="1" applyBorder="1" applyAlignment="1">
      <alignment horizontal="left" indent="1"/>
    </xf>
    <xf numFmtId="0" fontId="0" fillId="18" borderId="86" xfId="0" applyFill="1" applyBorder="1"/>
    <xf numFmtId="0" fontId="0" fillId="18" borderId="89" xfId="0" applyFill="1" applyBorder="1"/>
    <xf numFmtId="0" fontId="6" fillId="39" borderId="18" xfId="0" applyFont="1" applyFill="1" applyBorder="1" applyAlignment="1">
      <alignment horizontal="center" vertical="center"/>
    </xf>
    <xf numFmtId="0" fontId="0" fillId="18" borderId="12" xfId="0" applyFill="1" applyBorder="1" applyAlignment="1">
      <alignment horizontal="left" vertical="top" wrapText="1"/>
    </xf>
    <xf numFmtId="0" fontId="3" fillId="30" borderId="68" xfId="0" applyFont="1" applyFill="1" applyBorder="1"/>
    <xf numFmtId="0" fontId="3" fillId="30" borderId="65" xfId="0" applyFont="1" applyFill="1" applyBorder="1"/>
    <xf numFmtId="0" fontId="3" fillId="30" borderId="83" xfId="0" applyFont="1" applyFill="1" applyBorder="1"/>
    <xf numFmtId="0" fontId="3" fillId="30" borderId="91" xfId="0" applyFont="1" applyFill="1" applyBorder="1"/>
    <xf numFmtId="0" fontId="3" fillId="30" borderId="65" xfId="0" applyNumberFormat="1" applyFont="1" applyFill="1" applyBorder="1"/>
    <xf numFmtId="0" fontId="3" fillId="30" borderId="68" xfId="0" applyNumberFormat="1" applyFont="1" applyFill="1" applyBorder="1"/>
    <xf numFmtId="0" fontId="3" fillId="30" borderId="90" xfId="0" applyFont="1" applyFill="1" applyBorder="1"/>
    <xf numFmtId="0" fontId="3" fillId="30" borderId="67" xfId="0" applyNumberFormat="1" applyFont="1" applyFill="1" applyBorder="1"/>
    <xf numFmtId="0" fontId="3" fillId="30" borderId="44" xfId="0" applyFont="1" applyFill="1" applyBorder="1"/>
    <xf numFmtId="0" fontId="3" fillId="30" borderId="48" xfId="0" applyNumberFormat="1" applyFont="1" applyFill="1" applyBorder="1"/>
    <xf numFmtId="0" fontId="3" fillId="34" borderId="69" xfId="0" applyFont="1" applyFill="1" applyBorder="1" applyAlignment="1">
      <alignment horizontal="left" vertical="center" wrapText="1" indent="2"/>
    </xf>
    <xf numFmtId="0" fontId="3" fillId="39" borderId="51" xfId="0" applyFont="1" applyFill="1" applyBorder="1" applyAlignment="1">
      <alignment horizontal="left" vertical="center" wrapText="1" indent="1"/>
    </xf>
    <xf numFmtId="0" fontId="6" fillId="34" borderId="143" xfId="0" applyFont="1" applyFill="1" applyBorder="1" applyAlignment="1">
      <alignment horizontal="center" vertical="center" wrapText="1"/>
    </xf>
    <xf numFmtId="49" fontId="3" fillId="25" borderId="149" xfId="0" applyNumberFormat="1" applyFont="1" applyFill="1" applyBorder="1" applyAlignment="1">
      <alignment horizontal="center"/>
    </xf>
    <xf numFmtId="49" fontId="3" fillId="25" borderId="149" xfId="0" applyNumberFormat="1" applyFont="1" applyFill="1" applyBorder="1" applyAlignment="1">
      <alignment horizontal="left" wrapText="1"/>
    </xf>
    <xf numFmtId="0" fontId="0" fillId="34" borderId="0" xfId="0" applyFill="1" applyAlignment="1"/>
    <xf numFmtId="43" fontId="6" fillId="39" borderId="83" xfId="0" applyNumberFormat="1" applyFont="1" applyFill="1" applyBorder="1" applyAlignment="1">
      <alignment horizontal="center"/>
    </xf>
    <xf numFmtId="0" fontId="3" fillId="30" borderId="67" xfId="0" applyFont="1" applyFill="1" applyBorder="1"/>
    <xf numFmtId="0" fontId="3" fillId="30" borderId="53" xfId="0" applyFont="1" applyFill="1" applyBorder="1"/>
    <xf numFmtId="0" fontId="3" fillId="30" borderId="54" xfId="0" applyFont="1" applyFill="1" applyBorder="1"/>
    <xf numFmtId="0" fontId="3" fillId="30" borderId="55" xfId="0" applyFont="1" applyFill="1" applyBorder="1"/>
    <xf numFmtId="0" fontId="3" fillId="30" borderId="72" xfId="0" applyFont="1" applyFill="1" applyBorder="1"/>
    <xf numFmtId="0" fontId="3" fillId="30" borderId="66" xfId="0" applyNumberFormat="1" applyFont="1" applyFill="1" applyBorder="1"/>
    <xf numFmtId="43" fontId="6" fillId="39" borderId="91" xfId="0" applyNumberFormat="1" applyFont="1" applyFill="1" applyBorder="1" applyAlignment="1">
      <alignment horizontal="center"/>
    </xf>
    <xf numFmtId="43" fontId="6" fillId="39" borderId="90" xfId="0" applyNumberFormat="1" applyFont="1" applyFill="1" applyBorder="1" applyAlignment="1">
      <alignment horizontal="center"/>
    </xf>
    <xf numFmtId="0" fontId="6" fillId="39" borderId="83" xfId="0" applyFont="1" applyFill="1" applyBorder="1" applyAlignment="1">
      <alignment horizontal="left" vertical="center" wrapText="1"/>
    </xf>
    <xf numFmtId="0" fontId="6" fillId="40" borderId="79" xfId="0" applyFont="1" applyFill="1" applyBorder="1" applyAlignment="1">
      <alignment horizontal="center" vertical="center" wrapText="1"/>
    </xf>
    <xf numFmtId="0" fontId="6" fillId="40" borderId="80" xfId="0" applyFont="1" applyFill="1" applyBorder="1" applyAlignment="1">
      <alignment horizontal="center" vertical="center" wrapText="1"/>
    </xf>
    <xf numFmtId="0" fontId="6" fillId="41" borderId="80" xfId="0" applyFont="1" applyFill="1" applyBorder="1" applyAlignment="1">
      <alignment horizontal="center" vertical="center" wrapText="1"/>
    </xf>
    <xf numFmtId="0" fontId="6" fillId="40" borderId="85" xfId="0" applyFont="1" applyFill="1" applyBorder="1" applyAlignment="1">
      <alignment horizontal="center" vertical="center" wrapText="1"/>
    </xf>
    <xf numFmtId="0" fontId="3" fillId="34" borderId="0" xfId="0" applyFont="1" applyFill="1" applyBorder="1" applyAlignment="1">
      <alignment wrapText="1"/>
    </xf>
    <xf numFmtId="0" fontId="3" fillId="0" borderId="0" xfId="0" applyFont="1" applyAlignment="1">
      <alignment wrapText="1"/>
    </xf>
    <xf numFmtId="0" fontId="3" fillId="25" borderId="93" xfId="0" applyFont="1" applyFill="1" applyBorder="1" applyAlignment="1">
      <alignment horizontal="left" vertical="center" wrapText="1" indent="1"/>
    </xf>
    <xf numFmtId="0" fontId="3" fillId="25" borderId="94" xfId="0" applyFont="1" applyFill="1" applyBorder="1" applyAlignment="1">
      <alignment horizontal="left" vertical="center" wrapText="1" indent="1"/>
    </xf>
    <xf numFmtId="0" fontId="6" fillId="40" borderId="68" xfId="0" applyFont="1" applyFill="1" applyBorder="1" applyAlignment="1">
      <alignment horizontal="center" vertical="center" wrapText="1"/>
    </xf>
    <xf numFmtId="0" fontId="3" fillId="29" borderId="44" xfId="0" applyFont="1" applyFill="1" applyBorder="1" applyAlignment="1" applyProtection="1">
      <alignment horizontal="right" vertical="center" wrapText="1"/>
      <protection locked="0"/>
    </xf>
    <xf numFmtId="0" fontId="3" fillId="29" borderId="83" xfId="0" applyFont="1" applyFill="1" applyBorder="1" applyAlignment="1" applyProtection="1">
      <alignment horizontal="right" vertical="center" wrapText="1"/>
      <protection locked="0"/>
    </xf>
    <xf numFmtId="0" fontId="3" fillId="29" borderId="46" xfId="0" applyFont="1" applyFill="1" applyBorder="1" applyAlignment="1" applyProtection="1">
      <alignment horizontal="right" vertical="center" wrapText="1"/>
      <protection locked="0"/>
    </xf>
    <xf numFmtId="0" fontId="3" fillId="29" borderId="61" xfId="0" applyFont="1" applyFill="1" applyBorder="1" applyAlignment="1" applyProtection="1">
      <alignment horizontal="right" vertical="center" wrapText="1"/>
      <protection locked="0"/>
    </xf>
    <xf numFmtId="0" fontId="3" fillId="29" borderId="50" xfId="0" applyFont="1" applyFill="1" applyBorder="1" applyAlignment="1" applyProtection="1">
      <alignment horizontal="right" vertical="center" wrapText="1"/>
      <protection locked="0"/>
    </xf>
    <xf numFmtId="0" fontId="3" fillId="29" borderId="51" xfId="0" applyFont="1" applyFill="1" applyBorder="1" applyAlignment="1" applyProtection="1">
      <alignment horizontal="right" vertical="center" wrapText="1"/>
      <protection locked="0"/>
    </xf>
    <xf numFmtId="0" fontId="3" fillId="29" borderId="91" xfId="0" applyFont="1" applyFill="1" applyBorder="1" applyAlignment="1" applyProtection="1">
      <alignment horizontal="right" vertical="center" wrapText="1"/>
      <protection locked="0"/>
    </xf>
    <xf numFmtId="0" fontId="3" fillId="29" borderId="64" xfId="0" applyFont="1" applyFill="1" applyBorder="1" applyAlignment="1" applyProtection="1">
      <alignment horizontal="right" vertical="center" wrapText="1"/>
      <protection locked="0"/>
    </xf>
    <xf numFmtId="0" fontId="3" fillId="29" borderId="84" xfId="0" applyFont="1" applyFill="1" applyBorder="1" applyAlignment="1" applyProtection="1">
      <alignment horizontal="right" vertical="center" wrapText="1"/>
      <protection locked="0"/>
    </xf>
    <xf numFmtId="0" fontId="3" fillId="29" borderId="79" xfId="0" applyFont="1" applyFill="1" applyBorder="1" applyAlignment="1" applyProtection="1">
      <alignment horizontal="right" vertical="center" wrapText="1"/>
      <protection locked="0"/>
    </xf>
    <xf numFmtId="0" fontId="3" fillId="29" borderId="80" xfId="0" applyFont="1" applyFill="1" applyBorder="1" applyAlignment="1" applyProtection="1">
      <alignment horizontal="right" vertical="center" wrapText="1"/>
      <protection locked="0"/>
    </xf>
    <xf numFmtId="0" fontId="3" fillId="29" borderId="81" xfId="0" applyFont="1" applyFill="1" applyBorder="1" applyAlignment="1" applyProtection="1">
      <alignment horizontal="right" vertical="center" wrapText="1"/>
      <protection locked="0"/>
    </xf>
    <xf numFmtId="0" fontId="3" fillId="29" borderId="69" xfId="0" applyFont="1" applyFill="1" applyBorder="1" applyAlignment="1" applyProtection="1">
      <alignment horizontal="right" vertical="center" wrapText="1"/>
      <protection locked="0"/>
    </xf>
    <xf numFmtId="41" fontId="6" fillId="54" borderId="36" xfId="0" applyNumberFormat="1" applyFont="1" applyFill="1" applyBorder="1"/>
    <xf numFmtId="0" fontId="55" fillId="34" borderId="0" xfId="0" applyFont="1" applyFill="1" applyBorder="1"/>
    <xf numFmtId="43" fontId="55" fillId="34" borderId="0" xfId="0" applyNumberFormat="1" applyFont="1" applyFill="1" applyBorder="1"/>
    <xf numFmtId="0" fontId="50" fillId="34" borderId="19" xfId="0" applyFont="1" applyFill="1" applyBorder="1" applyAlignment="1">
      <alignment horizontal="center" vertical="center" wrapText="1"/>
    </xf>
    <xf numFmtId="0" fontId="82" fillId="19" borderId="0" xfId="0" applyFont="1" applyFill="1" applyBorder="1" applyAlignment="1" applyProtection="1">
      <alignment vertical="center"/>
    </xf>
    <xf numFmtId="0" fontId="0" fillId="34" borderId="0" xfId="0" applyFill="1"/>
    <xf numFmtId="0" fontId="0" fillId="34" borderId="0" xfId="0" applyFill="1" applyBorder="1"/>
    <xf numFmtId="0" fontId="40" fillId="34" borderId="0" xfId="0" applyFont="1" applyFill="1" applyBorder="1" applyAlignment="1">
      <alignment vertical="center"/>
    </xf>
    <xf numFmtId="0" fontId="41" fillId="34" borderId="0" xfId="0" applyFont="1" applyFill="1" applyBorder="1" applyAlignment="1">
      <alignment vertical="center"/>
    </xf>
    <xf numFmtId="0" fontId="69" fillId="34" borderId="0" xfId="0" applyFont="1" applyFill="1" applyBorder="1" applyAlignment="1">
      <alignment horizontal="center" vertical="center"/>
    </xf>
    <xf numFmtId="0" fontId="0" fillId="34" borderId="0" xfId="0" applyFill="1" applyBorder="1" applyAlignment="1">
      <alignment horizontal="center" vertical="center"/>
    </xf>
    <xf numFmtId="0" fontId="54" fillId="34" borderId="0" xfId="0" applyFont="1" applyFill="1" applyBorder="1" applyAlignment="1">
      <alignment horizontal="center" vertical="center"/>
    </xf>
    <xf numFmtId="0" fontId="42" fillId="34" borderId="0" xfId="0" applyFont="1" applyFill="1" applyBorder="1" applyAlignment="1">
      <alignment vertical="center"/>
    </xf>
    <xf numFmtId="0" fontId="42" fillId="34" borderId="0" xfId="0" applyFont="1" applyFill="1" applyBorder="1"/>
    <xf numFmtId="0" fontId="6" fillId="30" borderId="83" xfId="0" applyFont="1" applyFill="1" applyBorder="1" applyAlignment="1">
      <alignment horizontal="right" vertical="center" wrapText="1"/>
    </xf>
    <xf numFmtId="9" fontId="3" fillId="18" borderId="61" xfId="44" applyFont="1" applyFill="1" applyBorder="1" applyAlignment="1">
      <alignment horizontal="right"/>
    </xf>
    <xf numFmtId="0" fontId="6" fillId="30" borderId="61" xfId="0" applyFont="1" applyFill="1" applyBorder="1" applyAlignment="1">
      <alignment horizontal="right" vertical="center" wrapText="1"/>
    </xf>
    <xf numFmtId="0" fontId="6" fillId="0" borderId="44" xfId="0" applyFont="1" applyBorder="1" applyAlignment="1">
      <alignment horizontal="left" vertical="top"/>
    </xf>
    <xf numFmtId="0" fontId="3" fillId="0" borderId="91" xfId="0" applyFont="1" applyBorder="1" applyAlignment="1">
      <alignment horizontal="left" vertical="top"/>
    </xf>
    <xf numFmtId="0" fontId="6" fillId="0" borderId="46" xfId="0" applyFont="1" applyBorder="1" applyAlignment="1">
      <alignment horizontal="left" vertical="top"/>
    </xf>
    <xf numFmtId="0" fontId="3" fillId="0" borderId="64" xfId="0" applyFont="1" applyBorder="1" applyAlignment="1">
      <alignment horizontal="left" vertical="top"/>
    </xf>
    <xf numFmtId="0" fontId="6" fillId="0" borderId="48" xfId="0" applyFont="1" applyBorder="1" applyAlignment="1">
      <alignment horizontal="left" vertical="top"/>
    </xf>
    <xf numFmtId="0" fontId="3" fillId="0" borderId="68" xfId="0" applyFont="1" applyBorder="1" applyAlignment="1">
      <alignment horizontal="left" vertical="top"/>
    </xf>
    <xf numFmtId="0" fontId="6" fillId="0" borderId="44" xfId="0" applyFont="1" applyBorder="1" applyAlignment="1">
      <alignment horizontal="right"/>
    </xf>
    <xf numFmtId="0" fontId="6" fillId="0" borderId="46" xfId="0" applyFont="1" applyBorder="1" applyAlignment="1">
      <alignment horizontal="right"/>
    </xf>
    <xf numFmtId="0" fontId="6" fillId="0" borderId="48" xfId="0" applyFont="1" applyBorder="1" applyAlignment="1">
      <alignment horizontal="right"/>
    </xf>
    <xf numFmtId="0" fontId="3" fillId="0" borderId="91" xfId="0" applyFont="1" applyBorder="1"/>
    <xf numFmtId="0" fontId="3" fillId="0" borderId="64" xfId="0" applyFont="1" applyBorder="1"/>
    <xf numFmtId="0" fontId="3" fillId="0" borderId="68" xfId="0" applyFont="1" applyBorder="1"/>
    <xf numFmtId="0" fontId="6" fillId="34" borderId="44" xfId="0" applyFont="1" applyFill="1" applyBorder="1" applyAlignment="1">
      <alignment horizontal="right"/>
    </xf>
    <xf numFmtId="0" fontId="3" fillId="34" borderId="83" xfId="0" applyFont="1" applyFill="1" applyBorder="1"/>
    <xf numFmtId="0" fontId="6" fillId="34" borderId="46" xfId="0" applyFont="1" applyFill="1" applyBorder="1" applyAlignment="1">
      <alignment horizontal="right"/>
    </xf>
    <xf numFmtId="0" fontId="3" fillId="34" borderId="61" xfId="0" applyFont="1" applyFill="1" applyBorder="1"/>
    <xf numFmtId="0" fontId="6" fillId="34" borderId="48" xfId="0" applyFont="1" applyFill="1" applyBorder="1" applyAlignment="1">
      <alignment horizontal="right"/>
    </xf>
    <xf numFmtId="0" fontId="3" fillId="34" borderId="65" xfId="0" applyFont="1" applyFill="1" applyBorder="1"/>
    <xf numFmtId="0" fontId="3" fillId="34" borderId="91" xfId="0" applyFont="1" applyFill="1" applyBorder="1"/>
    <xf numFmtId="0" fontId="3" fillId="34" borderId="64" xfId="0" applyFont="1" applyFill="1" applyBorder="1"/>
    <xf numFmtId="0" fontId="0" fillId="34" borderId="64" xfId="0" applyFill="1" applyBorder="1"/>
    <xf numFmtId="0" fontId="3" fillId="34" borderId="64" xfId="0" applyFont="1" applyFill="1" applyBorder="1" applyAlignment="1">
      <alignment wrapText="1"/>
    </xf>
    <xf numFmtId="0" fontId="3" fillId="34" borderId="68" xfId="0" applyFont="1" applyFill="1" applyBorder="1"/>
    <xf numFmtId="0" fontId="6" fillId="34" borderId="44" xfId="0" applyFont="1" applyFill="1" applyBorder="1"/>
    <xf numFmtId="0" fontId="6" fillId="34" borderId="48" xfId="0" applyFont="1" applyFill="1" applyBorder="1"/>
    <xf numFmtId="0" fontId="0" fillId="34" borderId="0" xfId="0" applyFill="1" applyAlignment="1">
      <alignment vertical="top"/>
    </xf>
    <xf numFmtId="0" fontId="6" fillId="14" borderId="0" xfId="0" applyFont="1" applyFill="1" applyAlignment="1">
      <alignment vertical="top"/>
    </xf>
    <xf numFmtId="0" fontId="0" fillId="14" borderId="0" xfId="0" applyFill="1" applyAlignment="1">
      <alignment vertical="top"/>
    </xf>
    <xf numFmtId="0" fontId="0" fillId="0" borderId="0" xfId="0" applyAlignment="1">
      <alignment vertical="top"/>
    </xf>
    <xf numFmtId="0" fontId="11" fillId="34" borderId="0" xfId="0" applyFont="1" applyFill="1" applyAlignment="1">
      <alignment vertical="top"/>
    </xf>
    <xf numFmtId="0" fontId="6" fillId="39" borderId="50" xfId="0" applyFont="1" applyFill="1" applyBorder="1" applyAlignment="1">
      <alignment horizontal="left" vertical="center" wrapText="1"/>
    </xf>
    <xf numFmtId="0" fontId="6" fillId="39" borderId="75" xfId="0" applyFont="1" applyFill="1" applyBorder="1" applyAlignment="1">
      <alignment horizontal="left" vertical="center" wrapText="1"/>
    </xf>
    <xf numFmtId="0" fontId="6" fillId="39" borderId="77" xfId="0" applyFont="1" applyFill="1" applyBorder="1" applyAlignment="1">
      <alignment horizontal="left" vertical="center" wrapText="1"/>
    </xf>
    <xf numFmtId="0" fontId="3" fillId="18" borderId="56" xfId="0" applyFont="1" applyFill="1" applyBorder="1"/>
    <xf numFmtId="0" fontId="3" fillId="18" borderId="57" xfId="0" applyFont="1" applyFill="1" applyBorder="1"/>
    <xf numFmtId="0" fontId="3" fillId="18" borderId="60" xfId="0" applyFont="1" applyFill="1" applyBorder="1"/>
    <xf numFmtId="0" fontId="0" fillId="44" borderId="0" xfId="0" applyFill="1"/>
    <xf numFmtId="0" fontId="86" fillId="30" borderId="22" xfId="0" applyFont="1" applyFill="1" applyBorder="1" applyAlignment="1">
      <alignment vertical="center"/>
    </xf>
    <xf numFmtId="0" fontId="86" fillId="30" borderId="34" xfId="0" applyFont="1" applyFill="1" applyBorder="1" applyAlignment="1">
      <alignment vertical="center"/>
    </xf>
    <xf numFmtId="0" fontId="86" fillId="30" borderId="35" xfId="0" applyFont="1" applyFill="1" applyBorder="1" applyAlignment="1">
      <alignment vertical="center"/>
    </xf>
    <xf numFmtId="43" fontId="6" fillId="54" borderId="52" xfId="0" applyNumberFormat="1" applyFont="1" applyFill="1" applyBorder="1"/>
    <xf numFmtId="43" fontId="6" fillId="54" borderId="53" xfId="0" applyNumberFormat="1" applyFont="1" applyFill="1" applyBorder="1"/>
    <xf numFmtId="43" fontId="6" fillId="54" borderId="54" xfId="0" applyNumberFormat="1" applyFont="1" applyFill="1" applyBorder="1"/>
    <xf numFmtId="43" fontId="6" fillId="54" borderId="55" xfId="0" applyNumberFormat="1" applyFont="1" applyFill="1" applyBorder="1"/>
    <xf numFmtId="0" fontId="3" fillId="39" borderId="39" xfId="0" applyFont="1" applyFill="1" applyBorder="1" applyAlignment="1">
      <alignment horizontal="center" vertical="center" wrapText="1"/>
    </xf>
    <xf numFmtId="0" fontId="3" fillId="39" borderId="157" xfId="0" applyFont="1" applyFill="1" applyBorder="1" applyAlignment="1">
      <alignment horizontal="center" vertical="center" wrapText="1"/>
    </xf>
    <xf numFmtId="0" fontId="3" fillId="39" borderId="165" xfId="0" applyFont="1" applyFill="1" applyBorder="1" applyAlignment="1">
      <alignment horizontal="center" vertical="center" wrapText="1"/>
    </xf>
    <xf numFmtId="168" fontId="3" fillId="18" borderId="111" xfId="30" applyNumberFormat="1" applyFont="1" applyFill="1" applyBorder="1"/>
    <xf numFmtId="168" fontId="3" fillId="18" borderId="105" xfId="30" applyNumberFormat="1" applyFont="1" applyFill="1" applyBorder="1"/>
    <xf numFmtId="0" fontId="8" fillId="18" borderId="56" xfId="0" applyFont="1" applyFill="1" applyBorder="1" applyAlignment="1">
      <alignment wrapText="1"/>
    </xf>
    <xf numFmtId="0" fontId="8" fillId="18" borderId="57" xfId="0" applyFont="1" applyFill="1" applyBorder="1" applyAlignment="1">
      <alignment wrapText="1"/>
    </xf>
    <xf numFmtId="41" fontId="8" fillId="39" borderId="46" xfId="0" applyNumberFormat="1" applyFont="1" applyFill="1" applyBorder="1" applyAlignment="1">
      <alignment wrapText="1"/>
    </xf>
    <xf numFmtId="41" fontId="8" fillId="39" borderId="61" xfId="0" applyNumberFormat="1" applyFont="1" applyFill="1" applyBorder="1" applyAlignment="1">
      <alignment wrapText="1"/>
    </xf>
    <xf numFmtId="0" fontId="8" fillId="18" borderId="46" xfId="0" applyFont="1" applyFill="1" applyBorder="1" applyAlignment="1">
      <alignment wrapText="1"/>
    </xf>
    <xf numFmtId="0" fontId="8" fillId="18" borderId="61" xfId="0" applyFont="1" applyFill="1" applyBorder="1" applyAlignment="1">
      <alignment wrapText="1"/>
    </xf>
    <xf numFmtId="0" fontId="8" fillId="18" borderId="56" xfId="0" applyFont="1" applyFill="1" applyBorder="1" applyAlignment="1">
      <alignment horizontal="left" vertical="top" wrapText="1"/>
    </xf>
    <xf numFmtId="0" fontId="8" fillId="18" borderId="57" xfId="0" applyFont="1" applyFill="1" applyBorder="1" applyAlignment="1">
      <alignment horizontal="left" vertical="top" wrapText="1"/>
    </xf>
    <xf numFmtId="41" fontId="8" fillId="39" borderId="46" xfId="0" applyNumberFormat="1" applyFont="1" applyFill="1" applyBorder="1" applyAlignment="1">
      <alignment horizontal="left" vertical="top" wrapText="1"/>
    </xf>
    <xf numFmtId="41" fontId="8" fillId="39" borderId="61" xfId="0" applyNumberFormat="1" applyFont="1" applyFill="1" applyBorder="1" applyAlignment="1">
      <alignment horizontal="left" vertical="top" wrapText="1"/>
    </xf>
    <xf numFmtId="0" fontId="8" fillId="18" borderId="46" xfId="0" applyFont="1" applyFill="1" applyBorder="1" applyAlignment="1">
      <alignment horizontal="left" vertical="top" wrapText="1"/>
    </xf>
    <xf numFmtId="0" fontId="8" fillId="18" borderId="61" xfId="0" applyFont="1" applyFill="1" applyBorder="1" applyAlignment="1">
      <alignment horizontal="left" vertical="top" wrapText="1"/>
    </xf>
    <xf numFmtId="0" fontId="3" fillId="34" borderId="21" xfId="0" applyFont="1" applyFill="1" applyBorder="1"/>
    <xf numFmtId="0" fontId="3" fillId="34" borderId="19" xfId="0" applyFont="1" applyFill="1" applyBorder="1" applyAlignment="1">
      <alignment horizontal="left"/>
    </xf>
    <xf numFmtId="0" fontId="3" fillId="34" borderId="19" xfId="0" applyFont="1" applyFill="1" applyBorder="1"/>
    <xf numFmtId="0" fontId="3" fillId="34" borderId="25" xfId="0" applyFont="1" applyFill="1" applyBorder="1" applyAlignment="1">
      <alignment vertical="center"/>
    </xf>
    <xf numFmtId="0" fontId="12" fillId="30" borderId="90" xfId="0" applyFont="1" applyFill="1" applyBorder="1" applyAlignment="1">
      <alignment horizontal="left" vertical="center" wrapText="1"/>
    </xf>
    <xf numFmtId="0" fontId="12" fillId="30" borderId="63" xfId="0" applyFont="1" applyFill="1" applyBorder="1" applyAlignment="1">
      <alignment horizontal="left" vertical="center" wrapText="1"/>
    </xf>
    <xf numFmtId="168" fontId="3" fillId="18" borderId="63" xfId="30" applyNumberFormat="1" applyFont="1" applyFill="1" applyBorder="1" applyAlignment="1">
      <alignment horizontal="right"/>
    </xf>
    <xf numFmtId="168" fontId="3" fillId="39" borderId="63" xfId="30" applyNumberFormat="1" applyFont="1" applyFill="1" applyBorder="1" applyAlignment="1">
      <alignment horizontal="right"/>
    </xf>
    <xf numFmtId="168" fontId="3" fillId="32" borderId="76" xfId="0" applyNumberFormat="1" applyFont="1" applyFill="1" applyBorder="1" applyAlignment="1">
      <alignment horizontal="right" wrapText="1"/>
    </xf>
    <xf numFmtId="168" fontId="3" fillId="32" borderId="78" xfId="0" applyNumberFormat="1" applyFont="1" applyFill="1" applyBorder="1" applyAlignment="1">
      <alignment horizontal="right" wrapText="1"/>
    </xf>
    <xf numFmtId="168" fontId="3" fillId="39" borderId="64" xfId="0" applyNumberFormat="1" applyFont="1" applyFill="1" applyBorder="1" applyAlignment="1">
      <alignment horizontal="right"/>
    </xf>
    <xf numFmtId="168" fontId="3" fillId="25" borderId="168" xfId="0" applyNumberFormat="1" applyFont="1" applyFill="1" applyBorder="1" applyAlignment="1">
      <alignment horizontal="right"/>
    </xf>
    <xf numFmtId="168" fontId="6" fillId="31" borderId="48" xfId="0" applyNumberFormat="1" applyFont="1" applyFill="1" applyBorder="1" applyAlignment="1">
      <alignment horizontal="right"/>
    </xf>
    <xf numFmtId="168" fontId="6" fillId="31" borderId="65" xfId="0" applyNumberFormat="1" applyFont="1" applyFill="1" applyBorder="1" applyAlignment="1">
      <alignment horizontal="right"/>
    </xf>
    <xf numFmtId="168" fontId="6" fillId="31" borderId="68" xfId="0" applyNumberFormat="1" applyFont="1" applyFill="1" applyBorder="1" applyAlignment="1">
      <alignment horizontal="right"/>
    </xf>
    <xf numFmtId="168" fontId="3" fillId="30" borderId="63" xfId="30" applyNumberFormat="1" applyFont="1" applyFill="1" applyBorder="1" applyAlignment="1">
      <alignment horizontal="right"/>
    </xf>
    <xf numFmtId="168" fontId="3" fillId="18" borderId="90" xfId="30" applyNumberFormat="1" applyFont="1" applyFill="1" applyBorder="1" applyAlignment="1">
      <alignment horizontal="right"/>
    </xf>
    <xf numFmtId="168" fontId="3" fillId="30" borderId="67" xfId="30" applyNumberFormat="1" applyFont="1" applyFill="1" applyBorder="1" applyAlignment="1">
      <alignment horizontal="right"/>
    </xf>
    <xf numFmtId="168" fontId="3" fillId="32" borderId="83" xfId="0" applyNumberFormat="1" applyFont="1" applyFill="1" applyBorder="1" applyAlignment="1">
      <alignment horizontal="right" wrapText="1"/>
    </xf>
    <xf numFmtId="0" fontId="3" fillId="30" borderId="46" xfId="0" applyFont="1" applyFill="1" applyBorder="1" applyAlignment="1">
      <alignment horizontal="right" wrapText="1"/>
    </xf>
    <xf numFmtId="0" fontId="3" fillId="30" borderId="61" xfId="0" applyFont="1" applyFill="1" applyBorder="1" applyAlignment="1">
      <alignment horizontal="right" wrapText="1"/>
    </xf>
    <xf numFmtId="168" fontId="3" fillId="32" borderId="61" xfId="0" applyNumberFormat="1" applyFont="1" applyFill="1" applyBorder="1" applyAlignment="1">
      <alignment horizontal="right" wrapText="1"/>
    </xf>
    <xf numFmtId="168" fontId="3" fillId="30" borderId="61" xfId="0" applyNumberFormat="1" applyFont="1" applyFill="1" applyBorder="1" applyAlignment="1">
      <alignment horizontal="right" wrapText="1"/>
    </xf>
    <xf numFmtId="168" fontId="3" fillId="32" borderId="91" xfId="0" applyNumberFormat="1" applyFont="1" applyFill="1" applyBorder="1" applyAlignment="1">
      <alignment horizontal="right" wrapText="1"/>
    </xf>
    <xf numFmtId="0" fontId="3" fillId="30" borderId="64" xfId="0" applyFont="1" applyFill="1" applyBorder="1" applyAlignment="1">
      <alignment horizontal="right" wrapText="1"/>
    </xf>
    <xf numFmtId="168" fontId="3" fillId="32" borderId="64" xfId="0" applyNumberFormat="1" applyFont="1" applyFill="1" applyBorder="1" applyAlignment="1">
      <alignment horizontal="right" wrapText="1"/>
    </xf>
    <xf numFmtId="168" fontId="3" fillId="30" borderId="64" xfId="0" applyNumberFormat="1" applyFont="1" applyFill="1" applyBorder="1" applyAlignment="1">
      <alignment horizontal="right" wrapText="1"/>
    </xf>
    <xf numFmtId="168" fontId="3" fillId="30" borderId="91" xfId="0" applyNumberFormat="1" applyFont="1" applyFill="1" applyBorder="1"/>
    <xf numFmtId="168" fontId="3" fillId="31" borderId="64" xfId="0" applyNumberFormat="1" applyFont="1" applyFill="1" applyBorder="1"/>
    <xf numFmtId="43" fontId="3" fillId="31" borderId="68" xfId="0" applyNumberFormat="1" applyFont="1" applyFill="1" applyBorder="1"/>
    <xf numFmtId="0" fontId="3" fillId="34" borderId="46" xfId="30" applyNumberFormat="1" applyFont="1" applyFill="1" applyBorder="1"/>
    <xf numFmtId="168" fontId="3" fillId="18" borderId="77" xfId="30" applyNumberFormat="1" applyFont="1" applyFill="1" applyBorder="1"/>
    <xf numFmtId="168" fontId="3" fillId="39" borderId="77" xfId="30" applyNumberFormat="1" applyFont="1" applyFill="1" applyBorder="1"/>
    <xf numFmtId="164" fontId="3" fillId="32" borderId="77" xfId="44" applyNumberFormat="1" applyFont="1" applyFill="1" applyBorder="1"/>
    <xf numFmtId="170" fontId="3" fillId="39" borderId="77" xfId="30" applyNumberFormat="1" applyFont="1" applyFill="1" applyBorder="1"/>
    <xf numFmtId="168" fontId="3" fillId="31" borderId="118" xfId="0" applyNumberFormat="1" applyFont="1" applyFill="1" applyBorder="1"/>
    <xf numFmtId="168" fontId="3" fillId="18" borderId="78" xfId="30" applyNumberFormat="1" applyFont="1" applyFill="1" applyBorder="1"/>
    <xf numFmtId="168" fontId="3" fillId="39" borderId="78" xfId="30" applyNumberFormat="1" applyFont="1" applyFill="1" applyBorder="1"/>
    <xf numFmtId="164" fontId="3" fillId="32" borderId="78" xfId="44" applyNumberFormat="1" applyFont="1" applyFill="1" applyBorder="1"/>
    <xf numFmtId="170" fontId="3" fillId="39" borderId="78" xfId="30" applyNumberFormat="1" applyFont="1" applyFill="1" applyBorder="1"/>
    <xf numFmtId="0" fontId="3" fillId="34" borderId="78" xfId="30" applyNumberFormat="1" applyFont="1" applyFill="1" applyBorder="1"/>
    <xf numFmtId="168" fontId="3" fillId="31" borderId="150" xfId="0" applyNumberFormat="1" applyFont="1" applyFill="1" applyBorder="1"/>
    <xf numFmtId="168" fontId="3" fillId="30" borderId="75" xfId="0" applyNumberFormat="1" applyFont="1" applyFill="1" applyBorder="1"/>
    <xf numFmtId="168" fontId="3" fillId="39" borderId="77" xfId="0" applyNumberFormat="1" applyFont="1" applyFill="1" applyBorder="1"/>
    <xf numFmtId="168" fontId="3" fillId="31" borderId="77" xfId="0" applyNumberFormat="1" applyFont="1" applyFill="1" applyBorder="1"/>
    <xf numFmtId="168" fontId="3" fillId="30" borderId="75" xfId="0" applyNumberFormat="1" applyFont="1" applyFill="1" applyBorder="1" applyAlignment="1">
      <alignment horizontal="right" wrapText="1"/>
    </xf>
    <xf numFmtId="168" fontId="3" fillId="30" borderId="77" xfId="30" applyNumberFormat="1" applyFont="1" applyFill="1" applyBorder="1" applyAlignment="1">
      <alignment horizontal="right"/>
    </xf>
    <xf numFmtId="43" fontId="3" fillId="30" borderId="77" xfId="30" applyFont="1" applyFill="1" applyBorder="1" applyAlignment="1">
      <alignment horizontal="right"/>
    </xf>
    <xf numFmtId="168" fontId="6" fillId="31" borderId="77" xfId="0" applyNumberFormat="1" applyFont="1" applyFill="1" applyBorder="1" applyAlignment="1">
      <alignment horizontal="right"/>
    </xf>
    <xf numFmtId="168" fontId="3" fillId="25" borderId="77" xfId="0" applyNumberFormat="1" applyFont="1" applyFill="1" applyBorder="1" applyAlignment="1">
      <alignment horizontal="right"/>
    </xf>
    <xf numFmtId="168" fontId="3" fillId="30" borderId="78" xfId="30" applyNumberFormat="1" applyFont="1" applyFill="1" applyBorder="1" applyAlignment="1">
      <alignment horizontal="right"/>
    </xf>
    <xf numFmtId="168" fontId="6" fillId="31" borderId="78" xfId="0" applyNumberFormat="1" applyFont="1" applyFill="1" applyBorder="1" applyAlignment="1">
      <alignment horizontal="right"/>
    </xf>
    <xf numFmtId="168" fontId="3" fillId="25" borderId="78" xfId="0" applyNumberFormat="1" applyFont="1" applyFill="1" applyBorder="1" applyAlignment="1">
      <alignment horizontal="right"/>
    </xf>
    <xf numFmtId="168" fontId="3" fillId="30" borderId="77" xfId="0" applyNumberFormat="1" applyFont="1" applyFill="1" applyBorder="1" applyAlignment="1">
      <alignment horizontal="right" wrapText="1"/>
    </xf>
    <xf numFmtId="168" fontId="6" fillId="31" borderId="137" xfId="0" applyNumberFormat="1" applyFont="1" applyFill="1" applyBorder="1" applyAlignment="1">
      <alignment horizontal="right"/>
    </xf>
    <xf numFmtId="168" fontId="6" fillId="31" borderId="169" xfId="0" applyNumberFormat="1" applyFont="1" applyFill="1" applyBorder="1" applyAlignment="1">
      <alignment horizontal="right"/>
    </xf>
    <xf numFmtId="166" fontId="3" fillId="18" borderId="46" xfId="30" applyNumberFormat="1" applyFont="1" applyFill="1" applyBorder="1"/>
    <xf numFmtId="0" fontId="66" fillId="50" borderId="61" xfId="0" applyFont="1" applyFill="1" applyBorder="1" applyAlignment="1">
      <alignment horizontal="center" vertical="center" wrapText="1"/>
    </xf>
    <xf numFmtId="0" fontId="66" fillId="50" borderId="65" xfId="0" applyFont="1" applyFill="1" applyBorder="1" applyAlignment="1">
      <alignment horizontal="center" vertical="center"/>
    </xf>
    <xf numFmtId="168" fontId="3" fillId="18" borderId="77" xfId="30" applyNumberFormat="1" applyFont="1" applyFill="1" applyBorder="1" applyAlignment="1">
      <alignment horizontal="right"/>
    </xf>
    <xf numFmtId="0" fontId="3" fillId="25" borderId="35" xfId="0" applyFont="1" applyFill="1" applyBorder="1" applyAlignment="1" applyProtection="1">
      <alignment vertical="center"/>
      <protection locked="0"/>
    </xf>
    <xf numFmtId="0" fontId="3" fillId="25" borderId="34" xfId="0" applyFont="1" applyFill="1" applyBorder="1" applyAlignment="1" applyProtection="1">
      <alignment vertical="center"/>
      <protection locked="0"/>
    </xf>
    <xf numFmtId="0" fontId="3" fillId="39" borderId="44" xfId="0" applyFont="1" applyFill="1" applyBorder="1" applyAlignment="1" applyProtection="1">
      <alignment horizontal="right"/>
      <protection locked="0"/>
    </xf>
    <xf numFmtId="0" fontId="3" fillId="39" borderId="83" xfId="0" applyFont="1" applyFill="1" applyBorder="1" applyAlignment="1" applyProtection="1">
      <alignment horizontal="right"/>
      <protection locked="0"/>
    </xf>
    <xf numFmtId="0" fontId="3" fillId="39" borderId="91" xfId="0" applyFont="1" applyFill="1" applyBorder="1" applyAlignment="1" applyProtection="1">
      <alignment horizontal="right"/>
      <protection locked="0"/>
    </xf>
    <xf numFmtId="168" fontId="3" fillId="44" borderId="64" xfId="30" applyNumberFormat="1" applyFont="1" applyFill="1" applyBorder="1" applyAlignment="1">
      <alignment horizontal="right"/>
    </xf>
    <xf numFmtId="168" fontId="3" fillId="25" borderId="63" xfId="30" applyNumberFormat="1" applyFont="1" applyFill="1" applyBorder="1"/>
    <xf numFmtId="168" fontId="46" fillId="32" borderId="108" xfId="30" applyNumberFormat="1" applyFont="1" applyFill="1" applyBorder="1"/>
    <xf numFmtId="168" fontId="46" fillId="32" borderId="109" xfId="30" applyNumberFormat="1" applyFont="1" applyFill="1" applyBorder="1"/>
    <xf numFmtId="168" fontId="6" fillId="30" borderId="90" xfId="0" applyNumberFormat="1" applyFont="1" applyFill="1" applyBorder="1" applyAlignment="1">
      <alignment horizontal="left" vertical="center" wrapText="1"/>
    </xf>
    <xf numFmtId="168" fontId="6" fillId="30" borderId="63" xfId="0" applyNumberFormat="1" applyFont="1" applyFill="1" applyBorder="1" applyAlignment="1">
      <alignment horizontal="left" vertical="center" wrapText="1"/>
    </xf>
    <xf numFmtId="168" fontId="12" fillId="35" borderId="67" xfId="30" applyNumberFormat="1" applyFont="1" applyFill="1" applyBorder="1"/>
    <xf numFmtId="168" fontId="3" fillId="32" borderId="24" xfId="30" applyNumberFormat="1" applyFont="1" applyFill="1" applyBorder="1"/>
    <xf numFmtId="168" fontId="3" fillId="32" borderId="127" xfId="30" applyNumberFormat="1" applyFont="1" applyFill="1" applyBorder="1"/>
    <xf numFmtId="168" fontId="6" fillId="49" borderId="56" xfId="0" applyNumberFormat="1" applyFont="1" applyFill="1" applyBorder="1" applyAlignment="1">
      <alignment horizontal="left" vertical="center" wrapText="1"/>
    </xf>
    <xf numFmtId="168" fontId="6" fillId="49" borderId="60" xfId="0" applyNumberFormat="1" applyFont="1" applyFill="1" applyBorder="1" applyAlignment="1">
      <alignment horizontal="left" vertical="center" wrapText="1"/>
    </xf>
    <xf numFmtId="168" fontId="6" fillId="35" borderId="46" xfId="30" applyNumberFormat="1" applyFont="1" applyFill="1" applyBorder="1"/>
    <xf numFmtId="168" fontId="6" fillId="35" borderId="61" xfId="30" applyNumberFormat="1" applyFont="1" applyFill="1" applyBorder="1"/>
    <xf numFmtId="168" fontId="6" fillId="35" borderId="64" xfId="30" applyNumberFormat="1" applyFont="1" applyFill="1" applyBorder="1"/>
    <xf numFmtId="168" fontId="6" fillId="35" borderId="48" xfId="30" applyNumberFormat="1" applyFont="1" applyFill="1" applyBorder="1"/>
    <xf numFmtId="168" fontId="6" fillId="35" borderId="65" xfId="30" applyNumberFormat="1" applyFont="1" applyFill="1" applyBorder="1"/>
    <xf numFmtId="168" fontId="6" fillId="35" borderId="68" xfId="30" applyNumberFormat="1" applyFont="1" applyFill="1" applyBorder="1"/>
    <xf numFmtId="168" fontId="3" fillId="30" borderId="77" xfId="30" applyNumberFormat="1" applyFont="1" applyFill="1" applyBorder="1"/>
    <xf numFmtId="168" fontId="3" fillId="30" borderId="118" xfId="30" applyNumberFormat="1" applyFont="1" applyFill="1" applyBorder="1"/>
    <xf numFmtId="9" fontId="3" fillId="49" borderId="99" xfId="44" applyFont="1" applyFill="1" applyBorder="1"/>
    <xf numFmtId="168" fontId="6" fillId="35" borderId="77" xfId="30" applyNumberFormat="1" applyFont="1" applyFill="1" applyBorder="1"/>
    <xf numFmtId="168" fontId="6" fillId="35" borderId="137" xfId="30" applyNumberFormat="1" applyFont="1" applyFill="1" applyBorder="1"/>
    <xf numFmtId="0" fontId="3" fillId="39" borderId="169" xfId="0" applyFont="1" applyFill="1" applyBorder="1" applyAlignment="1" applyProtection="1">
      <alignment vertical="center" wrapText="1"/>
      <protection locked="0"/>
    </xf>
    <xf numFmtId="0" fontId="3" fillId="39" borderId="24" xfId="0" applyFont="1" applyFill="1" applyBorder="1" applyAlignment="1" applyProtection="1">
      <alignment vertical="center" wrapText="1"/>
      <protection locked="0"/>
    </xf>
    <xf numFmtId="0" fontId="3" fillId="39" borderId="132" xfId="0" applyFont="1" applyFill="1" applyBorder="1" applyAlignment="1" applyProtection="1">
      <alignment vertical="center" wrapText="1"/>
      <protection locked="0"/>
    </xf>
    <xf numFmtId="0" fontId="3" fillId="14" borderId="41" xfId="0" applyFont="1" applyFill="1" applyBorder="1" applyAlignment="1" applyProtection="1">
      <alignment vertical="center" wrapText="1"/>
      <protection locked="0"/>
    </xf>
    <xf numFmtId="0" fontId="3" fillId="14" borderId="13" xfId="0" applyFont="1" applyFill="1" applyBorder="1" applyAlignment="1" applyProtection="1">
      <alignment vertical="center" wrapText="1"/>
      <protection locked="0"/>
    </xf>
    <xf numFmtId="0" fontId="3" fillId="18" borderId="46" xfId="30" applyNumberFormat="1" applyFont="1" applyFill="1" applyBorder="1"/>
    <xf numFmtId="168" fontId="3" fillId="30" borderId="56" xfId="30" applyNumberFormat="1" applyFont="1" applyFill="1" applyBorder="1"/>
    <xf numFmtId="168" fontId="3" fillId="30" borderId="60" xfId="30" applyNumberFormat="1" applyFont="1" applyFill="1" applyBorder="1"/>
    <xf numFmtId="0" fontId="46" fillId="34" borderId="117" xfId="0" applyFont="1" applyFill="1" applyBorder="1" applyAlignment="1">
      <alignment horizontal="left" vertical="center" wrapText="1"/>
    </xf>
    <xf numFmtId="168" fontId="46" fillId="39" borderId="24" xfId="30" applyNumberFormat="1" applyFont="1" applyFill="1" applyBorder="1" applyAlignment="1">
      <alignment horizontal="right"/>
    </xf>
    <xf numFmtId="168" fontId="3" fillId="32" borderId="111" xfId="30" applyNumberFormat="1" applyFont="1" applyFill="1" applyBorder="1"/>
    <xf numFmtId="168" fontId="3" fillId="32" borderId="105" xfId="30" applyNumberFormat="1" applyFont="1" applyFill="1" applyBorder="1"/>
    <xf numFmtId="168" fontId="3" fillId="32" borderId="63" xfId="30" applyNumberFormat="1" applyFont="1" applyFill="1" applyBorder="1"/>
    <xf numFmtId="168" fontId="3" fillId="32" borderId="173" xfId="30" applyNumberFormat="1" applyFont="1" applyFill="1" applyBorder="1"/>
    <xf numFmtId="168" fontId="3" fillId="32" borderId="77" xfId="30" applyNumberFormat="1" applyFont="1" applyFill="1" applyBorder="1" applyAlignment="1">
      <alignment horizontal="right"/>
    </xf>
    <xf numFmtId="168" fontId="3" fillId="32" borderId="78" xfId="30" applyNumberFormat="1" applyFont="1" applyFill="1" applyBorder="1" applyAlignment="1">
      <alignment horizontal="right"/>
    </xf>
    <xf numFmtId="168" fontId="3" fillId="30" borderId="44" xfId="30" applyNumberFormat="1" applyFont="1" applyFill="1" applyBorder="1" applyAlignment="1">
      <alignment horizontal="right"/>
    </xf>
    <xf numFmtId="168" fontId="3" fillId="30" borderId="91" xfId="30" applyNumberFormat="1" applyFont="1" applyFill="1" applyBorder="1" applyAlignment="1">
      <alignment horizontal="right"/>
    </xf>
    <xf numFmtId="168" fontId="3" fillId="30" borderId="75" xfId="30" applyNumberFormat="1" applyFont="1" applyFill="1" applyBorder="1" applyAlignment="1">
      <alignment horizontal="right"/>
    </xf>
    <xf numFmtId="168" fontId="3" fillId="30" borderId="114" xfId="30" applyNumberFormat="1" applyFont="1" applyFill="1" applyBorder="1" applyAlignment="1">
      <alignment horizontal="right"/>
    </xf>
    <xf numFmtId="168" fontId="3" fillId="18" borderId="142" xfId="30" applyNumberFormat="1" applyFont="1" applyFill="1" applyBorder="1" applyAlignment="1">
      <alignment horizontal="right"/>
    </xf>
    <xf numFmtId="168" fontId="3" fillId="32" borderId="142" xfId="30" applyNumberFormat="1" applyFont="1" applyFill="1" applyBorder="1" applyAlignment="1">
      <alignment horizontal="right"/>
    </xf>
    <xf numFmtId="168" fontId="3" fillId="30" borderId="142" xfId="30" applyNumberFormat="1" applyFont="1" applyFill="1" applyBorder="1" applyAlignment="1">
      <alignment horizontal="right"/>
    </xf>
    <xf numFmtId="168" fontId="3" fillId="31" borderId="46" xfId="30" applyNumberFormat="1" applyFont="1" applyFill="1" applyBorder="1" applyAlignment="1">
      <alignment horizontal="right"/>
    </xf>
    <xf numFmtId="168" fontId="3" fillId="31" borderId="61" xfId="30" applyNumberFormat="1" applyFont="1" applyFill="1" applyBorder="1" applyAlignment="1">
      <alignment horizontal="right"/>
    </xf>
    <xf numFmtId="168" fontId="3" fillId="31" borderId="64" xfId="30" applyNumberFormat="1" applyFont="1" applyFill="1" applyBorder="1" applyAlignment="1">
      <alignment horizontal="right"/>
    </xf>
    <xf numFmtId="168" fontId="3" fillId="31" borderId="77" xfId="30" applyNumberFormat="1" applyFont="1" applyFill="1" applyBorder="1" applyAlignment="1">
      <alignment horizontal="right"/>
    </xf>
    <xf numFmtId="168" fontId="3" fillId="31" borderId="142" xfId="30" applyNumberFormat="1" applyFont="1" applyFill="1" applyBorder="1" applyAlignment="1">
      <alignment horizontal="right"/>
    </xf>
    <xf numFmtId="168" fontId="6" fillId="31" borderId="48" xfId="0" applyNumberFormat="1" applyFont="1" applyFill="1" applyBorder="1" applyAlignment="1">
      <alignment horizontal="right" vertical="center"/>
    </xf>
    <xf numFmtId="168" fontId="6" fillId="31" borderId="65" xfId="0" applyNumberFormat="1" applyFont="1" applyFill="1" applyBorder="1" applyAlignment="1">
      <alignment horizontal="right" vertical="center"/>
    </xf>
    <xf numFmtId="168" fontId="6" fillId="31" borderId="68" xfId="0" applyNumberFormat="1" applyFont="1" applyFill="1" applyBorder="1" applyAlignment="1">
      <alignment horizontal="right" vertical="center"/>
    </xf>
    <xf numFmtId="168" fontId="6" fillId="31" borderId="118" xfId="0" applyNumberFormat="1" applyFont="1" applyFill="1" applyBorder="1" applyAlignment="1">
      <alignment horizontal="right" vertical="center"/>
    </xf>
    <xf numFmtId="168" fontId="6" fillId="31" borderId="148" xfId="0" applyNumberFormat="1" applyFont="1" applyFill="1" applyBorder="1" applyAlignment="1">
      <alignment horizontal="right" vertical="center"/>
    </xf>
    <xf numFmtId="0" fontId="3" fillId="52" borderId="21" xfId="0" applyFont="1" applyFill="1" applyBorder="1"/>
    <xf numFmtId="0" fontId="3" fillId="52" borderId="22" xfId="0" applyFont="1" applyFill="1" applyBorder="1"/>
    <xf numFmtId="0" fontId="3" fillId="52" borderId="23" xfId="0" applyFont="1" applyFill="1" applyBorder="1"/>
    <xf numFmtId="0" fontId="3" fillId="52" borderId="22" xfId="0" applyFont="1" applyFill="1" applyBorder="1" applyAlignment="1">
      <alignment horizontal="right"/>
    </xf>
    <xf numFmtId="0" fontId="3" fillId="52" borderId="23" xfId="0" applyFont="1" applyFill="1" applyBorder="1" applyAlignment="1">
      <alignment horizontal="right"/>
    </xf>
    <xf numFmtId="0" fontId="3" fillId="30" borderId="51" xfId="0" applyFont="1" applyFill="1" applyBorder="1" applyAlignment="1">
      <alignment vertical="center" wrapText="1"/>
    </xf>
    <xf numFmtId="0" fontId="3" fillId="30" borderId="77" xfId="0" applyFont="1" applyFill="1" applyBorder="1" applyAlignment="1">
      <alignment vertical="center" wrapText="1"/>
    </xf>
    <xf numFmtId="0" fontId="3" fillId="30" borderId="78" xfId="0" applyFont="1" applyFill="1" applyBorder="1" applyAlignment="1">
      <alignment vertical="center" wrapText="1"/>
    </xf>
    <xf numFmtId="0" fontId="3" fillId="30" borderId="77" xfId="0" applyFont="1" applyFill="1" applyBorder="1" applyAlignment="1">
      <alignment horizontal="right" vertical="center"/>
    </xf>
    <xf numFmtId="0" fontId="3" fillId="30" borderId="78" xfId="0" applyFont="1" applyFill="1" applyBorder="1" applyAlignment="1">
      <alignment horizontal="right" vertical="center" wrapText="1"/>
    </xf>
    <xf numFmtId="168" fontId="6" fillId="31" borderId="46" xfId="0" applyNumberFormat="1" applyFont="1" applyFill="1" applyBorder="1" applyAlignment="1">
      <alignment horizontal="left" vertical="center" wrapText="1"/>
    </xf>
    <xf numFmtId="168" fontId="6" fillId="31" borderId="61" xfId="0" applyNumberFormat="1" applyFont="1" applyFill="1" applyBorder="1" applyAlignment="1">
      <alignment horizontal="left" vertical="center" wrapText="1"/>
    </xf>
    <xf numFmtId="168" fontId="6" fillId="31" borderId="64" xfId="0" applyNumberFormat="1" applyFont="1" applyFill="1" applyBorder="1" applyAlignment="1">
      <alignment horizontal="left" vertical="center" wrapText="1"/>
    </xf>
    <xf numFmtId="168" fontId="6" fillId="31" borderId="77" xfId="0" applyNumberFormat="1" applyFont="1" applyFill="1" applyBorder="1" applyAlignment="1">
      <alignment horizontal="right" vertical="center"/>
    </xf>
    <xf numFmtId="168" fontId="6" fillId="31" borderId="78" xfId="0" applyNumberFormat="1" applyFont="1" applyFill="1" applyBorder="1" applyAlignment="1">
      <alignment horizontal="right" vertical="center" wrapText="1"/>
    </xf>
    <xf numFmtId="168" fontId="6" fillId="31" borderId="48" xfId="0" applyNumberFormat="1" applyFont="1" applyFill="1" applyBorder="1" applyAlignment="1">
      <alignment horizontal="left" vertical="center" wrapText="1"/>
    </xf>
    <xf numFmtId="168" fontId="6" fillId="31" borderId="65" xfId="0" applyNumberFormat="1" applyFont="1" applyFill="1" applyBorder="1" applyAlignment="1">
      <alignment horizontal="left" vertical="center" wrapText="1"/>
    </xf>
    <xf numFmtId="168" fontId="6" fillId="31" borderId="68" xfId="0" applyNumberFormat="1" applyFont="1" applyFill="1" applyBorder="1" applyAlignment="1">
      <alignment horizontal="left" vertical="center" wrapText="1"/>
    </xf>
    <xf numFmtId="168" fontId="6" fillId="31" borderId="118" xfId="0" applyNumberFormat="1" applyFont="1" applyFill="1" applyBorder="1" applyAlignment="1">
      <alignment horizontal="right" vertical="center"/>
    </xf>
    <xf numFmtId="168" fontId="6" fillId="31" borderId="150" xfId="0" applyNumberFormat="1" applyFont="1" applyFill="1" applyBorder="1" applyAlignment="1">
      <alignment horizontal="right" vertical="center" wrapText="1"/>
    </xf>
    <xf numFmtId="168" fontId="3" fillId="30" borderId="21" xfId="30" applyNumberFormat="1" applyFont="1" applyFill="1" applyBorder="1" applyAlignment="1">
      <alignment horizontal="right"/>
    </xf>
    <xf numFmtId="168" fontId="3" fillId="30" borderId="22" xfId="30" applyNumberFormat="1" applyFont="1" applyFill="1" applyBorder="1" applyAlignment="1">
      <alignment horizontal="right"/>
    </xf>
    <xf numFmtId="168" fontId="3" fillId="30" borderId="23" xfId="30" applyNumberFormat="1" applyFont="1" applyFill="1" applyBorder="1" applyAlignment="1">
      <alignment horizontal="right"/>
    </xf>
    <xf numFmtId="168" fontId="3" fillId="30" borderId="59" xfId="30" applyNumberFormat="1" applyFont="1" applyFill="1" applyBorder="1" applyAlignment="1">
      <alignment horizontal="right"/>
    </xf>
    <xf numFmtId="168" fontId="3" fillId="30" borderId="57" xfId="30" applyNumberFormat="1" applyFont="1" applyFill="1" applyBorder="1" applyAlignment="1">
      <alignment horizontal="right"/>
    </xf>
    <xf numFmtId="168" fontId="3" fillId="30" borderId="60" xfId="30" applyNumberFormat="1" applyFont="1" applyFill="1" applyBorder="1" applyAlignment="1">
      <alignment horizontal="right"/>
    </xf>
    <xf numFmtId="168" fontId="3" fillId="39" borderId="19" xfId="30" applyNumberFormat="1" applyFont="1" applyFill="1" applyBorder="1" applyAlignment="1">
      <alignment horizontal="right"/>
    </xf>
    <xf numFmtId="168" fontId="3" fillId="39" borderId="0" xfId="30" applyNumberFormat="1" applyFont="1" applyFill="1" applyBorder="1" applyAlignment="1">
      <alignment horizontal="right"/>
    </xf>
    <xf numFmtId="168" fontId="3" fillId="39" borderId="24" xfId="30" applyNumberFormat="1" applyFont="1" applyFill="1" applyBorder="1" applyAlignment="1">
      <alignment horizontal="right"/>
    </xf>
    <xf numFmtId="168" fontId="3" fillId="30" borderId="19" xfId="30" applyNumberFormat="1" applyFont="1" applyFill="1" applyBorder="1" applyAlignment="1">
      <alignment horizontal="right"/>
    </xf>
    <xf numFmtId="168" fontId="3" fillId="30" borderId="0" xfId="30" applyNumberFormat="1" applyFont="1" applyFill="1" applyBorder="1" applyAlignment="1">
      <alignment horizontal="right"/>
    </xf>
    <xf numFmtId="168" fontId="3" fillId="30" borderId="24" xfId="30" applyNumberFormat="1" applyFont="1" applyFill="1" applyBorder="1" applyAlignment="1">
      <alignment horizontal="right"/>
    </xf>
    <xf numFmtId="168" fontId="3" fillId="39" borderId="171" xfId="30" applyNumberFormat="1" applyFont="1" applyFill="1" applyBorder="1" applyAlignment="1">
      <alignment horizontal="right"/>
    </xf>
    <xf numFmtId="168" fontId="3" fillId="39" borderId="115" xfId="30" applyNumberFormat="1" applyFont="1" applyFill="1" applyBorder="1" applyAlignment="1">
      <alignment horizontal="right"/>
    </xf>
    <xf numFmtId="168" fontId="3" fillId="39" borderId="172" xfId="30" applyNumberFormat="1" applyFont="1" applyFill="1" applyBorder="1" applyAlignment="1">
      <alignment horizontal="right"/>
    </xf>
    <xf numFmtId="168" fontId="3" fillId="31" borderId="63" xfId="30" applyNumberFormat="1" applyFont="1" applyFill="1" applyBorder="1" applyAlignment="1">
      <alignment horizontal="right"/>
    </xf>
    <xf numFmtId="168" fontId="6" fillId="31" borderId="67" xfId="0" applyNumberFormat="1" applyFont="1" applyFill="1" applyBorder="1" applyAlignment="1">
      <alignment horizontal="right" vertical="center"/>
    </xf>
    <xf numFmtId="168" fontId="6" fillId="31" borderId="79" xfId="0" applyNumberFormat="1" applyFont="1" applyFill="1" applyBorder="1" applyAlignment="1">
      <alignment horizontal="right" vertical="center"/>
    </xf>
    <xf numFmtId="168" fontId="6" fillId="31" borderId="80" xfId="0" applyNumberFormat="1" applyFont="1" applyFill="1" applyBorder="1" applyAlignment="1">
      <alignment horizontal="right" vertical="center"/>
    </xf>
    <xf numFmtId="168" fontId="6" fillId="31" borderId="81" xfId="0" applyNumberFormat="1" applyFont="1" applyFill="1" applyBorder="1" applyAlignment="1">
      <alignment horizontal="right" vertical="center"/>
    </xf>
    <xf numFmtId="168" fontId="6" fillId="31" borderId="82" xfId="0" applyNumberFormat="1" applyFont="1" applyFill="1" applyBorder="1" applyAlignment="1">
      <alignment horizontal="right" vertical="center"/>
    </xf>
    <xf numFmtId="0" fontId="3" fillId="30" borderId="101" xfId="0" applyFont="1" applyFill="1" applyBorder="1" applyAlignment="1">
      <alignment vertical="center" wrapText="1"/>
    </xf>
    <xf numFmtId="168" fontId="6" fillId="31" borderId="111" xfId="0" applyNumberFormat="1" applyFont="1" applyFill="1" applyBorder="1" applyAlignment="1">
      <alignment horizontal="left" vertical="center" wrapText="1"/>
    </xf>
    <xf numFmtId="168" fontId="6" fillId="31" borderId="43" xfId="0" applyNumberFormat="1" applyFont="1" applyFill="1" applyBorder="1" applyAlignment="1">
      <alignment horizontal="left" vertical="center" wrapText="1"/>
    </xf>
    <xf numFmtId="168" fontId="6" fillId="31" borderId="105" xfId="0" applyNumberFormat="1" applyFont="1" applyFill="1" applyBorder="1" applyAlignment="1">
      <alignment horizontal="left" vertical="center" wrapText="1"/>
    </xf>
    <xf numFmtId="168" fontId="6" fillId="31" borderId="173" xfId="0" applyNumberFormat="1" applyFont="1" applyFill="1" applyBorder="1" applyAlignment="1">
      <alignment horizontal="left" vertical="center" wrapText="1"/>
    </xf>
    <xf numFmtId="168" fontId="6" fillId="31" borderId="63" xfId="0" applyNumberFormat="1" applyFont="1" applyFill="1" applyBorder="1" applyAlignment="1">
      <alignment horizontal="left" vertical="center" wrapText="1"/>
    </xf>
    <xf numFmtId="168" fontId="6" fillId="31" borderId="112" xfId="0" applyNumberFormat="1" applyFont="1" applyFill="1" applyBorder="1" applyAlignment="1">
      <alignment horizontal="left" vertical="center" wrapText="1"/>
    </xf>
    <xf numFmtId="168" fontId="6" fillId="31" borderId="106" xfId="0" applyNumberFormat="1" applyFont="1" applyFill="1" applyBorder="1" applyAlignment="1">
      <alignment horizontal="left" vertical="center" wrapText="1"/>
    </xf>
    <xf numFmtId="168" fontId="6" fillId="31" borderId="107" xfId="0" applyNumberFormat="1" applyFont="1" applyFill="1" applyBorder="1" applyAlignment="1">
      <alignment horizontal="left" vertical="center" wrapText="1"/>
    </xf>
    <xf numFmtId="168" fontId="6" fillId="31" borderId="174" xfId="0" applyNumberFormat="1" applyFont="1" applyFill="1" applyBorder="1" applyAlignment="1">
      <alignment horizontal="left" vertical="center" wrapText="1"/>
    </xf>
    <xf numFmtId="168" fontId="6" fillId="31" borderId="67" xfId="0" applyNumberFormat="1" applyFont="1" applyFill="1" applyBorder="1" applyAlignment="1">
      <alignment horizontal="left" vertical="center" wrapText="1"/>
    </xf>
    <xf numFmtId="168" fontId="46" fillId="25" borderId="166" xfId="30" applyNumberFormat="1" applyFont="1" applyFill="1" applyBorder="1" applyAlignment="1">
      <alignment horizontal="right"/>
    </xf>
    <xf numFmtId="168" fontId="46" fillId="25" borderId="167" xfId="30" applyNumberFormat="1" applyFont="1" applyFill="1" applyBorder="1" applyAlignment="1">
      <alignment horizontal="right"/>
    </xf>
    <xf numFmtId="168" fontId="3" fillId="31" borderId="48" xfId="30" applyNumberFormat="1" applyFont="1" applyFill="1" applyBorder="1"/>
    <xf numFmtId="168" fontId="3" fillId="31" borderId="65" xfId="30" applyNumberFormat="1" applyFont="1" applyFill="1" applyBorder="1"/>
    <xf numFmtId="168" fontId="3" fillId="31" borderId="68" xfId="30" applyNumberFormat="1" applyFont="1" applyFill="1" applyBorder="1"/>
    <xf numFmtId="168" fontId="3" fillId="25" borderId="166" xfId="30" applyNumberFormat="1" applyFont="1" applyFill="1" applyBorder="1" applyAlignment="1">
      <alignment horizontal="right"/>
    </xf>
    <xf numFmtId="168" fontId="3" fillId="25" borderId="121" xfId="30" applyNumberFormat="1" applyFont="1" applyFill="1" applyBorder="1" applyAlignment="1">
      <alignment horizontal="right"/>
    </xf>
    <xf numFmtId="168" fontId="3" fillId="25" borderId="167" xfId="30" applyNumberFormat="1" applyFont="1" applyFill="1" applyBorder="1" applyAlignment="1">
      <alignment horizontal="right"/>
    </xf>
    <xf numFmtId="168" fontId="3" fillId="30" borderId="111" xfId="30" applyNumberFormat="1" applyFont="1" applyFill="1" applyBorder="1" applyAlignment="1">
      <alignment horizontal="right"/>
    </xf>
    <xf numFmtId="168" fontId="3" fillId="30" borderId="43" xfId="30" applyNumberFormat="1" applyFont="1" applyFill="1" applyBorder="1" applyAlignment="1">
      <alignment horizontal="right"/>
    </xf>
    <xf numFmtId="168" fontId="3" fillId="30" borderId="105" xfId="30" applyNumberFormat="1" applyFont="1" applyFill="1" applyBorder="1" applyAlignment="1">
      <alignment horizontal="right"/>
    </xf>
    <xf numFmtId="168" fontId="3" fillId="31" borderId="111" xfId="30" applyNumberFormat="1" applyFont="1" applyFill="1" applyBorder="1" applyAlignment="1">
      <alignment horizontal="right"/>
    </xf>
    <xf numFmtId="168" fontId="3" fillId="31" borderId="43" xfId="30" applyNumberFormat="1" applyFont="1" applyFill="1" applyBorder="1" applyAlignment="1">
      <alignment horizontal="right"/>
    </xf>
    <xf numFmtId="168" fontId="3" fillId="31" borderId="105" xfId="30" applyNumberFormat="1" applyFont="1" applyFill="1" applyBorder="1" applyAlignment="1">
      <alignment horizontal="right"/>
    </xf>
    <xf numFmtId="168" fontId="3" fillId="18" borderId="111" xfId="30" applyNumberFormat="1" applyFont="1" applyFill="1" applyBorder="1" applyAlignment="1">
      <alignment horizontal="right"/>
    </xf>
    <xf numFmtId="168" fontId="3" fillId="18" borderId="43" xfId="30" applyNumberFormat="1" applyFont="1" applyFill="1" applyBorder="1" applyAlignment="1">
      <alignment horizontal="right"/>
    </xf>
    <xf numFmtId="168" fontId="3" fillId="18" borderId="105" xfId="30" applyNumberFormat="1" applyFont="1" applyFill="1" applyBorder="1" applyAlignment="1">
      <alignment horizontal="right"/>
    </xf>
    <xf numFmtId="168" fontId="3" fillId="31" borderId="112" xfId="30" applyNumberFormat="1" applyFont="1" applyFill="1" applyBorder="1" applyAlignment="1">
      <alignment horizontal="right"/>
    </xf>
    <xf numFmtId="168" fontId="3" fillId="31" borderId="106" xfId="30" applyNumberFormat="1" applyFont="1" applyFill="1" applyBorder="1" applyAlignment="1">
      <alignment horizontal="right"/>
    </xf>
    <xf numFmtId="168" fontId="3" fillId="31" borderId="107" xfId="30" applyNumberFormat="1" applyFont="1" applyFill="1" applyBorder="1" applyAlignment="1">
      <alignment horizontal="right"/>
    </xf>
    <xf numFmtId="168" fontId="3" fillId="25" borderId="126" xfId="30" applyNumberFormat="1" applyFont="1" applyFill="1" applyBorder="1" applyAlignment="1">
      <alignment horizontal="right"/>
    </xf>
    <xf numFmtId="168" fontId="3" fillId="25" borderId="119" xfId="30" applyNumberFormat="1" applyFont="1" applyFill="1" applyBorder="1" applyAlignment="1">
      <alignment horizontal="right"/>
    </xf>
    <xf numFmtId="168" fontId="3" fillId="25" borderId="124" xfId="30" applyNumberFormat="1" applyFont="1" applyFill="1" applyBorder="1" applyAlignment="1">
      <alignment horizontal="right"/>
    </xf>
    <xf numFmtId="0" fontId="0" fillId="0" borderId="19" xfId="0" applyBorder="1"/>
    <xf numFmtId="168" fontId="46" fillId="30" borderId="115" xfId="30" applyNumberFormat="1" applyFont="1" applyFill="1" applyBorder="1" applyAlignment="1">
      <alignment horizontal="right"/>
    </xf>
    <xf numFmtId="168" fontId="46" fillId="30" borderId="113" xfId="30" applyNumberFormat="1" applyFont="1" applyFill="1" applyBorder="1" applyAlignment="1">
      <alignment horizontal="right"/>
    </xf>
    <xf numFmtId="168" fontId="46" fillId="31" borderId="113" xfId="30" applyNumberFormat="1" applyFont="1" applyFill="1" applyBorder="1" applyAlignment="1">
      <alignment horizontal="right"/>
    </xf>
    <xf numFmtId="168" fontId="46" fillId="18" borderId="113" xfId="30" applyNumberFormat="1" applyFont="1" applyFill="1" applyBorder="1" applyAlignment="1">
      <alignment horizontal="right"/>
    </xf>
    <xf numFmtId="168" fontId="46" fillId="31" borderId="175" xfId="30" applyNumberFormat="1" applyFont="1" applyFill="1" applyBorder="1" applyAlignment="1">
      <alignment horizontal="right"/>
    </xf>
    <xf numFmtId="168" fontId="46" fillId="30" borderId="116" xfId="30" applyNumberFormat="1" applyFont="1" applyFill="1" applyBorder="1" applyAlignment="1">
      <alignment horizontal="right"/>
    </xf>
    <xf numFmtId="168" fontId="46" fillId="30" borderId="176" xfId="30" applyNumberFormat="1" applyFont="1" applyFill="1" applyBorder="1" applyAlignment="1">
      <alignment horizontal="right"/>
    </xf>
    <xf numFmtId="168" fontId="3" fillId="18" borderId="78" xfId="30" applyNumberFormat="1" applyFont="1" applyFill="1" applyBorder="1" applyAlignment="1">
      <alignment horizontal="right"/>
    </xf>
    <xf numFmtId="168" fontId="46" fillId="31" borderId="176" xfId="30" applyNumberFormat="1" applyFont="1" applyFill="1" applyBorder="1" applyAlignment="1">
      <alignment horizontal="right"/>
    </xf>
    <xf numFmtId="168" fontId="46" fillId="18" borderId="176" xfId="30" applyNumberFormat="1" applyFont="1" applyFill="1" applyBorder="1" applyAlignment="1">
      <alignment horizontal="right"/>
    </xf>
    <xf numFmtId="168" fontId="46" fillId="31" borderId="177" xfId="30" applyNumberFormat="1" applyFont="1" applyFill="1" applyBorder="1" applyAlignment="1">
      <alignment horizontal="right"/>
    </xf>
    <xf numFmtId="43" fontId="3" fillId="25" borderId="46" xfId="0" applyNumberFormat="1" applyFont="1" applyFill="1" applyBorder="1" applyAlignment="1">
      <alignment horizontal="right"/>
    </xf>
    <xf numFmtId="168" fontId="3" fillId="31" borderId="118" xfId="30" applyNumberFormat="1" applyFont="1" applyFill="1" applyBorder="1" applyAlignment="1">
      <alignment horizontal="right"/>
    </xf>
    <xf numFmtId="168" fontId="6" fillId="30" borderId="46" xfId="30" applyNumberFormat="1" applyFont="1" applyFill="1" applyBorder="1"/>
    <xf numFmtId="168" fontId="6" fillId="30" borderId="61" xfId="30" applyNumberFormat="1" applyFont="1" applyFill="1" applyBorder="1"/>
    <xf numFmtId="168" fontId="6" fillId="30" borderId="64" xfId="30" applyNumberFormat="1" applyFont="1" applyFill="1" applyBorder="1"/>
    <xf numFmtId="168" fontId="6" fillId="30" borderId="63" xfId="30" applyNumberFormat="1" applyFont="1" applyFill="1" applyBorder="1"/>
    <xf numFmtId="168" fontId="6" fillId="30" borderId="87" xfId="30" applyNumberFormat="1" applyFont="1" applyFill="1" applyBorder="1"/>
    <xf numFmtId="168" fontId="6" fillId="30" borderId="48" xfId="30" applyNumberFormat="1" applyFont="1" applyFill="1" applyBorder="1"/>
    <xf numFmtId="168" fontId="6" fillId="30" borderId="65" xfId="30" applyNumberFormat="1" applyFont="1" applyFill="1" applyBorder="1"/>
    <xf numFmtId="168" fontId="6" fillId="30" borderId="68" xfId="30" applyNumberFormat="1" applyFont="1" applyFill="1" applyBorder="1"/>
    <xf numFmtId="168" fontId="6" fillId="30" borderId="67" xfId="30" applyNumberFormat="1" applyFont="1" applyFill="1" applyBorder="1"/>
    <xf numFmtId="168" fontId="6" fillId="30" borderId="62" xfId="30" applyNumberFormat="1" applyFont="1" applyFill="1" applyBorder="1"/>
    <xf numFmtId="168" fontId="6" fillId="30" borderId="89" xfId="30" applyNumberFormat="1" applyFont="1" applyFill="1" applyBorder="1"/>
    <xf numFmtId="43" fontId="3" fillId="0" borderId="0" xfId="0" applyNumberFormat="1" applyFont="1" applyFill="1" applyBorder="1"/>
    <xf numFmtId="0" fontId="3" fillId="0" borderId="0" xfId="0" applyFont="1" applyFill="1" applyBorder="1"/>
    <xf numFmtId="168" fontId="6" fillId="30" borderId="79" xfId="30" applyNumberFormat="1" applyFont="1" applyFill="1" applyBorder="1"/>
    <xf numFmtId="168" fontId="6" fillId="30" borderId="80" xfId="30" applyNumberFormat="1" applyFont="1" applyFill="1" applyBorder="1"/>
    <xf numFmtId="168" fontId="6" fillId="30" borderId="88" xfId="30" applyNumberFormat="1" applyFont="1" applyFill="1" applyBorder="1"/>
    <xf numFmtId="168" fontId="6" fillId="30" borderId="85" xfId="30" applyNumberFormat="1" applyFont="1" applyFill="1" applyBorder="1"/>
    <xf numFmtId="0" fontId="3" fillId="18" borderId="36" xfId="0" applyFont="1" applyFill="1" applyBorder="1" applyAlignment="1" applyProtection="1">
      <alignment vertical="center" wrapText="1"/>
      <protection locked="0"/>
    </xf>
    <xf numFmtId="0" fontId="3" fillId="18" borderId="35" xfId="0" applyFont="1" applyFill="1" applyBorder="1" applyAlignment="1" applyProtection="1">
      <alignment vertical="center" wrapText="1"/>
      <protection locked="0"/>
    </xf>
    <xf numFmtId="0" fontId="3" fillId="18" borderId="152" xfId="0" applyFont="1" applyFill="1" applyBorder="1" applyAlignment="1" applyProtection="1">
      <alignment vertical="center" wrapText="1"/>
      <protection locked="0"/>
    </xf>
    <xf numFmtId="0" fontId="0" fillId="34" borderId="22" xfId="0" applyFill="1" applyBorder="1"/>
    <xf numFmtId="0" fontId="0" fillId="34" borderId="120" xfId="0" applyFill="1" applyBorder="1"/>
    <xf numFmtId="168" fontId="6" fillId="32" borderId="46" xfId="0" applyNumberFormat="1" applyFont="1" applyFill="1" applyBorder="1" applyAlignment="1">
      <alignment horizontal="left" vertical="center"/>
    </xf>
    <xf numFmtId="168" fontId="3" fillId="18" borderId="86" xfId="30" applyNumberFormat="1" applyFont="1" applyFill="1" applyBorder="1"/>
    <xf numFmtId="0" fontId="3" fillId="34" borderId="0" xfId="0" applyFont="1" applyFill="1" applyAlignment="1">
      <alignment vertical="center"/>
    </xf>
    <xf numFmtId="0" fontId="3" fillId="0" borderId="0" xfId="0" applyFont="1" applyAlignment="1">
      <alignment vertical="center"/>
    </xf>
    <xf numFmtId="0" fontId="0" fillId="44" borderId="0" xfId="0" applyFill="1"/>
    <xf numFmtId="0" fontId="3" fillId="44" borderId="0" xfId="0" applyFont="1" applyFill="1"/>
    <xf numFmtId="43" fontId="3" fillId="44" borderId="0" xfId="0" applyNumberFormat="1" applyFont="1" applyFill="1"/>
    <xf numFmtId="168" fontId="3" fillId="44" borderId="0" xfId="0" applyNumberFormat="1" applyFont="1" applyFill="1"/>
    <xf numFmtId="0" fontId="15" fillId="19" borderId="0" xfId="0" applyFont="1" applyFill="1" applyBorder="1" applyAlignment="1" applyProtection="1">
      <alignment vertical="center"/>
    </xf>
    <xf numFmtId="0" fontId="0" fillId="0" borderId="0" xfId="0"/>
    <xf numFmtId="0" fontId="15" fillId="19" borderId="0" xfId="0" applyFont="1" applyFill="1" applyBorder="1" applyAlignment="1" applyProtection="1">
      <alignment horizontal="left" vertical="center"/>
    </xf>
    <xf numFmtId="0" fontId="0" fillId="34" borderId="0" xfId="0" applyFill="1"/>
    <xf numFmtId="0" fontId="0" fillId="0" borderId="21" xfId="0" applyBorder="1"/>
    <xf numFmtId="0" fontId="0" fillId="0" borderId="22" xfId="0" applyBorder="1"/>
    <xf numFmtId="0" fontId="0" fillId="0" borderId="19" xfId="0" applyBorder="1"/>
    <xf numFmtId="0" fontId="0" fillId="0" borderId="0" xfId="0" applyBorder="1"/>
    <xf numFmtId="0" fontId="0" fillId="34" borderId="19" xfId="0" applyFill="1" applyBorder="1"/>
    <xf numFmtId="0" fontId="59" fillId="34" borderId="0" xfId="0" applyFont="1" applyFill="1" applyProtection="1"/>
    <xf numFmtId="0" fontId="59" fillId="34" borderId="0" xfId="0" applyFont="1" applyFill="1" applyBorder="1" applyProtection="1"/>
    <xf numFmtId="168" fontId="6" fillId="39" borderId="75" xfId="0" applyNumberFormat="1" applyFont="1" applyFill="1" applyBorder="1" applyAlignment="1">
      <alignment horizontal="left" vertical="center" wrapText="1"/>
    </xf>
    <xf numFmtId="168" fontId="6" fillId="39" borderId="77" xfId="0" applyNumberFormat="1" applyFont="1" applyFill="1" applyBorder="1" applyAlignment="1">
      <alignment horizontal="left" vertical="center" wrapText="1"/>
    </xf>
    <xf numFmtId="168" fontId="6" fillId="30" borderId="77" xfId="30" applyNumberFormat="1" applyFont="1" applyFill="1" applyBorder="1"/>
    <xf numFmtId="168" fontId="6" fillId="30" borderId="137" xfId="30" applyNumberFormat="1" applyFont="1" applyFill="1" applyBorder="1"/>
    <xf numFmtId="168" fontId="3" fillId="32" borderId="93" xfId="30" applyNumberFormat="1" applyFont="1" applyFill="1" applyBorder="1"/>
    <xf numFmtId="168" fontId="3" fillId="18" borderId="94" xfId="30" applyNumberFormat="1" applyFont="1" applyFill="1" applyBorder="1"/>
    <xf numFmtId="9" fontId="3" fillId="30" borderId="94" xfId="44" applyFont="1" applyFill="1" applyBorder="1"/>
    <xf numFmtId="9" fontId="3" fillId="30" borderId="95" xfId="44" applyFont="1" applyFill="1" applyBorder="1"/>
    <xf numFmtId="168" fontId="6" fillId="39" borderId="93" xfId="0" applyNumberFormat="1" applyFont="1" applyFill="1" applyBorder="1" applyAlignment="1">
      <alignment horizontal="left" vertical="center" wrapText="1"/>
    </xf>
    <xf numFmtId="168" fontId="6" fillId="39" borderId="94" xfId="0" applyNumberFormat="1" applyFont="1" applyFill="1" applyBorder="1" applyAlignment="1">
      <alignment horizontal="left" vertical="center" wrapText="1"/>
    </xf>
    <xf numFmtId="168" fontId="6" fillId="30" borderId="94" xfId="30" applyNumberFormat="1" applyFont="1" applyFill="1" applyBorder="1"/>
    <xf numFmtId="168" fontId="6" fillId="30" borderId="95" xfId="30" applyNumberFormat="1" applyFont="1" applyFill="1" applyBorder="1"/>
    <xf numFmtId="0" fontId="3" fillId="22" borderId="88" xfId="0" applyFont="1" applyFill="1" applyBorder="1" applyAlignment="1" applyProtection="1">
      <alignment vertical="center" wrapText="1"/>
      <protection locked="0"/>
    </xf>
    <xf numFmtId="0" fontId="3" fillId="22" borderId="79" xfId="0" applyFont="1" applyFill="1" applyBorder="1" applyAlignment="1" applyProtection="1">
      <alignment vertical="center" wrapText="1"/>
      <protection locked="0"/>
    </xf>
    <xf numFmtId="0" fontId="3" fillId="22" borderId="81" xfId="0" applyFont="1" applyFill="1" applyBorder="1" applyAlignment="1" applyProtection="1">
      <alignment vertical="center" wrapText="1"/>
      <protection locked="0"/>
    </xf>
    <xf numFmtId="0" fontId="3" fillId="18" borderId="34" xfId="0" applyFont="1" applyFill="1" applyBorder="1" applyAlignment="1" applyProtection="1">
      <alignment vertical="center" wrapText="1"/>
      <protection locked="0"/>
    </xf>
    <xf numFmtId="168" fontId="3" fillId="39" borderId="87" xfId="30" applyNumberFormat="1" applyFont="1" applyFill="1" applyBorder="1"/>
    <xf numFmtId="43" fontId="6" fillId="30" borderId="87" xfId="0" applyNumberFormat="1" applyFont="1" applyFill="1" applyBorder="1"/>
    <xf numFmtId="43" fontId="6" fillId="30" borderId="89" xfId="0" applyNumberFormat="1" applyFont="1" applyFill="1" applyBorder="1"/>
    <xf numFmtId="0" fontId="6" fillId="30" borderId="51" xfId="0" applyFont="1" applyFill="1" applyBorder="1"/>
    <xf numFmtId="43" fontId="6" fillId="30" borderId="46" xfId="0" applyNumberFormat="1" applyFont="1" applyFill="1" applyBorder="1" applyAlignment="1">
      <alignment horizontal="right"/>
    </xf>
    <xf numFmtId="43" fontId="6" fillId="30" borderId="64" xfId="0" applyNumberFormat="1" applyFont="1" applyFill="1" applyBorder="1" applyAlignment="1">
      <alignment horizontal="right"/>
    </xf>
    <xf numFmtId="43" fontId="6" fillId="30" borderId="48" xfId="0" applyNumberFormat="1" applyFont="1" applyFill="1" applyBorder="1" applyAlignment="1">
      <alignment horizontal="right"/>
    </xf>
    <xf numFmtId="43" fontId="6" fillId="30" borderId="68" xfId="0" applyNumberFormat="1" applyFont="1" applyFill="1" applyBorder="1" applyAlignment="1">
      <alignment horizontal="right"/>
    </xf>
    <xf numFmtId="168" fontId="3" fillId="39" borderId="89" xfId="30" applyNumberFormat="1" applyFont="1" applyFill="1" applyBorder="1"/>
    <xf numFmtId="0" fontId="15" fillId="34" borderId="0" xfId="0" applyFont="1" applyFill="1"/>
    <xf numFmtId="168" fontId="3" fillId="18" borderId="136" xfId="30" applyNumberFormat="1" applyFont="1" applyFill="1" applyBorder="1"/>
    <xf numFmtId="168" fontId="3" fillId="32" borderId="87" xfId="30" applyNumberFormat="1" applyFont="1" applyFill="1" applyBorder="1"/>
    <xf numFmtId="0" fontId="76" fillId="28" borderId="45" xfId="0" applyFont="1" applyFill="1" applyBorder="1" applyAlignment="1">
      <alignment vertical="center"/>
    </xf>
    <xf numFmtId="177" fontId="3" fillId="26" borderId="64" xfId="30" applyNumberFormat="1" applyFont="1" applyFill="1" applyBorder="1"/>
    <xf numFmtId="177" fontId="3" fillId="26" borderId="68" xfId="30" applyNumberFormat="1" applyFont="1" applyFill="1" applyBorder="1"/>
    <xf numFmtId="6" fontId="6" fillId="32" borderId="63" xfId="0" applyNumberFormat="1" applyFont="1" applyFill="1" applyBorder="1" applyAlignment="1" applyProtection="1">
      <alignment horizontal="right" vertical="center"/>
      <protection locked="0"/>
    </xf>
    <xf numFmtId="0" fontId="6" fillId="34" borderId="0" xfId="0" applyFont="1" applyFill="1" applyAlignment="1"/>
    <xf numFmtId="0" fontId="6" fillId="37" borderId="68" xfId="0" applyFont="1" applyFill="1" applyBorder="1" applyAlignment="1">
      <alignment horizontal="center" vertical="center" wrapText="1"/>
    </xf>
    <xf numFmtId="1" fontId="3" fillId="18" borderId="63" xfId="44" applyNumberFormat="1" applyFont="1" applyFill="1" applyBorder="1" applyProtection="1">
      <protection locked="0"/>
    </xf>
    <xf numFmtId="1" fontId="3" fillId="18" borderId="46" xfId="44" applyNumberFormat="1" applyFont="1" applyFill="1" applyBorder="1" applyProtection="1">
      <protection locked="0"/>
    </xf>
    <xf numFmtId="43" fontId="6" fillId="30" borderId="79" xfId="0" applyNumberFormat="1" applyFont="1" applyFill="1" applyBorder="1" applyAlignment="1">
      <alignment horizontal="right" vertical="center" wrapText="1"/>
    </xf>
    <xf numFmtId="43" fontId="6" fillId="30" borderId="80" xfId="0" applyNumberFormat="1" applyFont="1" applyFill="1" applyBorder="1" applyAlignment="1">
      <alignment horizontal="right" vertical="center" wrapText="1"/>
    </xf>
    <xf numFmtId="43" fontId="6" fillId="30" borderId="81" xfId="0" applyNumberFormat="1" applyFont="1" applyFill="1" applyBorder="1" applyAlignment="1">
      <alignment horizontal="right" vertical="center" wrapText="1"/>
    </xf>
    <xf numFmtId="0" fontId="3" fillId="25" borderId="51" xfId="0" applyFont="1" applyFill="1" applyBorder="1" applyAlignment="1">
      <alignment horizontal="left" vertical="center" wrapText="1" indent="1"/>
    </xf>
    <xf numFmtId="0" fontId="3" fillId="25" borderId="69" xfId="0" applyFont="1" applyFill="1" applyBorder="1" applyAlignment="1">
      <alignment horizontal="left" vertical="center" wrapText="1" indent="1"/>
    </xf>
    <xf numFmtId="168" fontId="6" fillId="31" borderId="48" xfId="0" applyNumberFormat="1" applyFont="1" applyFill="1" applyBorder="1" applyAlignment="1">
      <alignment wrapText="1"/>
    </xf>
    <xf numFmtId="168" fontId="6" fillId="31" borderId="65" xfId="0" applyNumberFormat="1" applyFont="1" applyFill="1" applyBorder="1" applyAlignment="1">
      <alignment wrapText="1"/>
    </xf>
    <xf numFmtId="168" fontId="6" fillId="31" borderId="68" xfId="0" applyNumberFormat="1" applyFont="1" applyFill="1" applyBorder="1" applyAlignment="1">
      <alignment wrapText="1"/>
    </xf>
    <xf numFmtId="168" fontId="6" fillId="30" borderId="48" xfId="0" applyNumberFormat="1" applyFont="1" applyFill="1" applyBorder="1" applyAlignment="1">
      <alignment wrapText="1"/>
    </xf>
    <xf numFmtId="168" fontId="6" fillId="30" borderId="65" xfId="0" applyNumberFormat="1" applyFont="1" applyFill="1" applyBorder="1" applyAlignment="1">
      <alignment wrapText="1"/>
    </xf>
    <xf numFmtId="168" fontId="6" fillId="30" borderId="68" xfId="0" applyNumberFormat="1" applyFont="1" applyFill="1" applyBorder="1" applyAlignment="1">
      <alignment wrapText="1"/>
    </xf>
    <xf numFmtId="0" fontId="3" fillId="29" borderId="36" xfId="0" applyFont="1" applyFill="1" applyBorder="1" applyAlignment="1" applyProtection="1">
      <alignment vertical="center" wrapText="1"/>
      <protection locked="0"/>
    </xf>
    <xf numFmtId="0" fontId="3" fillId="29" borderId="35" xfId="0" applyFont="1" applyFill="1" applyBorder="1" applyAlignment="1" applyProtection="1">
      <alignment vertical="center" wrapText="1"/>
      <protection locked="0"/>
    </xf>
    <xf numFmtId="0" fontId="3" fillId="29" borderId="34" xfId="0" applyFont="1" applyFill="1" applyBorder="1" applyAlignment="1" applyProtection="1">
      <alignment vertical="center" wrapText="1"/>
      <protection locked="0"/>
    </xf>
    <xf numFmtId="0" fontId="64" fillId="37" borderId="79" xfId="0" applyFont="1" applyFill="1" applyBorder="1" applyAlignment="1">
      <alignment horizontal="center" vertical="center" wrapText="1"/>
    </xf>
    <xf numFmtId="0" fontId="64" fillId="37" borderId="80" xfId="0" applyFont="1" applyFill="1" applyBorder="1" applyAlignment="1">
      <alignment horizontal="center" vertical="center" wrapText="1"/>
    </xf>
    <xf numFmtId="168" fontId="3" fillId="25" borderId="51" xfId="0" applyNumberFormat="1" applyFont="1" applyFill="1" applyBorder="1" applyAlignment="1">
      <alignment horizontal="left" vertical="center" wrapText="1" indent="2"/>
    </xf>
    <xf numFmtId="0" fontId="66" fillId="50" borderId="64" xfId="0" applyFont="1" applyFill="1" applyBorder="1" applyAlignment="1">
      <alignment horizontal="center" vertical="center" wrapText="1"/>
    </xf>
    <xf numFmtId="0" fontId="66" fillId="50" borderId="68" xfId="0" applyFont="1" applyFill="1" applyBorder="1" applyAlignment="1">
      <alignment horizontal="center" vertical="center"/>
    </xf>
    <xf numFmtId="0" fontId="8" fillId="14" borderId="0" xfId="0" applyFont="1" applyFill="1" applyAlignment="1">
      <alignment vertical="top"/>
    </xf>
    <xf numFmtId="0" fontId="50" fillId="34" borderId="51" xfId="0" applyFont="1" applyFill="1" applyBorder="1" applyAlignment="1">
      <alignment horizontal="left" vertical="center" wrapText="1"/>
    </xf>
    <xf numFmtId="0" fontId="5" fillId="0" borderId="0" xfId="0" quotePrefix="1" applyFont="1" applyFill="1" applyBorder="1" applyAlignment="1">
      <alignment vertical="top"/>
    </xf>
    <xf numFmtId="10" fontId="52" fillId="39" borderId="25" xfId="0" applyNumberFormat="1" applyFont="1" applyFill="1" applyBorder="1" applyAlignment="1" applyProtection="1">
      <alignment horizontal="center" vertical="center" wrapText="1"/>
    </xf>
    <xf numFmtId="10" fontId="52" fillId="39" borderId="42" xfId="0" applyNumberFormat="1" applyFont="1" applyFill="1" applyBorder="1" applyAlignment="1" applyProtection="1">
      <alignment horizontal="center" vertical="center" wrapText="1"/>
    </xf>
    <xf numFmtId="10" fontId="52" fillId="39" borderId="26" xfId="0" applyNumberFormat="1" applyFont="1" applyFill="1" applyBorder="1" applyAlignment="1" applyProtection="1">
      <alignment horizontal="center" vertical="center" wrapText="1"/>
    </xf>
    <xf numFmtId="0" fontId="0" fillId="25" borderId="125" xfId="0" applyFill="1" applyBorder="1" applyAlignment="1">
      <alignment vertical="center" wrapText="1"/>
    </xf>
    <xf numFmtId="0" fontId="0" fillId="25" borderId="132" xfId="0" applyFill="1" applyBorder="1" applyAlignment="1">
      <alignment vertical="center" wrapText="1"/>
    </xf>
    <xf numFmtId="0" fontId="6" fillId="30" borderId="75" xfId="0" applyFont="1" applyFill="1" applyBorder="1" applyAlignment="1">
      <alignment horizontal="right" vertical="center" wrapText="1"/>
    </xf>
    <xf numFmtId="9" fontId="3" fillId="18" borderId="77" xfId="44" applyFont="1" applyFill="1" applyBorder="1" applyAlignment="1">
      <alignment horizontal="right"/>
    </xf>
    <xf numFmtId="0" fontId="6" fillId="30" borderId="77" xfId="0" applyFont="1" applyFill="1" applyBorder="1" applyAlignment="1">
      <alignment horizontal="right" vertical="center" wrapText="1"/>
    </xf>
    <xf numFmtId="0" fontId="6" fillId="30" borderId="76" xfId="0" applyFont="1" applyFill="1" applyBorder="1" applyAlignment="1">
      <alignment horizontal="right" vertical="center" wrapText="1"/>
    </xf>
    <xf numFmtId="9" fontId="3" fillId="18" borderId="78" xfId="44" applyFont="1" applyFill="1" applyBorder="1" applyAlignment="1">
      <alignment horizontal="right"/>
    </xf>
    <xf numFmtId="0" fontId="6" fillId="30" borderId="78" xfId="0" applyFont="1" applyFill="1" applyBorder="1" applyAlignment="1">
      <alignment horizontal="right" vertical="center" wrapText="1"/>
    </xf>
    <xf numFmtId="0" fontId="64" fillId="40" borderId="48" xfId="0" applyFont="1" applyFill="1" applyBorder="1" applyAlignment="1">
      <alignment horizontal="center" vertical="center" wrapText="1"/>
    </xf>
    <xf numFmtId="0" fontId="3" fillId="34" borderId="143" xfId="0" applyFont="1" applyFill="1" applyBorder="1" applyAlignment="1">
      <alignment horizontal="left" vertical="center" wrapText="1" indent="1"/>
    </xf>
    <xf numFmtId="0" fontId="3" fillId="34" borderId="144" xfId="0" applyFont="1" applyFill="1" applyBorder="1" applyAlignment="1">
      <alignment horizontal="left" vertical="center" wrapText="1" indent="1"/>
    </xf>
    <xf numFmtId="0" fontId="3" fillId="34" borderId="149" xfId="0" applyFont="1" applyFill="1" applyBorder="1" applyAlignment="1">
      <alignment horizontal="left" vertical="center" wrapText="1" indent="1"/>
    </xf>
    <xf numFmtId="0" fontId="3" fillId="18" borderId="90" xfId="0" applyFont="1" applyFill="1" applyBorder="1" applyAlignment="1" applyProtection="1">
      <alignment horizontal="right" vertical="center" wrapText="1"/>
      <protection locked="0"/>
    </xf>
    <xf numFmtId="0" fontId="3" fillId="18" borderId="67" xfId="0" applyFont="1" applyFill="1" applyBorder="1" applyAlignment="1" applyProtection="1">
      <alignment horizontal="right" vertical="center" wrapText="1"/>
      <protection locked="0"/>
    </xf>
    <xf numFmtId="0" fontId="3" fillId="18" borderId="72" xfId="0" applyFont="1" applyFill="1" applyBorder="1" applyAlignment="1" applyProtection="1">
      <alignment horizontal="right" vertical="center" wrapText="1"/>
      <protection locked="0"/>
    </xf>
    <xf numFmtId="0" fontId="3" fillId="18" borderId="66" xfId="0" applyFont="1" applyFill="1" applyBorder="1" applyAlignment="1" applyProtection="1">
      <alignment horizontal="right" vertical="center" wrapText="1"/>
      <protection locked="0"/>
    </xf>
    <xf numFmtId="0" fontId="3" fillId="18" borderId="86" xfId="0" applyFont="1" applyFill="1" applyBorder="1" applyAlignment="1" applyProtection="1">
      <alignment horizontal="right" vertical="center" wrapText="1"/>
      <protection locked="0"/>
    </xf>
    <xf numFmtId="0" fontId="3" fillId="18" borderId="87" xfId="0" applyFont="1" applyFill="1" applyBorder="1" applyAlignment="1" applyProtection="1">
      <alignment horizontal="right" vertical="center" wrapText="1"/>
      <protection locked="0"/>
    </xf>
    <xf numFmtId="0" fontId="3" fillId="18" borderId="89" xfId="0" applyFont="1" applyFill="1" applyBorder="1" applyAlignment="1" applyProtection="1">
      <alignment horizontal="right" vertical="center" wrapText="1"/>
      <protection locked="0"/>
    </xf>
    <xf numFmtId="0" fontId="43" fillId="18" borderId="44" xfId="0" applyFont="1" applyFill="1" applyBorder="1" applyAlignment="1" applyProtection="1">
      <alignment horizontal="right" vertical="center" wrapText="1"/>
      <protection locked="0"/>
    </xf>
    <xf numFmtId="0" fontId="43" fillId="18" borderId="83" xfId="0" applyFont="1" applyFill="1" applyBorder="1" applyAlignment="1" applyProtection="1">
      <alignment horizontal="right" vertical="center" wrapText="1"/>
      <protection locked="0"/>
    </xf>
    <xf numFmtId="0" fontId="43" fillId="18" borderId="91" xfId="0" applyFont="1" applyFill="1" applyBorder="1" applyAlignment="1" applyProtection="1">
      <alignment horizontal="right" vertical="center" wrapText="1"/>
      <protection locked="0"/>
    </xf>
    <xf numFmtId="0" fontId="43" fillId="18" borderId="46" xfId="0" applyFont="1" applyFill="1" applyBorder="1" applyAlignment="1" applyProtection="1">
      <alignment horizontal="right" vertical="center" wrapText="1"/>
      <protection locked="0"/>
    </xf>
    <xf numFmtId="0" fontId="43" fillId="18" borderId="61" xfId="0" applyFont="1" applyFill="1" applyBorder="1" applyAlignment="1" applyProtection="1">
      <alignment horizontal="right" vertical="center" wrapText="1"/>
      <protection locked="0"/>
    </xf>
    <xf numFmtId="0" fontId="43" fillId="18" borderId="64" xfId="0" applyFont="1" applyFill="1" applyBorder="1" applyAlignment="1" applyProtection="1">
      <alignment horizontal="right" vertical="center" wrapText="1"/>
      <protection locked="0"/>
    </xf>
    <xf numFmtId="0" fontId="43" fillId="18" borderId="48" xfId="0" applyFont="1" applyFill="1" applyBorder="1" applyAlignment="1" applyProtection="1">
      <alignment horizontal="right" vertical="center" wrapText="1"/>
      <protection locked="0"/>
    </xf>
    <xf numFmtId="0" fontId="43" fillId="18" borderId="65" xfId="0" applyFont="1" applyFill="1" applyBorder="1" applyAlignment="1" applyProtection="1">
      <alignment horizontal="right" vertical="center" wrapText="1"/>
      <protection locked="0"/>
    </xf>
    <xf numFmtId="0" fontId="43" fillId="18" borderId="68" xfId="0" applyFont="1" applyFill="1" applyBorder="1" applyAlignment="1" applyProtection="1">
      <alignment horizontal="right" vertical="center" wrapText="1"/>
      <protection locked="0"/>
    </xf>
    <xf numFmtId="1" fontId="6" fillId="39" borderId="48" xfId="44" applyNumberFormat="1" applyFont="1" applyFill="1" applyBorder="1"/>
    <xf numFmtId="1" fontId="6" fillId="39" borderId="65" xfId="44" applyNumberFormat="1" applyFont="1" applyFill="1" applyBorder="1"/>
    <xf numFmtId="1" fontId="6" fillId="39" borderId="68" xfId="44" applyNumberFormat="1" applyFont="1" applyFill="1" applyBorder="1"/>
    <xf numFmtId="177" fontId="3" fillId="32" borderId="72" xfId="0" applyNumberFormat="1" applyFont="1" applyFill="1" applyBorder="1"/>
    <xf numFmtId="164" fontId="3" fillId="32" borderId="62" xfId="0" applyNumberFormat="1" applyFont="1" applyFill="1" applyBorder="1" applyAlignment="1" applyProtection="1">
      <alignment horizontal="right" vertical="center"/>
      <protection locked="0"/>
    </xf>
    <xf numFmtId="177" fontId="3" fillId="32" borderId="62" xfId="0" applyNumberFormat="1" applyFont="1" applyFill="1" applyBorder="1"/>
    <xf numFmtId="0" fontId="102" fillId="0" borderId="0" xfId="0" applyFont="1"/>
    <xf numFmtId="0" fontId="102" fillId="37" borderId="21" xfId="0" applyFont="1" applyFill="1" applyBorder="1"/>
    <xf numFmtId="0" fontId="102" fillId="37" borderId="23" xfId="0" applyFont="1" applyFill="1" applyBorder="1"/>
    <xf numFmtId="0" fontId="102" fillId="37" borderId="19" xfId="0" applyFont="1" applyFill="1" applyBorder="1" applyAlignment="1">
      <alignment horizontal="center" vertical="center"/>
    </xf>
    <xf numFmtId="0" fontId="102" fillId="37" borderId="24" xfId="0" applyFont="1" applyFill="1" applyBorder="1" applyAlignment="1">
      <alignment horizontal="center" vertical="center"/>
    </xf>
    <xf numFmtId="0" fontId="102" fillId="37" borderId="19" xfId="0" applyFont="1" applyFill="1" applyBorder="1"/>
    <xf numFmtId="0" fontId="102" fillId="37" borderId="24" xfId="0" applyFont="1" applyFill="1" applyBorder="1"/>
    <xf numFmtId="0" fontId="96" fillId="37" borderId="24" xfId="0" applyFont="1" applyFill="1" applyBorder="1" applyAlignment="1">
      <alignment horizontal="left" vertical="center" wrapText="1"/>
    </xf>
    <xf numFmtId="0" fontId="102" fillId="37" borderId="25" xfId="0" applyFont="1" applyFill="1" applyBorder="1"/>
    <xf numFmtId="0" fontId="102" fillId="37" borderId="205" xfId="0" applyFont="1" applyFill="1" applyBorder="1"/>
    <xf numFmtId="0" fontId="96" fillId="37" borderId="24" xfId="0" applyFont="1" applyFill="1" applyBorder="1" applyAlignment="1">
      <alignment horizontal="left" vertical="center" indent="1"/>
    </xf>
    <xf numFmtId="0" fontId="96" fillId="37" borderId="24" xfId="0" applyFont="1" applyFill="1" applyBorder="1" applyAlignment="1">
      <alignment horizontal="left" vertical="center" wrapText="1" indent="1"/>
    </xf>
    <xf numFmtId="0" fontId="96" fillId="37" borderId="19" xfId="0" applyFont="1" applyFill="1" applyBorder="1" applyAlignment="1">
      <alignment horizontal="left" vertical="center" indent="1"/>
    </xf>
    <xf numFmtId="0" fontId="96" fillId="37" borderId="19" xfId="0" applyFont="1" applyFill="1" applyBorder="1" applyAlignment="1">
      <alignment horizontal="center" vertical="center" wrapText="1"/>
    </xf>
    <xf numFmtId="0" fontId="63" fillId="40" borderId="48" xfId="0" applyFont="1" applyFill="1" applyBorder="1" applyAlignment="1">
      <alignment horizontal="center" vertical="center" wrapText="1"/>
    </xf>
    <xf numFmtId="0" fontId="63" fillId="40" borderId="65" xfId="0" applyFont="1" applyFill="1" applyBorder="1" applyAlignment="1">
      <alignment horizontal="center" vertical="center" wrapText="1"/>
    </xf>
    <xf numFmtId="0" fontId="64" fillId="41" borderId="66" xfId="0" applyFont="1" applyFill="1" applyBorder="1" applyAlignment="1">
      <alignment horizontal="center" vertical="center" wrapText="1"/>
    </xf>
    <xf numFmtId="10" fontId="3" fillId="18" borderId="59" xfId="44" applyNumberFormat="1" applyFont="1" applyFill="1" applyBorder="1" applyProtection="1">
      <protection locked="0"/>
    </xf>
    <xf numFmtId="10" fontId="3" fillId="18" borderId="60" xfId="44" applyNumberFormat="1" applyFont="1" applyFill="1" applyBorder="1" applyProtection="1">
      <protection locked="0"/>
    </xf>
    <xf numFmtId="168" fontId="6" fillId="40" borderId="48" xfId="0" applyNumberFormat="1" applyFont="1" applyFill="1" applyBorder="1" applyAlignment="1">
      <alignment horizontal="center" vertical="center" wrapText="1"/>
    </xf>
    <xf numFmtId="168" fontId="6" fillId="40" borderId="65" xfId="0" applyNumberFormat="1" applyFont="1" applyFill="1" applyBorder="1" applyAlignment="1">
      <alignment horizontal="center" vertical="center" wrapText="1"/>
    </xf>
    <xf numFmtId="168" fontId="6" fillId="41" borderId="65" xfId="0" applyNumberFormat="1" applyFont="1" applyFill="1" applyBorder="1" applyAlignment="1">
      <alignment horizontal="center" vertical="center" wrapText="1"/>
    </xf>
    <xf numFmtId="168" fontId="6" fillId="41" borderId="89" xfId="0" applyNumberFormat="1" applyFont="1" applyFill="1" applyBorder="1" applyAlignment="1">
      <alignment horizontal="center" vertical="center" wrapText="1"/>
    </xf>
    <xf numFmtId="2" fontId="3" fillId="18" borderId="57" xfId="44" applyNumberFormat="1" applyFont="1" applyFill="1" applyBorder="1" applyAlignment="1" applyProtection="1">
      <alignment horizontal="left" indent="3"/>
      <protection locked="0"/>
    </xf>
    <xf numFmtId="10" fontId="3" fillId="18" borderId="60" xfId="44" applyNumberFormat="1" applyFont="1" applyFill="1" applyBorder="1" applyAlignment="1" applyProtection="1">
      <alignment vertical="center"/>
      <protection locked="0"/>
    </xf>
    <xf numFmtId="0" fontId="39" fillId="34" borderId="22" xfId="0" applyFont="1" applyFill="1" applyBorder="1" applyAlignment="1">
      <alignment horizontal="center" vertical="center" wrapText="1"/>
    </xf>
    <xf numFmtId="0" fontId="39" fillId="34" borderId="0" xfId="0" applyFont="1" applyFill="1" applyBorder="1" applyAlignment="1">
      <alignment horizontal="center" vertical="center" wrapText="1"/>
    </xf>
    <xf numFmtId="0" fontId="39" fillId="34" borderId="204" xfId="0" applyFont="1" applyFill="1" applyBorder="1" applyAlignment="1">
      <alignment horizontal="center" vertical="center" wrapText="1"/>
    </xf>
    <xf numFmtId="0" fontId="0" fillId="34" borderId="204" xfId="0" applyFill="1" applyBorder="1"/>
    <xf numFmtId="168" fontId="6" fillId="39" borderId="60" xfId="0" applyNumberFormat="1" applyFont="1" applyFill="1" applyBorder="1" applyAlignment="1">
      <alignment horizontal="left" vertical="center"/>
    </xf>
    <xf numFmtId="168" fontId="6" fillId="39" borderId="64" xfId="0" applyNumberFormat="1" applyFont="1" applyFill="1" applyBorder="1" applyAlignment="1">
      <alignment horizontal="left" vertical="center"/>
    </xf>
    <xf numFmtId="0" fontId="0" fillId="0" borderId="25" xfId="0" applyBorder="1"/>
    <xf numFmtId="0" fontId="6" fillId="34" borderId="19" xfId="0" applyFont="1" applyFill="1" applyBorder="1" applyAlignment="1" applyProtection="1">
      <alignment horizontal="left" vertical="center" wrapText="1"/>
      <protection locked="0"/>
    </xf>
    <xf numFmtId="0" fontId="3" fillId="39" borderId="18" xfId="0" applyFont="1" applyFill="1" applyBorder="1" applyAlignment="1">
      <alignment horizontal="center" vertical="center" wrapText="1"/>
    </xf>
    <xf numFmtId="0" fontId="6" fillId="40" borderId="83" xfId="0" applyFont="1" applyFill="1" applyBorder="1" applyAlignment="1" applyProtection="1">
      <alignment horizontal="center" vertical="center" wrapText="1"/>
      <protection locked="0"/>
    </xf>
    <xf numFmtId="0" fontId="6" fillId="40" borderId="65" xfId="0" applyFont="1" applyFill="1" applyBorder="1" applyAlignment="1" applyProtection="1">
      <alignment horizontal="center" vertical="center" wrapText="1"/>
      <protection locked="0"/>
    </xf>
    <xf numFmtId="0" fontId="3" fillId="34" borderId="51" xfId="0" applyFont="1" applyFill="1" applyBorder="1" applyAlignment="1">
      <alignment horizontal="left" vertical="center" wrapText="1" indent="1"/>
    </xf>
    <xf numFmtId="0" fontId="3" fillId="14" borderId="0" xfId="0" applyFont="1" applyFill="1" applyBorder="1" applyAlignment="1">
      <alignment vertical="top" wrapText="1"/>
    </xf>
    <xf numFmtId="0" fontId="0" fillId="14" borderId="0" xfId="0" applyFill="1" applyAlignment="1">
      <alignment wrapText="1"/>
    </xf>
    <xf numFmtId="0" fontId="11" fillId="30" borderId="36" xfId="0" applyFont="1" applyFill="1" applyBorder="1" applyAlignment="1">
      <alignment vertical="center"/>
    </xf>
    <xf numFmtId="0" fontId="11" fillId="30" borderId="35" xfId="0" applyFont="1" applyFill="1" applyBorder="1" applyAlignment="1">
      <alignment vertical="center"/>
    </xf>
    <xf numFmtId="0" fontId="11" fillId="30" borderId="34" xfId="0" applyFont="1" applyFill="1" applyBorder="1" applyAlignment="1">
      <alignment vertical="center"/>
    </xf>
    <xf numFmtId="0" fontId="76" fillId="30" borderId="35" xfId="0" applyFont="1" applyFill="1" applyBorder="1" applyAlignment="1">
      <alignment vertical="center"/>
    </xf>
    <xf numFmtId="0" fontId="76" fillId="30" borderId="34" xfId="0" applyFont="1" applyFill="1" applyBorder="1" applyAlignment="1">
      <alignment vertical="center"/>
    </xf>
    <xf numFmtId="0" fontId="11" fillId="31" borderId="36" xfId="0" applyFont="1" applyFill="1" applyBorder="1" applyAlignment="1">
      <alignment vertical="center"/>
    </xf>
    <xf numFmtId="0" fontId="11" fillId="31" borderId="35" xfId="0" applyFont="1" applyFill="1" applyBorder="1" applyAlignment="1">
      <alignment vertical="center"/>
    </xf>
    <xf numFmtId="0" fontId="11" fillId="31" borderId="34" xfId="0" applyFont="1" applyFill="1" applyBorder="1" applyAlignment="1">
      <alignment vertical="center"/>
    </xf>
    <xf numFmtId="0" fontId="76" fillId="31" borderId="35" xfId="0" applyFont="1" applyFill="1" applyBorder="1" applyAlignment="1">
      <alignment vertical="center"/>
    </xf>
    <xf numFmtId="0" fontId="76" fillId="31" borderId="34" xfId="0" applyFont="1" applyFill="1" applyBorder="1" applyAlignment="1">
      <alignment vertical="center"/>
    </xf>
    <xf numFmtId="0" fontId="6" fillId="34" borderId="51" xfId="0" applyFont="1" applyFill="1" applyBorder="1" applyAlignment="1">
      <alignment horizontal="left" vertical="center" wrapText="1" indent="2"/>
    </xf>
    <xf numFmtId="0" fontId="6" fillId="34" borderId="51" xfId="0" applyFont="1" applyFill="1" applyBorder="1" applyAlignment="1">
      <alignment horizontal="left" indent="2"/>
    </xf>
    <xf numFmtId="0" fontId="6" fillId="34" borderId="69" xfId="0" applyFont="1" applyFill="1" applyBorder="1" applyAlignment="1">
      <alignment horizontal="left" indent="1"/>
    </xf>
    <xf numFmtId="0" fontId="11" fillId="31" borderId="22" xfId="0" applyFont="1" applyFill="1" applyBorder="1" applyAlignment="1">
      <alignment vertical="center"/>
    </xf>
    <xf numFmtId="0" fontId="6" fillId="41" borderId="48" xfId="0" applyFont="1" applyFill="1" applyBorder="1" applyAlignment="1" applyProtection="1">
      <alignment horizontal="center" vertical="center" wrapText="1"/>
      <protection locked="0"/>
    </xf>
    <xf numFmtId="0" fontId="6" fillId="41" borderId="66" xfId="0" applyFont="1" applyFill="1" applyBorder="1" applyAlignment="1" applyProtection="1">
      <alignment horizontal="center" vertical="center" wrapText="1"/>
      <protection locked="0"/>
    </xf>
    <xf numFmtId="0" fontId="6" fillId="41" borderId="89" xfId="0" applyFont="1" applyFill="1" applyBorder="1" applyAlignment="1" applyProtection="1">
      <alignment horizontal="center" vertical="center" wrapText="1"/>
      <protection locked="0"/>
    </xf>
    <xf numFmtId="0" fontId="6" fillId="41" borderId="210" xfId="0" applyFont="1" applyFill="1" applyBorder="1" applyAlignment="1" applyProtection="1">
      <alignment horizontal="center" vertical="center" wrapText="1"/>
      <protection locked="0"/>
    </xf>
    <xf numFmtId="0" fontId="6" fillId="40" borderId="210" xfId="0" applyFont="1" applyFill="1" applyBorder="1" applyAlignment="1" applyProtection="1">
      <alignment horizontal="center" vertical="center" wrapText="1"/>
      <protection locked="0"/>
    </xf>
    <xf numFmtId="0" fontId="6" fillId="40" borderId="209" xfId="0" applyFont="1" applyFill="1" applyBorder="1" applyAlignment="1" applyProtection="1">
      <alignment horizontal="center" vertical="center" wrapText="1"/>
      <protection locked="0"/>
    </xf>
    <xf numFmtId="0" fontId="6" fillId="40" borderId="86" xfId="0" applyFont="1" applyFill="1" applyBorder="1" applyAlignment="1" applyProtection="1">
      <alignment horizontal="center" vertical="center" wrapText="1"/>
      <protection locked="0"/>
    </xf>
    <xf numFmtId="0" fontId="6" fillId="40" borderId="89" xfId="0" applyFont="1" applyFill="1" applyBorder="1" applyAlignment="1" applyProtection="1">
      <alignment horizontal="center" vertical="center" wrapText="1"/>
      <protection locked="0"/>
    </xf>
    <xf numFmtId="0" fontId="6" fillId="41" borderId="209" xfId="0" applyFont="1" applyFill="1" applyBorder="1" applyAlignment="1" applyProtection="1">
      <alignment horizontal="center" vertical="center" wrapText="1"/>
      <protection locked="0"/>
    </xf>
    <xf numFmtId="0" fontId="6" fillId="41" borderId="83" xfId="0" applyFont="1" applyFill="1" applyBorder="1" applyAlignment="1" applyProtection="1">
      <alignment horizontal="center" vertical="center" wrapText="1"/>
      <protection locked="0"/>
    </xf>
    <xf numFmtId="0" fontId="6" fillId="41" borderId="86" xfId="0" applyFont="1" applyFill="1" applyBorder="1" applyAlignment="1" applyProtection="1">
      <alignment horizontal="center" vertical="center" wrapText="1"/>
      <protection locked="0"/>
    </xf>
    <xf numFmtId="0" fontId="6" fillId="41" borderId="44" xfId="0" applyFont="1" applyFill="1" applyBorder="1" applyAlignment="1" applyProtection="1">
      <alignment horizontal="center" vertical="center" wrapText="1"/>
      <protection locked="0"/>
    </xf>
    <xf numFmtId="0" fontId="6" fillId="41" borderId="72" xfId="0" applyFont="1" applyFill="1" applyBorder="1" applyAlignment="1" applyProtection="1">
      <alignment horizontal="center" vertical="center" wrapText="1"/>
      <protection locked="0"/>
    </xf>
    <xf numFmtId="0" fontId="6" fillId="41" borderId="56" xfId="0" applyFont="1" applyFill="1" applyBorder="1" applyAlignment="1" applyProtection="1">
      <alignment horizontal="center" vertical="center" wrapText="1"/>
      <protection locked="0"/>
    </xf>
    <xf numFmtId="0" fontId="6" fillId="41" borderId="57" xfId="0" applyFont="1" applyFill="1" applyBorder="1" applyAlignment="1" applyProtection="1">
      <alignment horizontal="center" vertical="center" wrapText="1"/>
      <protection locked="0"/>
    </xf>
    <xf numFmtId="0" fontId="6" fillId="41" borderId="136" xfId="0" applyFont="1" applyFill="1" applyBorder="1" applyAlignment="1" applyProtection="1">
      <alignment horizontal="center" vertical="center" wrapText="1"/>
      <protection locked="0"/>
    </xf>
    <xf numFmtId="0" fontId="64" fillId="14" borderId="0" xfId="0" applyFont="1" applyFill="1" applyAlignment="1"/>
    <xf numFmtId="0" fontId="14" fillId="31" borderId="35" xfId="0" applyFont="1" applyFill="1" applyBorder="1" applyAlignment="1">
      <alignment vertical="center"/>
    </xf>
    <xf numFmtId="0" fontId="77" fillId="28" borderId="23" xfId="0" applyFont="1" applyFill="1" applyBorder="1" applyAlignment="1">
      <alignment vertical="center"/>
    </xf>
    <xf numFmtId="0" fontId="14" fillId="31" borderId="34" xfId="0" applyFont="1" applyFill="1" applyBorder="1" applyAlignment="1">
      <alignment vertical="center"/>
    </xf>
    <xf numFmtId="0" fontId="64" fillId="31" borderId="35" xfId="0" applyFont="1" applyFill="1" applyBorder="1" applyAlignment="1">
      <alignment vertical="center"/>
    </xf>
    <xf numFmtId="0" fontId="64" fillId="31" borderId="34" xfId="0" applyFont="1" applyFill="1" applyBorder="1" applyAlignment="1">
      <alignment vertical="center"/>
    </xf>
    <xf numFmtId="0" fontId="64" fillId="31" borderId="36" xfId="0" applyFont="1" applyFill="1" applyBorder="1" applyAlignment="1">
      <alignment vertical="center"/>
    </xf>
    <xf numFmtId="0" fontId="13" fillId="34" borderId="0" xfId="0" applyFont="1" applyFill="1" applyBorder="1" applyAlignment="1">
      <alignment horizontal="left" vertical="center" wrapText="1" shrinkToFit="1"/>
    </xf>
    <xf numFmtId="0" fontId="13" fillId="0" borderId="0" xfId="0" applyFont="1" applyFill="1" applyBorder="1" applyAlignment="1">
      <alignment horizontal="left" vertical="center" wrapText="1" shrinkToFit="1"/>
    </xf>
    <xf numFmtId="0" fontId="64" fillId="32" borderId="129" xfId="0" applyFont="1" applyFill="1" applyBorder="1" applyAlignment="1">
      <alignment vertical="center"/>
    </xf>
    <xf numFmtId="0" fontId="64" fillId="32" borderId="129" xfId="0" applyFont="1" applyFill="1" applyBorder="1" applyAlignment="1"/>
    <xf numFmtId="0" fontId="64" fillId="32" borderId="133" xfId="0" applyFont="1" applyFill="1" applyBorder="1" applyAlignment="1"/>
    <xf numFmtId="41" fontId="8" fillId="39" borderId="56" xfId="0" applyNumberFormat="1" applyFont="1" applyFill="1" applyBorder="1"/>
    <xf numFmtId="41" fontId="8" fillId="39" borderId="57" xfId="0" applyNumberFormat="1" applyFont="1" applyFill="1" applyBorder="1"/>
    <xf numFmtId="0" fontId="3" fillId="34" borderId="51" xfId="0" applyFont="1" applyFill="1" applyBorder="1" applyAlignment="1">
      <alignment horizontal="left" vertical="center" wrapText="1" indent="3"/>
    </xf>
    <xf numFmtId="41" fontId="8" fillId="39" borderId="46" xfId="0" applyNumberFormat="1" applyFont="1" applyFill="1" applyBorder="1"/>
    <xf numFmtId="41" fontId="13" fillId="30" borderId="48" xfId="0" applyNumberFormat="1" applyFont="1" applyFill="1" applyBorder="1"/>
    <xf numFmtId="0" fontId="3" fillId="34" borderId="71" xfId="0" applyFont="1" applyFill="1" applyBorder="1" applyAlignment="1">
      <alignment horizontal="left" vertical="center" wrapText="1" indent="2"/>
    </xf>
    <xf numFmtId="0" fontId="64" fillId="32" borderId="134" xfId="0" applyFont="1" applyFill="1" applyBorder="1" applyAlignment="1"/>
    <xf numFmtId="41" fontId="8" fillId="39" borderId="60" xfId="0" applyNumberFormat="1" applyFont="1" applyFill="1" applyBorder="1"/>
    <xf numFmtId="41" fontId="8" fillId="39" borderId="64" xfId="0" applyNumberFormat="1" applyFont="1" applyFill="1" applyBorder="1"/>
    <xf numFmtId="41" fontId="13" fillId="30" borderId="68" xfId="0" applyNumberFormat="1" applyFont="1" applyFill="1" applyBorder="1"/>
    <xf numFmtId="3" fontId="8" fillId="18" borderId="60" xfId="0" applyNumberFormat="1" applyFont="1" applyFill="1" applyBorder="1"/>
    <xf numFmtId="3" fontId="8" fillId="18" borderId="64" xfId="0" applyNumberFormat="1" applyFont="1" applyFill="1" applyBorder="1"/>
    <xf numFmtId="0" fontId="0" fillId="0" borderId="144" xfId="0" applyFill="1" applyBorder="1" applyAlignment="1">
      <alignment horizontal="left" indent="2"/>
    </xf>
    <xf numFmtId="3" fontId="8" fillId="18" borderId="81" xfId="0" applyNumberFormat="1" applyFont="1" applyFill="1" applyBorder="1"/>
    <xf numFmtId="3" fontId="8" fillId="18" borderId="79" xfId="0" applyNumberFormat="1" applyFont="1" applyFill="1" applyBorder="1"/>
    <xf numFmtId="0" fontId="0" fillId="0" borderId="218" xfId="0" applyFill="1" applyBorder="1" applyAlignment="1">
      <alignment horizontal="left" indent="2"/>
    </xf>
    <xf numFmtId="3" fontId="8" fillId="18" borderId="80" xfId="0" applyNumberFormat="1" applyFont="1" applyFill="1" applyBorder="1"/>
    <xf numFmtId="0" fontId="0" fillId="0" borderId="214" xfId="0" applyFill="1" applyBorder="1" applyAlignment="1">
      <alignment horizontal="left" indent="2"/>
    </xf>
    <xf numFmtId="0" fontId="3" fillId="18" borderId="56" xfId="0" applyFont="1" applyFill="1" applyBorder="1" applyAlignment="1" applyProtection="1">
      <alignment horizontal="right" vertical="center" wrapText="1"/>
      <protection locked="0"/>
    </xf>
    <xf numFmtId="0" fontId="3" fillId="18" borderId="57" xfId="0" applyFont="1" applyFill="1" applyBorder="1" applyAlignment="1" applyProtection="1">
      <alignment horizontal="right" vertical="center" wrapText="1"/>
      <protection locked="0"/>
    </xf>
    <xf numFmtId="0" fontId="3" fillId="18" borderId="60" xfId="0" applyFont="1" applyFill="1" applyBorder="1" applyAlignment="1" applyProtection="1">
      <alignment horizontal="right" vertical="center" wrapText="1"/>
      <protection locked="0"/>
    </xf>
    <xf numFmtId="43" fontId="6" fillId="32" borderId="65" xfId="30" applyFont="1" applyFill="1" applyBorder="1" applyAlignment="1">
      <alignment horizontal="left" vertical="center" wrapText="1"/>
    </xf>
    <xf numFmtId="43" fontId="6" fillId="32" borderId="68" xfId="30" applyFont="1" applyFill="1" applyBorder="1" applyAlignment="1">
      <alignment horizontal="left" vertical="center" wrapText="1"/>
    </xf>
    <xf numFmtId="41" fontId="6" fillId="32" borderId="46" xfId="0" applyNumberFormat="1" applyFont="1" applyFill="1" applyBorder="1" applyAlignment="1">
      <alignment horizontal="right" vertical="center" wrapText="1"/>
    </xf>
    <xf numFmtId="41" fontId="6" fillId="32" borderId="61" xfId="0" applyNumberFormat="1" applyFont="1" applyFill="1" applyBorder="1" applyAlignment="1">
      <alignment horizontal="right" vertical="center" wrapText="1"/>
    </xf>
    <xf numFmtId="41" fontId="6" fillId="32" borderId="64" xfId="0" applyNumberFormat="1" applyFont="1" applyFill="1" applyBorder="1" applyAlignment="1">
      <alignment horizontal="right" vertical="center" wrapText="1"/>
    </xf>
    <xf numFmtId="0" fontId="13" fillId="39" borderId="46" xfId="0" applyFont="1" applyFill="1" applyBorder="1" applyAlignment="1">
      <alignment horizontal="right" vertical="center" wrapText="1"/>
    </xf>
    <xf numFmtId="0" fontId="13" fillId="39" borderId="61" xfId="0" applyFont="1" applyFill="1" applyBorder="1" applyAlignment="1">
      <alignment horizontal="right" vertical="center" wrapText="1"/>
    </xf>
    <xf numFmtId="0" fontId="13" fillId="39" borderId="64" xfId="0" applyFont="1" applyFill="1" applyBorder="1" applyAlignment="1">
      <alignment horizontal="right" vertical="center" wrapText="1"/>
    </xf>
    <xf numFmtId="168" fontId="6" fillId="31" borderId="52" xfId="0" applyNumberFormat="1" applyFont="1" applyFill="1" applyBorder="1" applyAlignment="1">
      <alignment horizontal="right" vertical="center" wrapText="1"/>
    </xf>
    <xf numFmtId="168" fontId="6" fillId="31" borderId="53" xfId="0" applyNumberFormat="1" applyFont="1" applyFill="1" applyBorder="1" applyAlignment="1">
      <alignment horizontal="right" vertical="center" wrapText="1"/>
    </xf>
    <xf numFmtId="168" fontId="6" fillId="31" borderId="54" xfId="0" applyNumberFormat="1" applyFont="1" applyFill="1" applyBorder="1" applyAlignment="1">
      <alignment horizontal="right" vertical="center" wrapText="1"/>
    </xf>
    <xf numFmtId="0" fontId="11" fillId="32" borderId="133" xfId="0" applyFont="1" applyFill="1" applyBorder="1" applyAlignment="1">
      <alignment vertical="center"/>
    </xf>
    <xf numFmtId="0" fontId="11" fillId="32" borderId="134" xfId="0" applyFont="1" applyFill="1" applyBorder="1" applyAlignment="1">
      <alignment vertical="center"/>
    </xf>
    <xf numFmtId="0" fontId="46" fillId="25" borderId="71" xfId="0" applyFont="1" applyFill="1" applyBorder="1" applyAlignment="1">
      <alignment horizontal="left" vertical="center" wrapText="1" indent="3"/>
    </xf>
    <xf numFmtId="0" fontId="132" fillId="34" borderId="0" xfId="0" applyFont="1" applyFill="1" applyBorder="1" applyAlignment="1">
      <alignment vertical="center"/>
    </xf>
    <xf numFmtId="1" fontId="3" fillId="18" borderId="80" xfId="44" applyNumberFormat="1" applyFont="1" applyFill="1" applyBorder="1" applyProtection="1">
      <protection locked="0"/>
    </xf>
    <xf numFmtId="1" fontId="3" fillId="18" borderId="81" xfId="44" applyNumberFormat="1" applyFont="1" applyFill="1" applyBorder="1" applyProtection="1">
      <protection locked="0"/>
    </xf>
    <xf numFmtId="1" fontId="3" fillId="18" borderId="87" xfId="44" applyNumberFormat="1" applyFont="1" applyFill="1" applyBorder="1" applyProtection="1">
      <protection locked="0"/>
    </xf>
    <xf numFmtId="1" fontId="3" fillId="18" borderId="88" xfId="44" applyNumberFormat="1" applyFont="1" applyFill="1" applyBorder="1" applyProtection="1">
      <protection locked="0"/>
    </xf>
    <xf numFmtId="1" fontId="3" fillId="18" borderId="82" xfId="44" applyNumberFormat="1" applyFont="1" applyFill="1" applyBorder="1" applyProtection="1">
      <protection locked="0"/>
    </xf>
    <xf numFmtId="1" fontId="3" fillId="18" borderId="44" xfId="44" applyNumberFormat="1" applyFont="1" applyFill="1" applyBorder="1" applyProtection="1">
      <protection locked="0"/>
    </xf>
    <xf numFmtId="1" fontId="3" fillId="18" borderId="83" xfId="44" applyNumberFormat="1" applyFont="1" applyFill="1" applyBorder="1" applyProtection="1">
      <protection locked="0"/>
    </xf>
    <xf numFmtId="1" fontId="3" fillId="18" borderId="91" xfId="44" applyNumberFormat="1" applyFont="1" applyFill="1" applyBorder="1" applyProtection="1">
      <protection locked="0"/>
    </xf>
    <xf numFmtId="1" fontId="3" fillId="18" borderId="79" xfId="44" applyNumberFormat="1" applyFont="1" applyFill="1" applyBorder="1" applyProtection="1">
      <protection locked="0"/>
    </xf>
    <xf numFmtId="43" fontId="6" fillId="30" borderId="213" xfId="0" applyNumberFormat="1" applyFont="1" applyFill="1" applyBorder="1" applyAlignment="1">
      <alignment horizontal="right" vertical="center" wrapText="1"/>
    </xf>
    <xf numFmtId="43" fontId="6" fillId="30" borderId="211" xfId="0" applyNumberFormat="1" applyFont="1" applyFill="1" applyBorder="1" applyAlignment="1">
      <alignment horizontal="right" vertical="center" wrapText="1"/>
    </xf>
    <xf numFmtId="43" fontId="6" fillId="30" borderId="212" xfId="0" applyNumberFormat="1" applyFont="1" applyFill="1" applyBorder="1" applyAlignment="1">
      <alignment horizontal="right" vertical="center" wrapText="1"/>
    </xf>
    <xf numFmtId="0" fontId="3" fillId="30" borderId="155" xfId="0" applyFont="1" applyFill="1" applyBorder="1" applyAlignment="1">
      <alignment horizontal="left" vertical="center" wrapText="1"/>
    </xf>
    <xf numFmtId="1" fontId="3" fillId="18" borderId="86" xfId="44" applyNumberFormat="1" applyFont="1" applyFill="1" applyBorder="1" applyProtection="1">
      <protection locked="0"/>
    </xf>
    <xf numFmtId="1" fontId="3" fillId="18" borderId="90" xfId="44" applyNumberFormat="1" applyFont="1" applyFill="1" applyBorder="1" applyProtection="1">
      <protection locked="0"/>
    </xf>
    <xf numFmtId="43" fontId="6" fillId="30" borderId="223" xfId="0" applyNumberFormat="1" applyFont="1" applyFill="1" applyBorder="1" applyAlignment="1">
      <alignment horizontal="right" vertical="center" wrapText="1"/>
    </xf>
    <xf numFmtId="43" fontId="6" fillId="30" borderId="224" xfId="0" applyNumberFormat="1" applyFont="1" applyFill="1" applyBorder="1" applyAlignment="1">
      <alignment horizontal="right" vertical="center" wrapText="1"/>
    </xf>
    <xf numFmtId="168" fontId="3" fillId="32" borderId="90" xfId="30" applyNumberFormat="1" applyFont="1" applyFill="1" applyBorder="1" applyAlignment="1" applyProtection="1">
      <alignment horizontal="right" vertical="center" wrapText="1"/>
      <protection locked="0"/>
    </xf>
    <xf numFmtId="168" fontId="3" fillId="32" borderId="63" xfId="30" applyNumberFormat="1" applyFont="1" applyFill="1" applyBorder="1" applyAlignment="1" applyProtection="1">
      <alignment horizontal="right" vertical="center" wrapText="1"/>
      <protection locked="0"/>
    </xf>
    <xf numFmtId="168" fontId="3" fillId="32" borderId="44" xfId="30" applyNumberFormat="1" applyFont="1" applyFill="1" applyBorder="1" applyAlignment="1" applyProtection="1">
      <alignment horizontal="right" vertical="center" wrapText="1"/>
      <protection locked="0"/>
    </xf>
    <xf numFmtId="168" fontId="3" fillId="32" borderId="91" xfId="30" applyNumberFormat="1" applyFont="1" applyFill="1" applyBorder="1" applyAlignment="1" applyProtection="1">
      <alignment horizontal="right" vertical="center" wrapText="1"/>
      <protection locked="0"/>
    </xf>
    <xf numFmtId="168" fontId="3" fillId="32" borderId="46" xfId="30" applyNumberFormat="1" applyFont="1" applyFill="1" applyBorder="1" applyAlignment="1" applyProtection="1">
      <alignment horizontal="right" vertical="center" wrapText="1"/>
      <protection locked="0"/>
    </xf>
    <xf numFmtId="168" fontId="3" fillId="32" borderId="64" xfId="30" applyNumberFormat="1" applyFont="1" applyFill="1" applyBorder="1" applyAlignment="1" applyProtection="1">
      <alignment horizontal="right" vertical="center" wrapText="1"/>
      <protection locked="0"/>
    </xf>
    <xf numFmtId="168" fontId="3" fillId="32" borderId="68" xfId="30" applyNumberFormat="1" applyFont="1" applyFill="1" applyBorder="1" applyAlignment="1" applyProtection="1">
      <alignment horizontal="right" vertical="center" wrapText="1"/>
      <protection locked="0"/>
    </xf>
    <xf numFmtId="2" fontId="0" fillId="0" borderId="0" xfId="0" applyNumberFormat="1" applyAlignment="1">
      <alignment wrapText="1"/>
    </xf>
    <xf numFmtId="0" fontId="6" fillId="14" borderId="0" xfId="0" applyFont="1" applyFill="1" applyAlignment="1">
      <alignment vertical="center" wrapText="1"/>
    </xf>
    <xf numFmtId="0" fontId="64" fillId="32" borderId="36" xfId="0" applyFont="1" applyFill="1" applyBorder="1" applyAlignment="1"/>
    <xf numFmtId="0" fontId="3" fillId="0" borderId="0" xfId="0" applyFont="1" applyAlignment="1">
      <alignment horizontal="left" indent="1"/>
    </xf>
    <xf numFmtId="0" fontId="0" fillId="0" borderId="0" xfId="0" applyAlignment="1">
      <alignment horizontal="left" indent="1"/>
    </xf>
    <xf numFmtId="0" fontId="3" fillId="0" borderId="0" xfId="0" applyFont="1" applyFill="1" applyAlignment="1">
      <alignment horizontal="left" indent="1"/>
    </xf>
    <xf numFmtId="0" fontId="64" fillId="32" borderId="133" xfId="0" applyFont="1" applyFill="1" applyBorder="1" applyAlignment="1">
      <alignment vertical="center"/>
    </xf>
    <xf numFmtId="0" fontId="66" fillId="28" borderId="35" xfId="0" applyFont="1" applyFill="1" applyBorder="1" applyAlignment="1">
      <alignment vertical="center"/>
    </xf>
    <xf numFmtId="0" fontId="66" fillId="28" borderId="34" xfId="0" applyFont="1" applyFill="1" applyBorder="1" applyAlignment="1">
      <alignment vertical="center"/>
    </xf>
    <xf numFmtId="0" fontId="6" fillId="39" borderId="71" xfId="0" applyFont="1" applyFill="1" applyBorder="1" applyAlignment="1">
      <alignment horizontal="left" vertical="center" wrapText="1"/>
    </xf>
    <xf numFmtId="0" fontId="85" fillId="14" borderId="0" xfId="0" applyFont="1" applyFill="1" applyAlignment="1">
      <alignment vertical="center"/>
    </xf>
    <xf numFmtId="0" fontId="0" fillId="14" borderId="0" xfId="0" applyFill="1" applyAlignment="1">
      <alignment vertical="center" wrapText="1"/>
    </xf>
    <xf numFmtId="0" fontId="6" fillId="14" borderId="0" xfId="0" applyFont="1" applyFill="1" applyAlignment="1">
      <alignment vertical="center"/>
    </xf>
    <xf numFmtId="0" fontId="3" fillId="14" borderId="0" xfId="0" applyFont="1" applyFill="1" applyAlignment="1">
      <alignment vertical="center"/>
    </xf>
    <xf numFmtId="0" fontId="0" fillId="14" borderId="0" xfId="0" applyFill="1" applyAlignment="1">
      <alignment vertical="center"/>
    </xf>
    <xf numFmtId="0" fontId="3" fillId="34" borderId="51" xfId="0" applyFont="1" applyFill="1" applyBorder="1" applyAlignment="1">
      <alignment horizontal="left" vertical="center" wrapText="1" indent="1"/>
    </xf>
    <xf numFmtId="0" fontId="3" fillId="25" borderId="36" xfId="0" applyFont="1" applyFill="1" applyBorder="1" applyAlignment="1" applyProtection="1">
      <alignment horizontal="left" vertical="center" wrapText="1"/>
      <protection locked="0"/>
    </xf>
    <xf numFmtId="0" fontId="3" fillId="25" borderId="35" xfId="0" applyFont="1" applyFill="1" applyBorder="1" applyAlignment="1" applyProtection="1">
      <alignment horizontal="left" vertical="center" wrapText="1"/>
      <protection locked="0"/>
    </xf>
    <xf numFmtId="0" fontId="3" fillId="25" borderId="34" xfId="0" applyFont="1" applyFill="1" applyBorder="1" applyAlignment="1" applyProtection="1">
      <alignment horizontal="left" vertical="center" wrapText="1"/>
      <protection locked="0"/>
    </xf>
    <xf numFmtId="0" fontId="3" fillId="34" borderId="51" xfId="0" applyFont="1" applyFill="1" applyBorder="1" applyAlignment="1">
      <alignment horizontal="left" vertical="center" wrapText="1" indent="1"/>
    </xf>
    <xf numFmtId="0" fontId="6" fillId="34" borderId="69" xfId="0" applyFont="1" applyFill="1" applyBorder="1" applyAlignment="1">
      <alignment vertical="center" wrapText="1"/>
    </xf>
    <xf numFmtId="0" fontId="6" fillId="44" borderId="71" xfId="0" applyFont="1" applyFill="1" applyBorder="1" applyAlignment="1">
      <alignment horizontal="left" vertical="center" wrapText="1"/>
    </xf>
    <xf numFmtId="0" fontId="6" fillId="44" borderId="94" xfId="0" applyFont="1" applyFill="1" applyBorder="1" applyAlignment="1">
      <alignment horizontal="left" vertical="center" wrapText="1"/>
    </xf>
    <xf numFmtId="0" fontId="3" fillId="44" borderId="94" xfId="0" applyFont="1" applyFill="1" applyBorder="1" applyAlignment="1">
      <alignment horizontal="left" vertical="center" wrapText="1" indent="2"/>
    </xf>
    <xf numFmtId="0" fontId="6" fillId="44" borderId="225" xfId="0" applyFont="1" applyFill="1" applyBorder="1" applyAlignment="1">
      <alignment horizontal="left" vertical="center" wrapText="1"/>
    </xf>
    <xf numFmtId="0" fontId="6" fillId="44" borderId="219" xfId="0" applyFont="1" applyFill="1" applyBorder="1" applyAlignment="1">
      <alignment horizontal="left" vertical="center" wrapText="1" indent="2"/>
    </xf>
    <xf numFmtId="0" fontId="3" fillId="34" borderId="71" xfId="0" applyFont="1" applyFill="1" applyBorder="1" applyAlignment="1">
      <alignment horizontal="left" wrapText="1"/>
    </xf>
    <xf numFmtId="0" fontId="6" fillId="39" borderId="225" xfId="0" applyFont="1" applyFill="1" applyBorder="1" applyAlignment="1">
      <alignment horizontal="left" vertical="center" wrapText="1"/>
    </xf>
    <xf numFmtId="0" fontId="3" fillId="39" borderId="94" xfId="0" applyFont="1" applyFill="1" applyBorder="1" applyAlignment="1">
      <alignment horizontal="left" vertical="center" wrapText="1" indent="2"/>
    </xf>
    <xf numFmtId="0" fontId="6" fillId="39" borderId="219" xfId="0" applyFont="1" applyFill="1" applyBorder="1" applyAlignment="1">
      <alignment horizontal="left" vertical="center" wrapText="1" indent="2"/>
    </xf>
    <xf numFmtId="0" fontId="3" fillId="39" borderId="51" xfId="0" applyFont="1" applyFill="1" applyBorder="1" applyAlignment="1">
      <alignment horizontal="left" vertical="center" wrapText="1" indent="4"/>
    </xf>
    <xf numFmtId="0" fontId="6" fillId="39" borderId="69" xfId="0" applyFont="1" applyFill="1" applyBorder="1" applyAlignment="1">
      <alignment horizontal="left" vertical="center" wrapText="1"/>
    </xf>
    <xf numFmtId="0" fontId="6" fillId="39" borderId="93" xfId="0" applyFont="1" applyFill="1" applyBorder="1" applyAlignment="1">
      <alignment horizontal="left" vertical="center" wrapText="1"/>
    </xf>
    <xf numFmtId="0" fontId="3" fillId="39" borderId="94" xfId="0" applyFont="1" applyFill="1" applyBorder="1" applyAlignment="1">
      <alignment horizontal="left" vertical="center" wrapText="1" indent="4"/>
    </xf>
    <xf numFmtId="0" fontId="6" fillId="39" borderId="94" xfId="0" applyFont="1" applyFill="1" applyBorder="1" applyAlignment="1">
      <alignment horizontal="left" vertical="center" wrapText="1"/>
    </xf>
    <xf numFmtId="0" fontId="6" fillId="39" borderId="95" xfId="0" applyFont="1" applyFill="1" applyBorder="1" applyAlignment="1">
      <alignment horizontal="left" vertical="center" wrapText="1"/>
    </xf>
    <xf numFmtId="168" fontId="3" fillId="18" borderId="209" xfId="30" applyNumberFormat="1" applyFont="1" applyFill="1" applyBorder="1"/>
    <xf numFmtId="168" fontId="3" fillId="30" borderId="210" xfId="30" applyNumberFormat="1" applyFont="1" applyFill="1" applyBorder="1"/>
    <xf numFmtId="0" fontId="3" fillId="34" borderId="36" xfId="0" applyFont="1" applyFill="1" applyBorder="1" applyAlignment="1" applyProtection="1">
      <alignment horizontal="right" vertical="center" wrapText="1"/>
      <protection locked="0"/>
    </xf>
    <xf numFmtId="0" fontId="3" fillId="34" borderId="34" xfId="0" applyFont="1" applyFill="1" applyBorder="1" applyAlignment="1" applyProtection="1">
      <alignment horizontal="right" vertical="center" wrapText="1"/>
      <protection locked="0"/>
    </xf>
    <xf numFmtId="0" fontId="3" fillId="22" borderId="36" xfId="0" applyFont="1" applyFill="1" applyBorder="1" applyAlignment="1" applyProtection="1">
      <alignment horizontal="left" vertical="center" wrapText="1"/>
      <protection locked="0"/>
    </xf>
    <xf numFmtId="0" fontId="3" fillId="22" borderId="34" xfId="0" applyFont="1" applyFill="1" applyBorder="1" applyAlignment="1" applyProtection="1">
      <alignment horizontal="left" vertical="center" wrapText="1"/>
      <protection locked="0"/>
    </xf>
    <xf numFmtId="0" fontId="46" fillId="34" borderId="123" xfId="0" applyFont="1" applyFill="1" applyBorder="1" applyAlignment="1">
      <alignment horizontal="left" indent="4"/>
    </xf>
    <xf numFmtId="0" fontId="51" fillId="34" borderId="227" xfId="0" applyFont="1" applyFill="1" applyBorder="1" applyAlignment="1">
      <alignment horizontal="left" indent="4"/>
    </xf>
    <xf numFmtId="0" fontId="51" fillId="34" borderId="228" xfId="0" applyFont="1" applyFill="1" applyBorder="1" applyAlignment="1">
      <alignment horizontal="left" vertical="center" wrapText="1"/>
    </xf>
    <xf numFmtId="0" fontId="51" fillId="34" borderId="227" xfId="0" applyFont="1" applyFill="1" applyBorder="1" applyAlignment="1">
      <alignment horizontal="left" vertical="center" wrapText="1" indent="4"/>
    </xf>
    <xf numFmtId="0" fontId="51" fillId="34" borderId="51" xfId="0" applyFont="1" applyFill="1" applyBorder="1" applyAlignment="1">
      <alignment horizontal="left" vertical="center" wrapText="1"/>
    </xf>
    <xf numFmtId="0" fontId="51" fillId="34" borderId="170" xfId="0" applyFont="1" applyFill="1" applyBorder="1" applyAlignment="1">
      <alignment horizontal="left" vertical="center" wrapText="1"/>
    </xf>
    <xf numFmtId="0" fontId="46" fillId="34" borderId="71" xfId="0" applyFont="1" applyFill="1" applyBorder="1" applyAlignment="1">
      <alignment horizontal="left" vertical="center" wrapText="1"/>
    </xf>
    <xf numFmtId="0" fontId="3" fillId="34" borderId="25" xfId="0" applyFont="1" applyFill="1" applyBorder="1" applyAlignment="1" applyProtection="1">
      <alignment horizontal="right" vertical="center" wrapText="1"/>
      <protection locked="0"/>
    </xf>
    <xf numFmtId="0" fontId="3" fillId="34" borderId="45" xfId="0" applyFont="1" applyFill="1" applyBorder="1" applyAlignment="1" applyProtection="1">
      <alignment horizontal="right" vertical="center" wrapText="1"/>
      <protection locked="0"/>
    </xf>
    <xf numFmtId="0" fontId="3" fillId="34" borderId="69" xfId="0" applyFont="1" applyFill="1" applyBorder="1" applyAlignment="1" applyProtection="1">
      <alignment horizontal="right" vertical="center" wrapText="1"/>
      <protection locked="0"/>
    </xf>
    <xf numFmtId="0" fontId="46" fillId="34" borderId="122" xfId="0" applyFont="1" applyFill="1" applyBorder="1" applyAlignment="1">
      <alignment horizontal="left" vertical="center" wrapText="1"/>
    </xf>
    <xf numFmtId="0" fontId="46" fillId="34" borderId="228" xfId="0" applyFont="1" applyFill="1" applyBorder="1" applyAlignment="1">
      <alignment horizontal="left" vertical="center" wrapText="1"/>
    </xf>
    <xf numFmtId="0" fontId="51" fillId="34" borderId="94" xfId="0" applyFont="1" applyFill="1" applyBorder="1" applyAlignment="1">
      <alignment horizontal="left" vertical="center" wrapText="1"/>
    </xf>
    <xf numFmtId="0" fontId="51" fillId="34" borderId="95" xfId="0" applyFont="1" applyFill="1" applyBorder="1" applyAlignment="1">
      <alignment horizontal="left" vertical="center" wrapText="1"/>
    </xf>
    <xf numFmtId="0" fontId="46" fillId="34" borderId="122" xfId="0" applyFont="1" applyFill="1" applyBorder="1" applyAlignment="1">
      <alignment horizontal="left" vertical="center" wrapText="1" indent="3"/>
    </xf>
    <xf numFmtId="0" fontId="46" fillId="34" borderId="71" xfId="0" applyFont="1" applyFill="1" applyBorder="1" applyAlignment="1">
      <alignment horizontal="left" vertical="center" wrapText="1" indent="3"/>
    </xf>
    <xf numFmtId="0" fontId="46" fillId="34" borderId="229" xfId="0" applyFont="1" applyFill="1" applyBorder="1" applyAlignment="1">
      <alignment horizontal="left" vertical="center" wrapText="1"/>
    </xf>
    <xf numFmtId="0" fontId="51" fillId="39" borderId="93" xfId="0" applyFont="1" applyFill="1" applyBorder="1" applyAlignment="1">
      <alignment horizontal="left"/>
    </xf>
    <xf numFmtId="0" fontId="3" fillId="39" borderId="74" xfId="0" applyFont="1" applyFill="1" applyBorder="1" applyAlignment="1">
      <alignment horizontal="left" indent="4"/>
    </xf>
    <xf numFmtId="0" fontId="6" fillId="39" borderId="208" xfId="0" applyFont="1" applyFill="1" applyBorder="1" applyAlignment="1">
      <alignment horizontal="left" indent="4"/>
    </xf>
    <xf numFmtId="0" fontId="0" fillId="39" borderId="74" xfId="0" applyFill="1" applyBorder="1"/>
    <xf numFmtId="0" fontId="46" fillId="39" borderId="71" xfId="0" applyFont="1" applyFill="1" applyBorder="1" applyAlignment="1">
      <alignment horizontal="left" vertical="center" wrapText="1"/>
    </xf>
    <xf numFmtId="0" fontId="51" fillId="39" borderId="94" xfId="0" applyFont="1" applyFill="1" applyBorder="1" applyAlignment="1">
      <alignment horizontal="left" vertical="center" wrapText="1"/>
    </xf>
    <xf numFmtId="0" fontId="51" fillId="39" borderId="95" xfId="0" applyFont="1" applyFill="1" applyBorder="1" applyAlignment="1">
      <alignment horizontal="left" vertical="center" wrapText="1"/>
    </xf>
    <xf numFmtId="0" fontId="46" fillId="39" borderId="122" xfId="0" applyFont="1" applyFill="1" applyBorder="1" applyAlignment="1">
      <alignment horizontal="left" vertical="center" wrapText="1" indent="3"/>
    </xf>
    <xf numFmtId="0" fontId="3" fillId="34" borderId="75" xfId="0" applyFont="1" applyFill="1" applyBorder="1" applyAlignment="1">
      <alignment horizontal="left" vertical="center" wrapText="1"/>
    </xf>
    <xf numFmtId="0" fontId="46" fillId="31" borderId="77" xfId="0" applyFont="1" applyFill="1" applyBorder="1" applyAlignment="1">
      <alignment horizontal="left" vertical="center" wrapText="1"/>
    </xf>
    <xf numFmtId="0" fontId="46" fillId="31" borderId="118" xfId="0" applyFont="1" applyFill="1" applyBorder="1" applyAlignment="1">
      <alignment horizontal="left" vertical="center" wrapText="1"/>
    </xf>
    <xf numFmtId="0" fontId="46" fillId="34" borderId="99" xfId="0" applyFont="1" applyFill="1" applyBorder="1" applyAlignment="1">
      <alignment horizontal="left" vertical="center" wrapText="1" indent="3"/>
    </xf>
    <xf numFmtId="0" fontId="51" fillId="39" borderId="75" xfId="0" applyFont="1" applyFill="1" applyBorder="1" applyAlignment="1">
      <alignment horizontal="left"/>
    </xf>
    <xf numFmtId="0" fontId="51" fillId="39" borderId="228" xfId="0" applyFont="1" applyFill="1" applyBorder="1" applyAlignment="1">
      <alignment horizontal="left" vertical="center" wrapText="1"/>
    </xf>
    <xf numFmtId="0" fontId="46" fillId="39" borderId="123" xfId="0" applyFont="1" applyFill="1" applyBorder="1" applyAlignment="1">
      <alignment horizontal="left" vertical="center" wrapText="1" indent="4"/>
    </xf>
    <xf numFmtId="0" fontId="51" fillId="39" borderId="227" xfId="0" applyFont="1" applyFill="1" applyBorder="1" applyAlignment="1">
      <alignment horizontal="left" vertical="center" wrapText="1" indent="4"/>
    </xf>
    <xf numFmtId="0" fontId="46" fillId="39" borderId="117" xfId="0" applyFont="1" applyFill="1" applyBorder="1" applyAlignment="1">
      <alignment horizontal="left" vertical="center" wrapText="1"/>
    </xf>
    <xf numFmtId="0" fontId="51" fillId="39" borderId="51" xfId="0" applyFont="1" applyFill="1" applyBorder="1" applyAlignment="1">
      <alignment horizontal="left" vertical="center" wrapText="1"/>
    </xf>
    <xf numFmtId="0" fontId="46" fillId="39" borderId="71" xfId="0" applyFont="1" applyFill="1" applyBorder="1" applyAlignment="1">
      <alignment horizontal="left" vertical="center" wrapText="1" indent="3"/>
    </xf>
    <xf numFmtId="0" fontId="51" fillId="39" borderId="170" xfId="0" applyFont="1" applyFill="1" applyBorder="1" applyAlignment="1">
      <alignment horizontal="left" vertical="center" wrapText="1"/>
    </xf>
    <xf numFmtId="168" fontId="3" fillId="30" borderId="51" xfId="30" applyNumberFormat="1" applyFont="1" applyFill="1" applyBorder="1" applyAlignment="1">
      <alignment horizontal="right"/>
    </xf>
    <xf numFmtId="0" fontId="6" fillId="34" borderId="118" xfId="0" applyFont="1" applyFill="1" applyBorder="1" applyAlignment="1">
      <alignment horizontal="left" vertical="center" wrapText="1"/>
    </xf>
    <xf numFmtId="0" fontId="0" fillId="0" borderId="0" xfId="0" applyAlignment="1">
      <alignment vertical="center" wrapText="1"/>
    </xf>
    <xf numFmtId="0" fontId="3" fillId="34" borderId="51" xfId="0" applyFont="1" applyFill="1" applyBorder="1" applyAlignment="1">
      <alignment horizontal="left" vertical="center" wrapText="1" indent="1"/>
    </xf>
    <xf numFmtId="0" fontId="0" fillId="0" borderId="0" xfId="0" applyAlignment="1">
      <alignment wrapText="1"/>
    </xf>
    <xf numFmtId="0" fontId="3" fillId="18" borderId="35" xfId="0" applyFont="1" applyFill="1" applyBorder="1" applyAlignment="1" applyProtection="1">
      <alignment horizontal="left" vertical="center" wrapText="1"/>
      <protection locked="0"/>
    </xf>
    <xf numFmtId="0" fontId="3" fillId="18" borderId="34" xfId="0" applyFont="1" applyFill="1" applyBorder="1" applyAlignment="1" applyProtection="1">
      <alignment horizontal="left" vertical="center" wrapText="1"/>
      <protection locked="0"/>
    </xf>
    <xf numFmtId="0" fontId="6" fillId="39" borderId="51" xfId="0" applyFont="1" applyFill="1" applyBorder="1"/>
    <xf numFmtId="0" fontId="6" fillId="39" borderId="69" xfId="0" applyFont="1" applyFill="1" applyBorder="1"/>
    <xf numFmtId="168" fontId="3" fillId="39" borderId="56" xfId="30" applyNumberFormat="1" applyFont="1" applyFill="1" applyBorder="1" applyAlignment="1">
      <alignment horizontal="right"/>
    </xf>
    <xf numFmtId="168" fontId="3" fillId="39" borderId="57" xfId="30" applyNumberFormat="1" applyFont="1" applyFill="1" applyBorder="1" applyAlignment="1">
      <alignment horizontal="right"/>
    </xf>
    <xf numFmtId="168" fontId="3" fillId="39" borderId="60" xfId="30" applyNumberFormat="1" applyFont="1" applyFill="1" applyBorder="1" applyAlignment="1">
      <alignment horizontal="right"/>
    </xf>
    <xf numFmtId="0" fontId="11" fillId="30" borderId="22" xfId="0" applyFont="1" applyFill="1" applyBorder="1" applyAlignment="1">
      <alignment vertical="center"/>
    </xf>
    <xf numFmtId="0" fontId="11" fillId="30" borderId="23" xfId="0" applyFont="1" applyFill="1" applyBorder="1" applyAlignment="1">
      <alignment vertical="center"/>
    </xf>
    <xf numFmtId="0" fontId="3" fillId="34" borderId="95" xfId="0" applyFont="1" applyFill="1" applyBorder="1" applyAlignment="1">
      <alignment horizontal="left" vertical="center" wrapText="1" indent="4"/>
    </xf>
    <xf numFmtId="0" fontId="3" fillId="34" borderId="51" xfId="0" applyFont="1" applyFill="1" applyBorder="1" applyAlignment="1">
      <alignment horizontal="left" vertical="center" wrapText="1" indent="4"/>
    </xf>
    <xf numFmtId="0" fontId="6" fillId="34" borderId="51" xfId="0" applyFont="1" applyFill="1" applyBorder="1" applyAlignment="1">
      <alignment horizontal="left" vertical="center" wrapText="1"/>
    </xf>
    <xf numFmtId="0" fontId="3" fillId="34" borderId="144" xfId="0" applyFont="1" applyFill="1" applyBorder="1" applyAlignment="1">
      <alignment horizontal="left" vertical="center" wrapText="1" indent="4"/>
    </xf>
    <xf numFmtId="0" fontId="3" fillId="39" borderId="93" xfId="0" applyFont="1" applyFill="1" applyBorder="1" applyAlignment="1">
      <alignment horizontal="left" vertical="center" wrapText="1" indent="4"/>
    </xf>
    <xf numFmtId="0" fontId="6" fillId="39" borderId="94" xfId="0" applyFont="1" applyFill="1" applyBorder="1"/>
    <xf numFmtId="0" fontId="6" fillId="39" borderId="95" xfId="0" applyFont="1" applyFill="1" applyBorder="1"/>
    <xf numFmtId="0" fontId="3" fillId="34" borderId="69" xfId="0" applyFont="1" applyFill="1" applyBorder="1" applyAlignment="1">
      <alignment horizontal="left" vertical="center" wrapText="1" indent="4"/>
    </xf>
    <xf numFmtId="168" fontId="6" fillId="30" borderId="56" xfId="0" applyNumberFormat="1" applyFont="1" applyFill="1" applyBorder="1"/>
    <xf numFmtId="168" fontId="6" fillId="30" borderId="57" xfId="0" applyNumberFormat="1" applyFont="1" applyFill="1" applyBorder="1"/>
    <xf numFmtId="168" fontId="6" fillId="30" borderId="60" xfId="0" applyNumberFormat="1" applyFont="1" applyFill="1" applyBorder="1"/>
    <xf numFmtId="168" fontId="6" fillId="39" borderId="209" xfId="0" applyNumberFormat="1" applyFont="1" applyFill="1" applyBorder="1"/>
    <xf numFmtId="168" fontId="6" fillId="39" borderId="83" xfId="0" applyNumberFormat="1" applyFont="1" applyFill="1" applyBorder="1"/>
    <xf numFmtId="168" fontId="6" fillId="39" borderId="91" xfId="0" applyNumberFormat="1" applyFont="1" applyFill="1" applyBorder="1"/>
    <xf numFmtId="168" fontId="6" fillId="39" borderId="210" xfId="0" applyNumberFormat="1" applyFont="1" applyFill="1" applyBorder="1"/>
    <xf numFmtId="168" fontId="6" fillId="39" borderId="65" xfId="0" applyNumberFormat="1" applyFont="1" applyFill="1" applyBorder="1"/>
    <xf numFmtId="168" fontId="6" fillId="39" borderId="68" xfId="0" applyNumberFormat="1" applyFont="1" applyFill="1" applyBorder="1"/>
    <xf numFmtId="168" fontId="6" fillId="39" borderId="44" xfId="0" applyNumberFormat="1" applyFont="1" applyFill="1" applyBorder="1"/>
    <xf numFmtId="168" fontId="6" fillId="39" borderId="48" xfId="0" applyNumberFormat="1" applyFont="1" applyFill="1" applyBorder="1"/>
    <xf numFmtId="0" fontId="6" fillId="34" borderId="94" xfId="0" applyFont="1" applyFill="1" applyBorder="1" applyAlignment="1">
      <alignment horizontal="left" vertical="center" wrapText="1" indent="2"/>
    </xf>
    <xf numFmtId="0" fontId="6" fillId="34" borderId="94" xfId="0" applyFont="1" applyFill="1" applyBorder="1" applyAlignment="1">
      <alignment horizontal="left" indent="2"/>
    </xf>
    <xf numFmtId="0" fontId="6" fillId="34" borderId="95" xfId="0" applyFont="1" applyFill="1" applyBorder="1" applyAlignment="1">
      <alignment horizontal="left" indent="2"/>
    </xf>
    <xf numFmtId="0" fontId="3" fillId="34" borderId="93" xfId="0" applyFont="1" applyFill="1" applyBorder="1" applyAlignment="1">
      <alignment horizontal="left" vertical="center" wrapText="1" indent="2"/>
    </xf>
    <xf numFmtId="0" fontId="64" fillId="37" borderId="210" xfId="0" applyFont="1" applyFill="1" applyBorder="1" applyAlignment="1">
      <alignment horizontal="center" vertical="center" wrapText="1"/>
    </xf>
    <xf numFmtId="168" fontId="3" fillId="18" borderId="67" xfId="30" applyNumberFormat="1" applyFont="1" applyFill="1" applyBorder="1"/>
    <xf numFmtId="168" fontId="3" fillId="18" borderId="90" xfId="30" applyNumberFormat="1" applyFont="1" applyFill="1" applyBorder="1"/>
    <xf numFmtId="168" fontId="3" fillId="18" borderId="210" xfId="30" applyNumberFormat="1" applyFont="1" applyFill="1" applyBorder="1"/>
    <xf numFmtId="0" fontId="3" fillId="73" borderId="131" xfId="0" applyFont="1" applyFill="1" applyBorder="1" applyAlignment="1" applyProtection="1">
      <alignment vertical="center" wrapText="1"/>
      <protection locked="0"/>
    </xf>
    <xf numFmtId="0" fontId="3" fillId="73" borderId="35" xfId="0" applyFont="1" applyFill="1" applyBorder="1" applyAlignment="1" applyProtection="1">
      <alignment vertical="center" wrapText="1"/>
      <protection locked="0"/>
    </xf>
    <xf numFmtId="0" fontId="3" fillId="73" borderId="34" xfId="0" applyFont="1" applyFill="1" applyBorder="1" applyAlignment="1" applyProtection="1">
      <alignment vertical="center" wrapText="1"/>
      <protection locked="0"/>
    </xf>
    <xf numFmtId="0" fontId="6" fillId="34" borderId="144" xfId="0" applyFont="1" applyFill="1" applyBorder="1" applyAlignment="1">
      <alignment horizontal="left" vertical="center" wrapText="1"/>
    </xf>
    <xf numFmtId="0" fontId="6" fillId="34" borderId="143" xfId="0" applyFont="1" applyFill="1" applyBorder="1"/>
    <xf numFmtId="0" fontId="6" fillId="34" borderId="149" xfId="0" applyFont="1" applyFill="1" applyBorder="1" applyAlignment="1">
      <alignment horizontal="left" vertical="center" wrapText="1"/>
    </xf>
    <xf numFmtId="168" fontId="14" fillId="25" borderId="55" xfId="30" applyNumberFormat="1" applyFont="1" applyFill="1" applyBorder="1" applyAlignment="1">
      <alignment vertical="center" wrapText="1"/>
    </xf>
    <xf numFmtId="0" fontId="6" fillId="39" borderId="71" xfId="0" applyFont="1" applyFill="1" applyBorder="1" applyAlignment="1">
      <alignment horizontal="left" wrapText="1"/>
    </xf>
    <xf numFmtId="0" fontId="3" fillId="18" borderId="232" xfId="0" applyFont="1" applyFill="1" applyBorder="1" applyAlignment="1" applyProtection="1">
      <alignment vertical="center" wrapText="1"/>
      <protection locked="0"/>
    </xf>
    <xf numFmtId="0" fontId="3" fillId="18" borderId="233" xfId="0" applyFont="1" applyFill="1" applyBorder="1" applyAlignment="1" applyProtection="1">
      <alignment vertical="center" wrapText="1"/>
      <protection locked="0"/>
    </xf>
    <xf numFmtId="0" fontId="3" fillId="18" borderId="234" xfId="0" applyFont="1" applyFill="1" applyBorder="1" applyAlignment="1" applyProtection="1">
      <alignment vertical="center" wrapText="1"/>
      <protection locked="0"/>
    </xf>
    <xf numFmtId="168" fontId="6" fillId="39" borderId="209" xfId="0" applyNumberFormat="1" applyFont="1" applyFill="1" applyBorder="1" applyAlignment="1">
      <alignment horizontal="left" vertical="center" wrapText="1"/>
    </xf>
    <xf numFmtId="168" fontId="6" fillId="30" borderId="210" xfId="30" applyNumberFormat="1" applyFont="1" applyFill="1" applyBorder="1"/>
    <xf numFmtId="168" fontId="6" fillId="30" borderId="66" xfId="30" applyNumberFormat="1" applyFont="1" applyFill="1" applyBorder="1"/>
    <xf numFmtId="168" fontId="3" fillId="18" borderId="59" xfId="30" applyNumberFormat="1" applyFont="1" applyFill="1" applyBorder="1"/>
    <xf numFmtId="168" fontId="3" fillId="18" borderId="58" xfId="30" applyNumberFormat="1" applyFont="1" applyFill="1" applyBorder="1"/>
    <xf numFmtId="168" fontId="3" fillId="39" borderId="235" xfId="30" applyNumberFormat="1" applyFont="1" applyFill="1" applyBorder="1"/>
    <xf numFmtId="168" fontId="3" fillId="39" borderId="221" xfId="30" applyNumberFormat="1" applyFont="1" applyFill="1" applyBorder="1"/>
    <xf numFmtId="168" fontId="3" fillId="39" borderId="222" xfId="30" applyNumberFormat="1" applyFont="1" applyFill="1" applyBorder="1"/>
    <xf numFmtId="168" fontId="3" fillId="39" borderId="220" xfId="30" applyNumberFormat="1" applyFont="1" applyFill="1" applyBorder="1"/>
    <xf numFmtId="168" fontId="3" fillId="39" borderId="236" xfId="30" applyNumberFormat="1" applyFont="1" applyFill="1" applyBorder="1"/>
    <xf numFmtId="168" fontId="3" fillId="39" borderId="231" xfId="30" applyNumberFormat="1" applyFont="1" applyFill="1" applyBorder="1"/>
    <xf numFmtId="168" fontId="3" fillId="39" borderId="46" xfId="0" applyNumberFormat="1" applyFont="1" applyFill="1" applyBorder="1" applyAlignment="1">
      <alignment horizontal="left" vertical="center" wrapText="1"/>
    </xf>
    <xf numFmtId="168" fontId="3" fillId="39" borderId="61" xfId="0" applyNumberFormat="1" applyFont="1" applyFill="1" applyBorder="1" applyAlignment="1">
      <alignment horizontal="left" vertical="center" wrapText="1"/>
    </xf>
    <xf numFmtId="168" fontId="3" fillId="39" borderId="87" xfId="0" applyNumberFormat="1" applyFont="1" applyFill="1" applyBorder="1" applyAlignment="1">
      <alignment horizontal="left" vertical="center" wrapText="1"/>
    </xf>
    <xf numFmtId="168" fontId="3" fillId="39" borderId="62" xfId="0" applyNumberFormat="1" applyFont="1" applyFill="1" applyBorder="1" applyAlignment="1">
      <alignment horizontal="left" vertical="center" wrapText="1"/>
    </xf>
    <xf numFmtId="168" fontId="3" fillId="39" borderId="64" xfId="0" applyNumberFormat="1" applyFont="1" applyFill="1" applyBorder="1" applyAlignment="1">
      <alignment horizontal="left" vertical="center" wrapText="1"/>
    </xf>
    <xf numFmtId="168" fontId="3" fillId="39" borderId="46" xfId="0" applyNumberFormat="1" applyFont="1" applyFill="1" applyBorder="1" applyAlignment="1">
      <alignment horizontal="left" vertical="center"/>
    </xf>
    <xf numFmtId="168" fontId="3" fillId="39" borderId="61" xfId="0" applyNumberFormat="1" applyFont="1" applyFill="1" applyBorder="1" applyAlignment="1">
      <alignment horizontal="left" vertical="center"/>
    </xf>
    <xf numFmtId="168" fontId="3" fillId="39" borderId="87" xfId="0" applyNumberFormat="1" applyFont="1" applyFill="1" applyBorder="1" applyAlignment="1">
      <alignment horizontal="left" vertical="center"/>
    </xf>
    <xf numFmtId="168" fontId="3" fillId="39" borderId="64" xfId="0" applyNumberFormat="1" applyFont="1" applyFill="1" applyBorder="1" applyAlignment="1">
      <alignment horizontal="left" vertical="center"/>
    </xf>
    <xf numFmtId="168" fontId="14" fillId="25" borderId="36" xfId="30" applyNumberFormat="1" applyFont="1" applyFill="1" applyBorder="1" applyAlignment="1">
      <alignment vertical="center"/>
    </xf>
    <xf numFmtId="0" fontId="3" fillId="34" borderId="50" xfId="0" applyFont="1" applyFill="1" applyBorder="1" applyAlignment="1" applyProtection="1">
      <alignment horizontal="left" vertical="center" wrapText="1" indent="2"/>
      <protection locked="0"/>
    </xf>
    <xf numFmtId="0" fontId="3" fillId="34" borderId="51" xfId="0" applyFont="1" applyFill="1" applyBorder="1" applyAlignment="1" applyProtection="1">
      <alignment horizontal="left" vertical="center" wrapText="1" indent="2"/>
      <protection locked="0"/>
    </xf>
    <xf numFmtId="9" fontId="3" fillId="18" borderId="145" xfId="44" applyFont="1" applyFill="1" applyBorder="1" applyAlignment="1">
      <alignment vertical="center"/>
    </xf>
    <xf numFmtId="9" fontId="3" fillId="18" borderId="97" xfId="44" applyFont="1" applyFill="1" applyBorder="1" applyAlignment="1">
      <alignment vertical="center"/>
    </xf>
    <xf numFmtId="9" fontId="3" fillId="18" borderId="110" xfId="44" applyFont="1" applyFill="1" applyBorder="1" applyAlignment="1">
      <alignment vertical="center"/>
    </xf>
    <xf numFmtId="9" fontId="3" fillId="18" borderId="52" xfId="44" applyFont="1" applyFill="1" applyBorder="1" applyAlignment="1">
      <alignment vertical="center"/>
    </xf>
    <xf numFmtId="9" fontId="3" fillId="18" borderId="53" xfId="44" applyFont="1" applyFill="1" applyBorder="1" applyAlignment="1">
      <alignment vertical="center"/>
    </xf>
    <xf numFmtId="9" fontId="3" fillId="18" borderId="54" xfId="44" applyFont="1" applyFill="1" applyBorder="1" applyAlignment="1">
      <alignment vertical="center"/>
    </xf>
    <xf numFmtId="0" fontId="6" fillId="30" borderId="25" xfId="0" applyFont="1" applyFill="1" applyBorder="1" applyAlignment="1" applyProtection="1">
      <alignment horizontal="left" vertical="center" wrapText="1"/>
      <protection locked="0"/>
    </xf>
    <xf numFmtId="168" fontId="3" fillId="30" borderId="156" xfId="30" applyNumberFormat="1" applyFont="1" applyFill="1" applyBorder="1"/>
    <xf numFmtId="168" fontId="3" fillId="30" borderId="147" xfId="30" applyNumberFormat="1" applyFont="1" applyFill="1" applyBorder="1"/>
    <xf numFmtId="168" fontId="3" fillId="30" borderId="179" xfId="30" applyNumberFormat="1" applyFont="1" applyFill="1" applyBorder="1"/>
    <xf numFmtId="0" fontId="3" fillId="34" borderId="237" xfId="0" applyFont="1" applyFill="1" applyBorder="1" applyAlignment="1">
      <alignment horizontal="left" vertical="center" wrapText="1" indent="1"/>
    </xf>
    <xf numFmtId="168" fontId="3" fillId="18" borderId="220" xfId="30" applyNumberFormat="1" applyFont="1" applyFill="1" applyBorder="1"/>
    <xf numFmtId="168" fontId="3" fillId="18" borderId="221" xfId="30" applyNumberFormat="1" applyFont="1" applyFill="1" applyBorder="1"/>
    <xf numFmtId="168" fontId="3" fillId="18" borderId="222" xfId="30" applyNumberFormat="1" applyFont="1" applyFill="1" applyBorder="1"/>
    <xf numFmtId="168" fontId="6" fillId="30" borderId="156" xfId="30" applyNumberFormat="1" applyFont="1" applyFill="1" applyBorder="1"/>
    <xf numFmtId="168" fontId="6" fillId="30" borderId="147" xfId="30" applyNumberFormat="1" applyFont="1" applyFill="1" applyBorder="1"/>
    <xf numFmtId="168" fontId="6" fillId="30" borderId="206" xfId="30" applyNumberFormat="1" applyFont="1" applyFill="1" applyBorder="1"/>
    <xf numFmtId="168" fontId="6" fillId="30" borderId="179" xfId="30" applyNumberFormat="1" applyFont="1" applyFill="1" applyBorder="1"/>
    <xf numFmtId="168" fontId="3" fillId="18" borderId="238" xfId="30" applyNumberFormat="1" applyFont="1" applyFill="1" applyBorder="1"/>
    <xf numFmtId="168" fontId="6" fillId="39" borderId="48" xfId="30" applyNumberFormat="1" applyFont="1" applyFill="1" applyBorder="1"/>
    <xf numFmtId="168" fontId="6" fillId="39" borderId="65" xfId="30" applyNumberFormat="1" applyFont="1" applyFill="1" applyBorder="1"/>
    <xf numFmtId="168" fontId="6" fillId="39" borderId="68" xfId="30" applyNumberFormat="1" applyFont="1" applyFill="1" applyBorder="1"/>
    <xf numFmtId="0" fontId="113" fillId="34" borderId="0" xfId="0" applyFont="1" applyFill="1"/>
    <xf numFmtId="0" fontId="113" fillId="0" borderId="0" xfId="0" applyFont="1"/>
    <xf numFmtId="168" fontId="6" fillId="32" borderId="46" xfId="30" applyNumberFormat="1" applyFont="1" applyFill="1" applyBorder="1"/>
    <xf numFmtId="168" fontId="6" fillId="32" borderId="61" xfId="30" applyNumberFormat="1" applyFont="1" applyFill="1" applyBorder="1"/>
    <xf numFmtId="168" fontId="6" fillId="32" borderId="64" xfId="30" applyNumberFormat="1" applyFont="1" applyFill="1" applyBorder="1"/>
    <xf numFmtId="164" fontId="6" fillId="32" borderId="46" xfId="44" applyNumberFormat="1" applyFont="1" applyFill="1" applyBorder="1"/>
    <xf numFmtId="164" fontId="6" fillId="32" borderId="61" xfId="44" applyNumberFormat="1" applyFont="1" applyFill="1" applyBorder="1"/>
    <xf numFmtId="164" fontId="6" fillId="32" borderId="64" xfId="44" applyNumberFormat="1" applyFont="1" applyFill="1" applyBorder="1"/>
    <xf numFmtId="164" fontId="6" fillId="34" borderId="0" xfId="44" applyNumberFormat="1" applyFont="1" applyFill="1" applyBorder="1"/>
    <xf numFmtId="0" fontId="6" fillId="34" borderId="36" xfId="0" applyFont="1" applyFill="1" applyBorder="1" applyAlignment="1" applyProtection="1">
      <alignment horizontal="right" vertical="center" wrapText="1"/>
      <protection locked="0"/>
    </xf>
    <xf numFmtId="0" fontId="6" fillId="34" borderId="48" xfId="0" applyFont="1" applyFill="1" applyBorder="1" applyAlignment="1">
      <alignment horizontal="left" vertical="center" wrapText="1"/>
    </xf>
    <xf numFmtId="41" fontId="113" fillId="30" borderId="65" xfId="0" applyNumberFormat="1" applyFont="1" applyFill="1" applyBorder="1"/>
    <xf numFmtId="0" fontId="3" fillId="34" borderId="52" xfId="0" applyFont="1" applyFill="1" applyBorder="1" applyAlignment="1" applyProtection="1">
      <alignment horizontal="right" vertical="center" wrapText="1"/>
      <protection locked="0"/>
    </xf>
    <xf numFmtId="0" fontId="80" fillId="34" borderId="0" xfId="0" applyFont="1" applyFill="1"/>
    <xf numFmtId="177" fontId="80" fillId="26" borderId="61" xfId="30" applyNumberFormat="1" applyFont="1" applyFill="1" applyBorder="1"/>
    <xf numFmtId="177" fontId="80" fillId="26" borderId="62" xfId="30" applyNumberFormat="1" applyFont="1" applyFill="1" applyBorder="1"/>
    <xf numFmtId="0" fontId="80" fillId="0" borderId="0" xfId="0" applyFont="1"/>
    <xf numFmtId="0" fontId="6" fillId="42" borderId="79" xfId="0" applyFont="1" applyFill="1" applyBorder="1" applyAlignment="1">
      <alignment horizontal="center" vertical="center" wrapText="1"/>
    </xf>
    <xf numFmtId="0" fontId="6" fillId="42" borderId="80" xfId="0" applyFont="1" applyFill="1" applyBorder="1" applyAlignment="1">
      <alignment horizontal="center" vertical="center" wrapText="1"/>
    </xf>
    <xf numFmtId="0" fontId="6" fillId="42" borderId="85" xfId="0" applyFont="1" applyFill="1" applyBorder="1" applyAlignment="1">
      <alignment horizontal="center" vertical="center" wrapText="1"/>
    </xf>
    <xf numFmtId="177" fontId="80" fillId="26" borderId="65" xfId="30" applyNumberFormat="1" applyFont="1" applyFill="1" applyBorder="1"/>
    <xf numFmtId="177" fontId="3" fillId="26" borderId="209" xfId="30" applyNumberFormat="1" applyFont="1" applyFill="1" applyBorder="1"/>
    <xf numFmtId="177" fontId="80" fillId="26" borderId="46" xfId="30" applyNumberFormat="1" applyFont="1" applyFill="1" applyBorder="1"/>
    <xf numFmtId="177" fontId="80" fillId="26" borderId="210" xfId="30" applyNumberFormat="1" applyFont="1" applyFill="1" applyBorder="1"/>
    <xf numFmtId="177" fontId="80" fillId="26" borderId="66" xfId="30" applyNumberFormat="1" applyFont="1" applyFill="1" applyBorder="1"/>
    <xf numFmtId="177" fontId="3" fillId="26" borderId="46" xfId="30" applyNumberFormat="1" applyFont="1" applyFill="1" applyBorder="1"/>
    <xf numFmtId="177" fontId="3" fillId="26" borderId="86" xfId="30" applyNumberFormat="1" applyFont="1" applyFill="1" applyBorder="1"/>
    <xf numFmtId="177" fontId="80" fillId="26" borderId="87" xfId="30" applyNumberFormat="1" applyFont="1" applyFill="1" applyBorder="1"/>
    <xf numFmtId="177" fontId="3" fillId="26" borderId="87" xfId="30" applyNumberFormat="1" applyFont="1" applyFill="1" applyBorder="1"/>
    <xf numFmtId="177" fontId="80" fillId="26" borderId="89" xfId="30" applyNumberFormat="1" applyFont="1" applyFill="1" applyBorder="1"/>
    <xf numFmtId="6" fontId="6" fillId="32" borderId="46" xfId="0" applyNumberFormat="1" applyFont="1" applyFill="1" applyBorder="1" applyAlignment="1" applyProtection="1">
      <alignment horizontal="right" vertical="center"/>
      <protection locked="0"/>
    </xf>
    <xf numFmtId="177" fontId="3" fillId="26" borderId="210" xfId="30" applyNumberFormat="1" applyFont="1" applyFill="1" applyBorder="1"/>
    <xf numFmtId="0" fontId="6" fillId="32" borderId="87" xfId="0" applyFont="1" applyFill="1" applyBorder="1" applyAlignment="1" applyProtection="1">
      <alignment horizontal="right" vertical="center"/>
      <protection locked="0"/>
    </xf>
    <xf numFmtId="177" fontId="3" fillId="26" borderId="89" xfId="30" applyNumberFormat="1" applyFont="1" applyFill="1" applyBorder="1"/>
    <xf numFmtId="0" fontId="6" fillId="32" borderId="46" xfId="0" applyFont="1" applyFill="1" applyBorder="1" applyAlignment="1" applyProtection="1">
      <alignment horizontal="right" vertical="center"/>
      <protection locked="0"/>
    </xf>
    <xf numFmtId="177" fontId="3" fillId="32" borderId="91" xfId="0" applyNumberFormat="1" applyFont="1" applyFill="1" applyBorder="1"/>
    <xf numFmtId="164" fontId="3" fillId="32" borderId="64" xfId="0" applyNumberFormat="1" applyFont="1" applyFill="1" applyBorder="1" applyAlignment="1" applyProtection="1">
      <alignment horizontal="right" vertical="center"/>
      <protection locked="0"/>
    </xf>
    <xf numFmtId="177" fontId="3" fillId="32" borderId="64" xfId="0" applyNumberFormat="1" applyFont="1" applyFill="1" applyBorder="1"/>
    <xf numFmtId="177" fontId="6" fillId="26" borderId="50" xfId="30" applyNumberFormat="1" applyFont="1" applyFill="1" applyBorder="1"/>
    <xf numFmtId="177" fontId="133" fillId="26" borderId="51" xfId="30" applyNumberFormat="1" applyFont="1" applyFill="1" applyBorder="1"/>
    <xf numFmtId="177" fontId="6" fillId="26" borderId="51" xfId="30" applyNumberFormat="1" applyFont="1" applyFill="1" applyBorder="1"/>
    <xf numFmtId="177" fontId="133" fillId="26" borderId="69" xfId="30" applyNumberFormat="1" applyFont="1" applyFill="1" applyBorder="1"/>
    <xf numFmtId="0" fontId="3" fillId="18" borderId="46" xfId="0" applyFont="1" applyFill="1" applyBorder="1" applyAlignment="1">
      <alignment horizontal="left" vertical="center" wrapText="1"/>
    </xf>
    <xf numFmtId="0" fontId="3" fillId="18" borderId="64" xfId="0" applyFont="1" applyFill="1" applyBorder="1" applyAlignment="1">
      <alignment horizontal="left" vertical="center" wrapText="1"/>
    </xf>
    <xf numFmtId="0" fontId="3" fillId="18" borderId="210" xfId="0" applyFont="1" applyFill="1" applyBorder="1" applyAlignment="1">
      <alignment horizontal="left" vertical="center" wrapText="1"/>
    </xf>
    <xf numFmtId="0" fontId="3" fillId="18" borderId="68" xfId="0" applyFont="1" applyFill="1" applyBorder="1" applyAlignment="1">
      <alignment horizontal="left" vertical="center" wrapText="1"/>
    </xf>
    <xf numFmtId="0" fontId="3" fillId="18" borderId="87" xfId="0" applyFont="1" applyFill="1" applyBorder="1" applyAlignment="1">
      <alignment horizontal="left" vertical="center" wrapText="1" indent="2"/>
    </xf>
    <xf numFmtId="0" fontId="3" fillId="18" borderId="89" xfId="0" applyFont="1" applyFill="1" applyBorder="1" applyAlignment="1">
      <alignment horizontal="left" vertical="center" wrapText="1" indent="2"/>
    </xf>
    <xf numFmtId="0" fontId="3" fillId="18" borderId="46" xfId="0" applyFont="1" applyFill="1" applyBorder="1" applyAlignment="1">
      <alignment horizontal="left" vertical="center"/>
    </xf>
    <xf numFmtId="0" fontId="3" fillId="18" borderId="64" xfId="0" applyFont="1" applyFill="1" applyBorder="1" applyAlignment="1">
      <alignment horizontal="left" vertical="center"/>
    </xf>
    <xf numFmtId="0" fontId="3" fillId="18" borderId="136" xfId="0" applyFont="1" applyFill="1" applyBorder="1" applyAlignment="1">
      <alignment horizontal="left" vertical="center" wrapText="1" indent="2"/>
    </xf>
    <xf numFmtId="0" fontId="3" fillId="18" borderId="56" xfId="0" applyFont="1" applyFill="1" applyBorder="1" applyAlignment="1">
      <alignment horizontal="left" vertical="center" wrapText="1"/>
    </xf>
    <xf numFmtId="0" fontId="3" fillId="18" borderId="60" xfId="0" applyFont="1" applyFill="1" applyBorder="1" applyAlignment="1">
      <alignment horizontal="left" vertical="center" wrapText="1"/>
    </xf>
    <xf numFmtId="0" fontId="3" fillId="18" borderId="57" xfId="0" applyFont="1" applyFill="1" applyBorder="1" applyAlignment="1" applyProtection="1">
      <alignment horizontal="right" vertical="center"/>
      <protection locked="0"/>
    </xf>
    <xf numFmtId="0" fontId="3" fillId="18" borderId="60" xfId="0" applyFont="1" applyFill="1" applyBorder="1" applyAlignment="1" applyProtection="1">
      <alignment horizontal="right" vertical="center"/>
      <protection locked="0"/>
    </xf>
    <xf numFmtId="0" fontId="3" fillId="18" borderId="86" xfId="0" applyFont="1" applyFill="1" applyBorder="1" applyAlignment="1">
      <alignment horizontal="left" vertical="center" wrapText="1" indent="2"/>
    </xf>
    <xf numFmtId="0" fontId="3" fillId="18" borderId="209" xfId="0" applyFont="1" applyFill="1" applyBorder="1" applyAlignment="1">
      <alignment horizontal="left" vertical="center" wrapText="1"/>
    </xf>
    <xf numFmtId="0" fontId="3" fillId="18" borderId="91" xfId="0" applyFont="1" applyFill="1" applyBorder="1" applyAlignment="1">
      <alignment horizontal="left" vertical="center" wrapText="1"/>
    </xf>
    <xf numFmtId="0" fontId="3" fillId="18" borderId="83" xfId="0" applyFont="1" applyFill="1" applyBorder="1" applyAlignment="1" applyProtection="1">
      <alignment horizontal="right" vertical="center"/>
      <protection locked="0"/>
    </xf>
    <xf numFmtId="0" fontId="3" fillId="18" borderId="91" xfId="0" applyFont="1" applyFill="1" applyBorder="1" applyAlignment="1" applyProtection="1">
      <alignment horizontal="right" vertical="center"/>
      <protection locked="0"/>
    </xf>
    <xf numFmtId="0" fontId="3" fillId="18" borderId="238" xfId="0" applyFont="1" applyFill="1" applyBorder="1" applyAlignment="1">
      <alignment horizontal="left" vertical="center" wrapText="1" indent="2"/>
    </xf>
    <xf numFmtId="0" fontId="3" fillId="18" borderId="220" xfId="0" applyFont="1" applyFill="1" applyBorder="1" applyAlignment="1">
      <alignment horizontal="left" vertical="center" wrapText="1"/>
    </xf>
    <xf numFmtId="0" fontId="3" fillId="18" borderId="222" xfId="0" applyFont="1" applyFill="1" applyBorder="1" applyAlignment="1">
      <alignment horizontal="left" vertical="center" wrapText="1"/>
    </xf>
    <xf numFmtId="0" fontId="3" fillId="18" borderId="221" xfId="0" applyFont="1" applyFill="1" applyBorder="1" applyAlignment="1" applyProtection="1">
      <alignment horizontal="right" vertical="center"/>
      <protection locked="0"/>
    </xf>
    <xf numFmtId="0" fontId="3" fillId="18" borderId="222" xfId="0" applyFont="1" applyFill="1" applyBorder="1" applyAlignment="1" applyProtection="1">
      <alignment horizontal="right" vertical="center"/>
      <protection locked="0"/>
    </xf>
    <xf numFmtId="0" fontId="6" fillId="39" borderId="76" xfId="0" applyFont="1" applyFill="1" applyBorder="1" applyAlignment="1">
      <alignment horizontal="right" vertical="center"/>
    </xf>
    <xf numFmtId="0" fontId="3" fillId="18" borderId="241" xfId="0" applyFont="1" applyFill="1" applyBorder="1" applyAlignment="1">
      <alignment horizontal="left" vertical="center" wrapText="1" indent="2"/>
    </xf>
    <xf numFmtId="0" fontId="3" fillId="18" borderId="242" xfId="0" applyFont="1" applyFill="1" applyBorder="1" applyAlignment="1">
      <alignment horizontal="left" vertical="center" wrapText="1"/>
    </xf>
    <xf numFmtId="0" fontId="3" fillId="18" borderId="243" xfId="0" applyFont="1" applyFill="1" applyBorder="1" applyAlignment="1">
      <alignment horizontal="left" vertical="center" wrapText="1"/>
    </xf>
    <xf numFmtId="0" fontId="3" fillId="18" borderId="244" xfId="0" applyFont="1" applyFill="1" applyBorder="1" applyAlignment="1" applyProtection="1">
      <alignment horizontal="right" vertical="center"/>
      <protection locked="0"/>
    </xf>
    <xf numFmtId="0" fontId="3" fillId="18" borderId="243" xfId="0" applyFont="1" applyFill="1" applyBorder="1" applyAlignment="1" applyProtection="1">
      <alignment horizontal="right" vertical="center"/>
      <protection locked="0"/>
    </xf>
    <xf numFmtId="0" fontId="6" fillId="39" borderId="219" xfId="0" applyFont="1" applyFill="1" applyBorder="1" applyAlignment="1">
      <alignment horizontal="right" vertical="center"/>
    </xf>
    <xf numFmtId="0" fontId="3" fillId="18" borderId="209" xfId="0" applyFont="1" applyFill="1" applyBorder="1" applyAlignment="1">
      <alignment horizontal="left" vertical="center"/>
    </xf>
    <xf numFmtId="0" fontId="3" fillId="18" borderId="91" xfId="0" applyFont="1" applyFill="1" applyBorder="1" applyAlignment="1">
      <alignment horizontal="left" vertical="center"/>
    </xf>
    <xf numFmtId="0" fontId="6" fillId="30" borderId="52" xfId="0" applyFont="1" applyFill="1" applyBorder="1" applyAlignment="1">
      <alignment horizontal="left" vertical="center"/>
    </xf>
    <xf numFmtId="0" fontId="6" fillId="30" borderId="54" xfId="0" applyFont="1" applyFill="1" applyBorder="1" applyAlignment="1">
      <alignment horizontal="left" vertical="center"/>
    </xf>
    <xf numFmtId="0" fontId="3" fillId="18" borderId="209" xfId="0" applyFont="1" applyFill="1" applyBorder="1"/>
    <xf numFmtId="168" fontId="3" fillId="39" borderId="209" xfId="30" applyNumberFormat="1" applyFont="1" applyFill="1" applyBorder="1"/>
    <xf numFmtId="0" fontId="3" fillId="34" borderId="237" xfId="0" applyFont="1" applyFill="1" applyBorder="1" applyAlignment="1">
      <alignment horizontal="left" vertical="center" wrapText="1" indent="2"/>
    </xf>
    <xf numFmtId="0" fontId="3" fillId="18" borderId="220" xfId="0" applyFont="1" applyFill="1" applyBorder="1"/>
    <xf numFmtId="0" fontId="3" fillId="18" borderId="221" xfId="0" applyFont="1" applyFill="1" applyBorder="1"/>
    <xf numFmtId="0" fontId="3" fillId="18" borderId="222" xfId="0" applyFont="1" applyFill="1" applyBorder="1"/>
    <xf numFmtId="0" fontId="3" fillId="18" borderId="236" xfId="0" applyFont="1" applyFill="1" applyBorder="1"/>
    <xf numFmtId="0" fontId="3" fillId="18" borderId="210" xfId="0" applyFont="1" applyFill="1" applyBorder="1"/>
    <xf numFmtId="168" fontId="3" fillId="25" borderId="209" xfId="30" applyNumberFormat="1" applyFont="1" applyFill="1" applyBorder="1"/>
    <xf numFmtId="168" fontId="3" fillId="25" borderId="62" xfId="30" applyNumberFormat="1" applyFont="1" applyFill="1" applyBorder="1"/>
    <xf numFmtId="168" fontId="3" fillId="25" borderId="210" xfId="30" applyNumberFormat="1" applyFont="1" applyFill="1" applyBorder="1"/>
    <xf numFmtId="168" fontId="3" fillId="25" borderId="65" xfId="30" applyNumberFormat="1" applyFont="1" applyFill="1" applyBorder="1"/>
    <xf numFmtId="168" fontId="3" fillId="25" borderId="66" xfId="30" applyNumberFormat="1" applyFont="1" applyFill="1" applyBorder="1"/>
    <xf numFmtId="168" fontId="3" fillId="39" borderId="210" xfId="30" applyNumberFormat="1" applyFont="1" applyFill="1" applyBorder="1"/>
    <xf numFmtId="168" fontId="3" fillId="39" borderId="86" xfId="30" applyNumberFormat="1" applyFont="1" applyFill="1" applyBorder="1"/>
    <xf numFmtId="0" fontId="6" fillId="31" borderId="156" xfId="0" applyFont="1" applyFill="1" applyBorder="1" applyAlignment="1">
      <alignment horizontal="left" wrapText="1" indent="1"/>
    </xf>
    <xf numFmtId="0" fontId="3" fillId="31" borderId="49" xfId="0" applyFont="1" applyFill="1" applyBorder="1" applyAlignment="1">
      <alignment horizontal="left" indent="1"/>
    </xf>
    <xf numFmtId="0" fontId="6" fillId="40" borderId="67" xfId="0" applyFont="1" applyFill="1" applyBorder="1" applyAlignment="1">
      <alignment horizontal="center" vertical="center" wrapText="1"/>
    </xf>
    <xf numFmtId="0" fontId="64" fillId="30" borderId="204" xfId="0" applyFont="1" applyFill="1" applyBorder="1" applyAlignment="1">
      <alignment vertical="center"/>
    </xf>
    <xf numFmtId="0" fontId="3" fillId="18" borderId="59" xfId="0" applyFont="1" applyFill="1" applyBorder="1"/>
    <xf numFmtId="0" fontId="3" fillId="34" borderId="143" xfId="0" applyFont="1" applyFill="1" applyBorder="1" applyAlignment="1">
      <alignment horizontal="left" indent="1"/>
    </xf>
    <xf numFmtId="0" fontId="3" fillId="34" borderId="144" xfId="0" applyFont="1" applyFill="1" applyBorder="1" applyAlignment="1">
      <alignment horizontal="left" indent="1"/>
    </xf>
    <xf numFmtId="0" fontId="3" fillId="34" borderId="218" xfId="0" applyFont="1" applyFill="1" applyBorder="1" applyAlignment="1">
      <alignment horizontal="left" indent="1"/>
    </xf>
    <xf numFmtId="0" fontId="3" fillId="34" borderId="230" xfId="0" applyFont="1" applyFill="1" applyBorder="1" applyAlignment="1">
      <alignment horizontal="left" indent="1"/>
    </xf>
    <xf numFmtId="0" fontId="3" fillId="34" borderId="249" xfId="0" applyFont="1" applyFill="1" applyBorder="1" applyAlignment="1">
      <alignment horizontal="left" indent="1"/>
    </xf>
    <xf numFmtId="0" fontId="3" fillId="18" borderId="250" xfId="0" applyFont="1" applyFill="1" applyBorder="1"/>
    <xf numFmtId="0" fontId="3" fillId="18" borderId="244" xfId="0" applyFont="1" applyFill="1" applyBorder="1"/>
    <xf numFmtId="0" fontId="3" fillId="18" borderId="242" xfId="0" applyFont="1" applyFill="1" applyBorder="1"/>
    <xf numFmtId="0" fontId="3" fillId="18" borderId="243" xfId="0" applyFont="1" applyFill="1" applyBorder="1"/>
    <xf numFmtId="0" fontId="3" fillId="34" borderId="242" xfId="0" applyFont="1" applyFill="1" applyBorder="1" applyAlignment="1">
      <alignment horizontal="left" vertical="center" wrapText="1" indent="2"/>
    </xf>
    <xf numFmtId="168" fontId="3" fillId="39" borderId="244" xfId="30" applyNumberFormat="1" applyFont="1" applyFill="1" applyBorder="1"/>
    <xf numFmtId="168" fontId="3" fillId="39" borderId="243" xfId="30" applyNumberFormat="1" applyFont="1" applyFill="1" applyBorder="1"/>
    <xf numFmtId="0" fontId="3" fillId="34" borderId="210" xfId="0" applyFont="1" applyFill="1" applyBorder="1" applyAlignment="1">
      <alignment horizontal="left" vertical="center" wrapText="1" indent="2"/>
    </xf>
    <xf numFmtId="0" fontId="3" fillId="34" borderId="0" xfId="0" applyFont="1" applyFill="1" applyAlignment="1">
      <alignment horizontal="left" vertical="center"/>
    </xf>
    <xf numFmtId="0" fontId="0" fillId="0" borderId="0" xfId="0" applyAlignment="1">
      <alignment horizontal="left" vertical="center"/>
    </xf>
    <xf numFmtId="0" fontId="3" fillId="20" borderId="0" xfId="0" applyFont="1" applyFill="1" applyAlignment="1">
      <alignment horizontal="left" vertical="center"/>
    </xf>
    <xf numFmtId="0" fontId="6" fillId="30" borderId="129" xfId="0" applyFont="1" applyFill="1" applyBorder="1" applyAlignment="1">
      <alignment horizontal="left" vertical="center"/>
    </xf>
    <xf numFmtId="0" fontId="64" fillId="30" borderId="133" xfId="0" applyFont="1" applyFill="1" applyBorder="1" applyAlignment="1">
      <alignment horizontal="left" vertical="center"/>
    </xf>
    <xf numFmtId="0" fontId="64" fillId="30" borderId="134" xfId="0" applyFont="1" applyFill="1" applyBorder="1" applyAlignment="1">
      <alignment horizontal="left" vertical="center"/>
    </xf>
    <xf numFmtId="0" fontId="3" fillId="32" borderId="51" xfId="0" applyFont="1" applyFill="1" applyBorder="1" applyAlignment="1">
      <alignment horizontal="left" vertical="center" wrapText="1" indent="1"/>
    </xf>
    <xf numFmtId="0" fontId="3" fillId="32" borderId="51" xfId="0" applyFont="1" applyFill="1" applyBorder="1" applyAlignment="1">
      <alignment horizontal="left" indent="1"/>
    </xf>
    <xf numFmtId="168" fontId="3" fillId="32" borderId="62" xfId="30" applyNumberFormat="1" applyFont="1" applyFill="1" applyBorder="1"/>
    <xf numFmtId="0" fontId="3" fillId="32" borderId="69" xfId="0" applyFont="1" applyFill="1" applyBorder="1" applyAlignment="1">
      <alignment horizontal="left" indent="1"/>
    </xf>
    <xf numFmtId="168" fontId="3" fillId="32" borderId="48" xfId="30" applyNumberFormat="1" applyFont="1" applyFill="1" applyBorder="1"/>
    <xf numFmtId="168" fontId="3" fillId="32" borderId="65" xfId="30" applyNumberFormat="1" applyFont="1" applyFill="1" applyBorder="1"/>
    <xf numFmtId="168" fontId="3" fillId="32" borderId="89" xfId="30" applyNumberFormat="1" applyFont="1" applyFill="1" applyBorder="1"/>
    <xf numFmtId="168" fontId="3" fillId="32" borderId="68" xfId="30" applyNumberFormat="1" applyFont="1" applyFill="1" applyBorder="1"/>
    <xf numFmtId="168" fontId="3" fillId="32" borderId="67" xfId="30" applyNumberFormat="1" applyFont="1" applyFill="1" applyBorder="1"/>
    <xf numFmtId="168" fontId="3" fillId="32" borderId="66" xfId="30" applyNumberFormat="1" applyFont="1" applyFill="1" applyBorder="1"/>
    <xf numFmtId="0" fontId="3" fillId="34" borderId="95" xfId="0" applyFont="1" applyFill="1" applyBorder="1" applyAlignment="1">
      <alignment horizontal="left" vertical="center" wrapText="1" indent="2"/>
    </xf>
    <xf numFmtId="0" fontId="6" fillId="30" borderId="133" xfId="0" applyFont="1" applyFill="1" applyBorder="1" applyAlignment="1">
      <alignment horizontal="left" vertical="center"/>
    </xf>
    <xf numFmtId="0" fontId="76" fillId="28" borderId="35" xfId="0" applyFont="1" applyFill="1" applyBorder="1" applyAlignment="1">
      <alignment vertical="center"/>
    </xf>
    <xf numFmtId="168" fontId="3" fillId="39" borderId="209" xfId="0" applyNumberFormat="1" applyFont="1" applyFill="1" applyBorder="1" applyAlignment="1">
      <alignment horizontal="center"/>
    </xf>
    <xf numFmtId="168" fontId="3" fillId="39" borderId="83" xfId="0" applyNumberFormat="1" applyFont="1" applyFill="1" applyBorder="1" applyAlignment="1">
      <alignment horizontal="center"/>
    </xf>
    <xf numFmtId="168" fontId="3" fillId="39" borderId="91" xfId="0" applyNumberFormat="1" applyFont="1" applyFill="1" applyBorder="1" applyAlignment="1">
      <alignment horizontal="center"/>
    </xf>
    <xf numFmtId="0" fontId="6" fillId="18" borderId="63" xfId="0" applyFont="1" applyFill="1" applyBorder="1"/>
    <xf numFmtId="0" fontId="6" fillId="30" borderId="210" xfId="0" applyFont="1" applyFill="1" applyBorder="1" applyAlignment="1">
      <alignment wrapText="1"/>
    </xf>
    <xf numFmtId="0" fontId="6" fillId="30" borderId="161" xfId="0" applyFont="1" applyFill="1" applyBorder="1" applyAlignment="1">
      <alignment wrapText="1"/>
    </xf>
    <xf numFmtId="0" fontId="6" fillId="30" borderId="133" xfId="0" applyFont="1" applyFill="1" applyBorder="1" applyAlignment="1">
      <alignment wrapText="1"/>
    </xf>
    <xf numFmtId="0" fontId="3" fillId="30" borderId="162" xfId="0" applyFont="1" applyFill="1" applyBorder="1"/>
    <xf numFmtId="0" fontId="3" fillId="30" borderId="163" xfId="0" applyFont="1" applyFill="1" applyBorder="1"/>
    <xf numFmtId="0" fontId="3" fillId="30" borderId="153" xfId="0" applyFont="1" applyFill="1" applyBorder="1"/>
    <xf numFmtId="0" fontId="3" fillId="30" borderId="55" xfId="0" applyNumberFormat="1" applyFont="1" applyFill="1" applyBorder="1"/>
    <xf numFmtId="43" fontId="6" fillId="39" borderId="209" xfId="0" applyNumberFormat="1" applyFont="1" applyFill="1" applyBorder="1" applyAlignment="1">
      <alignment horizontal="center"/>
    </xf>
    <xf numFmtId="0" fontId="3" fillId="30" borderId="209" xfId="0" applyFont="1" applyFill="1" applyBorder="1"/>
    <xf numFmtId="0" fontId="3" fillId="30" borderId="210" xfId="0" applyNumberFormat="1" applyFont="1" applyFill="1" applyBorder="1"/>
    <xf numFmtId="0" fontId="3" fillId="34" borderId="95" xfId="0" applyFont="1" applyFill="1" applyBorder="1" applyAlignment="1" applyProtection="1">
      <alignment horizontal="right" vertical="center" wrapText="1"/>
      <protection locked="0"/>
    </xf>
    <xf numFmtId="0" fontId="86" fillId="30" borderId="23" xfId="0" applyFont="1" applyFill="1" applyBorder="1" applyAlignment="1">
      <alignment vertical="center"/>
    </xf>
    <xf numFmtId="0" fontId="3" fillId="25" borderId="210" xfId="0" applyFont="1" applyFill="1" applyBorder="1" applyAlignment="1">
      <alignment horizontal="left" vertical="center" wrapText="1" indent="2"/>
    </xf>
    <xf numFmtId="43" fontId="3" fillId="39" borderId="209" xfId="0" applyNumberFormat="1" applyFont="1" applyFill="1" applyBorder="1" applyAlignment="1">
      <alignment horizontal="center"/>
    </xf>
    <xf numFmtId="43" fontId="3" fillId="39" borderId="83" xfId="0" applyNumberFormat="1" applyFont="1" applyFill="1" applyBorder="1" applyAlignment="1">
      <alignment horizontal="center"/>
    </xf>
    <xf numFmtId="43" fontId="3" fillId="39" borderId="90" xfId="0" applyNumberFormat="1" applyFont="1" applyFill="1" applyBorder="1" applyAlignment="1">
      <alignment horizontal="center"/>
    </xf>
    <xf numFmtId="43" fontId="3" fillId="39" borderId="91" xfId="0" applyNumberFormat="1" applyFont="1" applyFill="1" applyBorder="1" applyAlignment="1">
      <alignment horizontal="center"/>
    </xf>
    <xf numFmtId="0" fontId="0" fillId="34" borderId="0" xfId="0" applyFill="1" applyAlignment="1">
      <alignment vertical="center" wrapText="1"/>
    </xf>
    <xf numFmtId="0" fontId="6" fillId="30" borderId="130" xfId="0" applyFont="1" applyFill="1" applyBorder="1" applyAlignment="1">
      <alignment horizontal="left" vertical="center" wrapText="1" indent="1"/>
    </xf>
    <xf numFmtId="0" fontId="6" fillId="30" borderId="50" xfId="0" applyFont="1" applyFill="1" applyBorder="1" applyAlignment="1">
      <alignment vertical="center" wrapText="1"/>
    </xf>
    <xf numFmtId="0" fontId="3" fillId="30" borderId="50" xfId="0" applyFont="1" applyFill="1" applyBorder="1" applyAlignment="1">
      <alignment wrapText="1"/>
    </xf>
    <xf numFmtId="0" fontId="3" fillId="30" borderId="75" xfId="0" applyFont="1" applyFill="1" applyBorder="1" applyAlignment="1">
      <alignment wrapText="1"/>
    </xf>
    <xf numFmtId="0" fontId="3" fillId="30" borderId="76" xfId="0" applyFont="1" applyFill="1" applyBorder="1" applyAlignment="1">
      <alignment wrapText="1"/>
    </xf>
    <xf numFmtId="0" fontId="3" fillId="53" borderId="45" xfId="0" applyFont="1" applyFill="1" applyBorder="1" applyAlignment="1" applyProtection="1">
      <alignment horizontal="right" vertical="center" wrapText="1"/>
      <protection locked="0"/>
    </xf>
    <xf numFmtId="0" fontId="3" fillId="29" borderId="209" xfId="0" applyFont="1" applyFill="1" applyBorder="1" applyAlignment="1" applyProtection="1">
      <alignment horizontal="right" vertical="center" wrapText="1"/>
      <protection locked="0"/>
    </xf>
    <xf numFmtId="0" fontId="3" fillId="29" borderId="210" xfId="0" applyFont="1" applyFill="1" applyBorder="1" applyAlignment="1" applyProtection="1">
      <alignment horizontal="right" vertical="center" wrapText="1"/>
      <protection locked="0"/>
    </xf>
    <xf numFmtId="0" fontId="3" fillId="29" borderId="65" xfId="0" applyFont="1" applyFill="1" applyBorder="1" applyAlignment="1" applyProtection="1">
      <alignment horizontal="right" vertical="center" wrapText="1"/>
      <protection locked="0"/>
    </xf>
    <xf numFmtId="0" fontId="3" fillId="29" borderId="68" xfId="0" applyFont="1" applyFill="1" applyBorder="1" applyAlignment="1" applyProtection="1">
      <alignment horizontal="right" vertical="center" wrapText="1"/>
      <protection locked="0"/>
    </xf>
    <xf numFmtId="0" fontId="64" fillId="32" borderId="22" xfId="0" applyFont="1" applyFill="1" applyBorder="1" applyAlignment="1">
      <alignment vertical="center"/>
    </xf>
    <xf numFmtId="168" fontId="3" fillId="39" borderId="56" xfId="0" applyNumberFormat="1" applyFont="1" applyFill="1" applyBorder="1" applyAlignment="1">
      <alignment horizontal="center"/>
    </xf>
    <xf numFmtId="168" fontId="3" fillId="39" borderId="57" xfId="0" applyNumberFormat="1" applyFont="1" applyFill="1" applyBorder="1" applyAlignment="1">
      <alignment horizontal="center"/>
    </xf>
    <xf numFmtId="168" fontId="3" fillId="30" borderId="210" xfId="0" applyNumberFormat="1" applyFont="1" applyFill="1" applyBorder="1" applyAlignment="1">
      <alignment horizontal="center"/>
    </xf>
    <xf numFmtId="168" fontId="3" fillId="39" borderId="72" xfId="0" applyNumberFormat="1" applyFont="1" applyFill="1" applyBorder="1" applyAlignment="1">
      <alignment horizontal="center"/>
    </xf>
    <xf numFmtId="168" fontId="3" fillId="30" borderId="65" xfId="0" applyNumberFormat="1" applyFont="1" applyFill="1" applyBorder="1" applyAlignment="1">
      <alignment horizontal="center"/>
    </xf>
    <xf numFmtId="168" fontId="3" fillId="30" borderId="66" xfId="0" applyNumberFormat="1" applyFont="1" applyFill="1" applyBorder="1" applyAlignment="1">
      <alignment horizontal="center"/>
    </xf>
    <xf numFmtId="168" fontId="3" fillId="39" borderId="86" xfId="0" applyNumberFormat="1" applyFont="1" applyFill="1" applyBorder="1" applyAlignment="1">
      <alignment horizontal="center"/>
    </xf>
    <xf numFmtId="168" fontId="3" fillId="30" borderId="89" xfId="0" applyNumberFormat="1" applyFont="1" applyFill="1" applyBorder="1" applyAlignment="1">
      <alignment horizontal="center"/>
    </xf>
    <xf numFmtId="0" fontId="64" fillId="32" borderId="23" xfId="0" applyFont="1" applyFill="1" applyBorder="1" applyAlignment="1">
      <alignment vertical="center"/>
    </xf>
    <xf numFmtId="168" fontId="3" fillId="31" borderId="210" xfId="0" applyNumberFormat="1" applyFont="1" applyFill="1" applyBorder="1" applyAlignment="1">
      <alignment horizontal="center"/>
    </xf>
    <xf numFmtId="168" fontId="3" fillId="31" borderId="65" xfId="0" applyNumberFormat="1" applyFont="1" applyFill="1" applyBorder="1" applyAlignment="1">
      <alignment horizontal="center"/>
    </xf>
    <xf numFmtId="168" fontId="3" fillId="31" borderId="89" xfId="0" applyNumberFormat="1" applyFont="1" applyFill="1" applyBorder="1" applyAlignment="1">
      <alignment horizontal="center"/>
    </xf>
    <xf numFmtId="168" fontId="3" fillId="31" borderId="66" xfId="0" applyNumberFormat="1" applyFont="1" applyFill="1" applyBorder="1" applyAlignment="1">
      <alignment horizontal="center"/>
    </xf>
    <xf numFmtId="168" fontId="3" fillId="39" borderId="59" xfId="0" applyNumberFormat="1" applyFont="1" applyFill="1" applyBorder="1" applyAlignment="1">
      <alignment horizontal="center"/>
    </xf>
    <xf numFmtId="168" fontId="3" fillId="39" borderId="136" xfId="0" applyNumberFormat="1" applyFont="1" applyFill="1" applyBorder="1" applyAlignment="1">
      <alignment horizontal="center"/>
    </xf>
    <xf numFmtId="168" fontId="3" fillId="30" borderId="209" xfId="30" applyNumberFormat="1" applyFont="1" applyFill="1" applyBorder="1" applyAlignment="1">
      <alignment horizontal="right"/>
    </xf>
    <xf numFmtId="168" fontId="6" fillId="31" borderId="210" xfId="0" applyNumberFormat="1" applyFont="1" applyFill="1" applyBorder="1" applyAlignment="1">
      <alignment horizontal="right" vertical="center"/>
    </xf>
    <xf numFmtId="168" fontId="46" fillId="18" borderId="108" xfId="30" applyNumberFormat="1" applyFont="1" applyFill="1" applyBorder="1" applyAlignment="1">
      <alignment horizontal="right"/>
    </xf>
    <xf numFmtId="168" fontId="3" fillId="30" borderId="90" xfId="30" applyNumberFormat="1" applyFont="1" applyFill="1" applyBorder="1"/>
    <xf numFmtId="168" fontId="3" fillId="31" borderId="63" xfId="30" applyNumberFormat="1" applyFont="1" applyFill="1" applyBorder="1"/>
    <xf numFmtId="168" fontId="3" fillId="31" borderId="67" xfId="30" applyNumberFormat="1" applyFont="1" applyFill="1" applyBorder="1"/>
    <xf numFmtId="168" fontId="3" fillId="30" borderId="209" xfId="30" applyNumberFormat="1" applyFont="1" applyFill="1" applyBorder="1"/>
    <xf numFmtId="168" fontId="3" fillId="31" borderId="210" xfId="30" applyNumberFormat="1" applyFont="1" applyFill="1" applyBorder="1"/>
    <xf numFmtId="168" fontId="3" fillId="44" borderId="21" xfId="30" applyNumberFormat="1" applyFont="1" applyFill="1" applyBorder="1"/>
    <xf numFmtId="168" fontId="3" fillId="44" borderId="22" xfId="30" applyNumberFormat="1" applyFont="1" applyFill="1" applyBorder="1"/>
    <xf numFmtId="168" fontId="3" fillId="44" borderId="19" xfId="30" applyNumberFormat="1" applyFont="1" applyFill="1" applyBorder="1"/>
    <xf numFmtId="168" fontId="3" fillId="44" borderId="0" xfId="30" applyNumberFormat="1" applyFont="1" applyFill="1" applyBorder="1"/>
    <xf numFmtId="168" fontId="3" fillId="44" borderId="50" xfId="30" applyNumberFormat="1" applyFont="1" applyFill="1" applyBorder="1"/>
    <xf numFmtId="168" fontId="3" fillId="44" borderId="75" xfId="30" applyNumberFormat="1" applyFont="1" applyFill="1" applyBorder="1"/>
    <xf numFmtId="168" fontId="3" fillId="44" borderId="76" xfId="30" applyNumberFormat="1" applyFont="1" applyFill="1" applyBorder="1"/>
    <xf numFmtId="0" fontId="3" fillId="44" borderId="206" xfId="0" applyFont="1" applyFill="1" applyBorder="1" applyAlignment="1" applyProtection="1">
      <alignment vertical="center" wrapText="1"/>
      <protection locked="0"/>
    </xf>
    <xf numFmtId="0" fontId="3" fillId="44" borderId="204" xfId="0" applyFont="1" applyFill="1" applyBorder="1" applyAlignment="1" applyProtection="1">
      <alignment vertical="center" wrapText="1"/>
      <protection locked="0"/>
    </xf>
    <xf numFmtId="0" fontId="3" fillId="44" borderId="205" xfId="0" applyFont="1" applyFill="1" applyBorder="1" applyAlignment="1" applyProtection="1">
      <alignment vertical="center" wrapText="1"/>
      <protection locked="0"/>
    </xf>
    <xf numFmtId="0" fontId="3" fillId="44" borderId="131" xfId="0" applyFont="1" applyFill="1" applyBorder="1" applyAlignment="1" applyProtection="1">
      <alignment vertical="center" wrapText="1"/>
      <protection locked="0"/>
    </xf>
    <xf numFmtId="0" fontId="3" fillId="44" borderId="35" xfId="0" applyFont="1" applyFill="1" applyBorder="1" applyAlignment="1" applyProtection="1">
      <alignment vertical="center" wrapText="1"/>
      <protection locked="0"/>
    </xf>
    <xf numFmtId="0" fontId="3" fillId="44" borderId="34" xfId="0" applyFont="1" applyFill="1" applyBorder="1" applyAlignment="1" applyProtection="1">
      <alignment vertical="center" wrapText="1"/>
      <protection locked="0"/>
    </xf>
    <xf numFmtId="168" fontId="3" fillId="44" borderId="23" xfId="30" applyNumberFormat="1" applyFont="1" applyFill="1" applyBorder="1"/>
    <xf numFmtId="168" fontId="3" fillId="44" borderId="24" xfId="30" applyNumberFormat="1" applyFont="1" applyFill="1" applyBorder="1"/>
    <xf numFmtId="0" fontId="14" fillId="44" borderId="73" xfId="0" applyFont="1" applyFill="1" applyBorder="1" applyAlignment="1">
      <alignment horizontal="left" vertical="center" wrapText="1"/>
    </xf>
    <xf numFmtId="0" fontId="6" fillId="44" borderId="77" xfId="0" applyFont="1" applyFill="1" applyBorder="1" applyAlignment="1">
      <alignment horizontal="left" vertical="center" wrapText="1"/>
    </xf>
    <xf numFmtId="0" fontId="12" fillId="44" borderId="74" xfId="0" applyFont="1" applyFill="1" applyBorder="1" applyAlignment="1">
      <alignment horizontal="left" vertical="center" wrapText="1"/>
    </xf>
    <xf numFmtId="0" fontId="3" fillId="44" borderId="77" xfId="0" applyFont="1" applyFill="1" applyBorder="1" applyAlignment="1">
      <alignment horizontal="left" vertical="center" wrapText="1" indent="2"/>
    </xf>
    <xf numFmtId="0" fontId="0" fillId="44" borderId="74" xfId="0" applyFill="1" applyBorder="1"/>
    <xf numFmtId="0" fontId="6" fillId="44" borderId="77" xfId="0" applyFont="1" applyFill="1" applyBorder="1" applyAlignment="1">
      <alignment wrapText="1"/>
    </xf>
    <xf numFmtId="0" fontId="0" fillId="44" borderId="92" xfId="0" applyFill="1" applyBorder="1"/>
    <xf numFmtId="0" fontId="6" fillId="44" borderId="118" xfId="0" applyFont="1" applyFill="1" applyBorder="1" applyAlignment="1">
      <alignment wrapText="1"/>
    </xf>
    <xf numFmtId="0" fontId="11" fillId="44" borderId="73" xfId="0" applyFont="1" applyFill="1" applyBorder="1"/>
    <xf numFmtId="0" fontId="6" fillId="44" borderId="51" xfId="0" applyFont="1" applyFill="1" applyBorder="1" applyAlignment="1">
      <alignment horizontal="left" vertical="center" wrapText="1"/>
    </xf>
    <xf numFmtId="0" fontId="6" fillId="44" borderId="51" xfId="0" applyFont="1" applyFill="1" applyBorder="1" applyAlignment="1">
      <alignment wrapText="1"/>
    </xf>
    <xf numFmtId="0" fontId="6" fillId="44" borderId="69" xfId="0" applyFont="1" applyFill="1" applyBorder="1" applyAlignment="1">
      <alignment wrapText="1"/>
    </xf>
    <xf numFmtId="0" fontId="6" fillId="44" borderId="50" xfId="0" applyFont="1" applyFill="1" applyBorder="1" applyAlignment="1">
      <alignment horizontal="left" vertical="center" wrapText="1"/>
    </xf>
    <xf numFmtId="0" fontId="3" fillId="44" borderId="51" xfId="0" applyFont="1" applyFill="1" applyBorder="1" applyAlignment="1">
      <alignment horizontal="left" vertical="center" wrapText="1" indent="4"/>
    </xf>
    <xf numFmtId="0" fontId="3" fillId="44" borderId="77" xfId="0" applyFont="1" applyFill="1" applyBorder="1" applyAlignment="1">
      <alignment horizontal="left" vertical="center" wrapText="1" indent="4"/>
    </xf>
    <xf numFmtId="0" fontId="6" fillId="44" borderId="51" xfId="0" applyFont="1" applyFill="1" applyBorder="1"/>
    <xf numFmtId="0" fontId="6" fillId="44" borderId="69" xfId="0" applyFont="1" applyFill="1" applyBorder="1"/>
    <xf numFmtId="0" fontId="6" fillId="44" borderId="50" xfId="0" applyFont="1" applyFill="1" applyBorder="1" applyAlignment="1">
      <alignment horizontal="left" wrapText="1"/>
    </xf>
    <xf numFmtId="168" fontId="3" fillId="25" borderId="46" xfId="30" applyNumberFormat="1" applyFont="1" applyFill="1" applyBorder="1" applyAlignment="1">
      <alignment horizontal="right"/>
    </xf>
    <xf numFmtId="168" fontId="3" fillId="25" borderId="61" xfId="30" applyNumberFormat="1" applyFont="1" applyFill="1" applyBorder="1" applyAlignment="1">
      <alignment horizontal="right"/>
    </xf>
    <xf numFmtId="168" fontId="3" fillId="25" borderId="64" xfId="30" applyNumberFormat="1" applyFont="1" applyFill="1" applyBorder="1" applyAlignment="1">
      <alignment horizontal="right"/>
    </xf>
    <xf numFmtId="168" fontId="3" fillId="25" borderId="63" xfId="30" applyNumberFormat="1" applyFont="1" applyFill="1" applyBorder="1" applyAlignment="1">
      <alignment horizontal="right"/>
    </xf>
    <xf numFmtId="168" fontId="3" fillId="32" borderId="79" xfId="30" applyNumberFormat="1" applyFont="1" applyFill="1" applyBorder="1" applyAlignment="1">
      <alignment horizontal="right"/>
    </xf>
    <xf numFmtId="168" fontId="3" fillId="18" borderId="80" xfId="30" applyNumberFormat="1" applyFont="1" applyFill="1" applyBorder="1" applyAlignment="1">
      <alignment horizontal="right"/>
    </xf>
    <xf numFmtId="168" fontId="3" fillId="18" borderId="81" xfId="30" applyNumberFormat="1" applyFont="1" applyFill="1" applyBorder="1" applyAlignment="1">
      <alignment horizontal="right"/>
    </xf>
    <xf numFmtId="168" fontId="3" fillId="32" borderId="137" xfId="30" applyNumberFormat="1" applyFont="1" applyFill="1" applyBorder="1" applyAlignment="1">
      <alignment horizontal="right"/>
    </xf>
    <xf numFmtId="168" fontId="3" fillId="32" borderId="80" xfId="30" applyNumberFormat="1" applyFont="1" applyFill="1" applyBorder="1" applyAlignment="1">
      <alignment horizontal="right"/>
    </xf>
    <xf numFmtId="168" fontId="3" fillId="32" borderId="139" xfId="30" applyNumberFormat="1" applyFont="1" applyFill="1" applyBorder="1" applyAlignment="1">
      <alignment horizontal="right"/>
    </xf>
    <xf numFmtId="168" fontId="3" fillId="31" borderId="56" xfId="30" applyNumberFormat="1" applyFont="1" applyFill="1" applyBorder="1" applyAlignment="1">
      <alignment horizontal="right"/>
    </xf>
    <xf numFmtId="168" fontId="3" fillId="31" borderId="57" xfId="30" applyNumberFormat="1" applyFont="1" applyFill="1" applyBorder="1" applyAlignment="1">
      <alignment horizontal="right"/>
    </xf>
    <xf numFmtId="168" fontId="3" fillId="31" borderId="60" xfId="30" applyNumberFormat="1" applyFont="1" applyFill="1" applyBorder="1" applyAlignment="1">
      <alignment horizontal="right"/>
    </xf>
    <xf numFmtId="168" fontId="3" fillId="31" borderId="99" xfId="30" applyNumberFormat="1" applyFont="1" applyFill="1" applyBorder="1" applyAlignment="1">
      <alignment horizontal="right"/>
    </xf>
    <xf numFmtId="168" fontId="3" fillId="31" borderId="141" xfId="30" applyNumberFormat="1" applyFont="1" applyFill="1" applyBorder="1" applyAlignment="1">
      <alignment horizontal="right"/>
    </xf>
    <xf numFmtId="168" fontId="3" fillId="25" borderId="36" xfId="30" applyNumberFormat="1" applyFont="1" applyFill="1" applyBorder="1" applyAlignment="1">
      <alignment horizontal="right"/>
    </xf>
    <xf numFmtId="168" fontId="3" fillId="25" borderId="35" xfId="30" applyNumberFormat="1" applyFont="1" applyFill="1" applyBorder="1" applyAlignment="1">
      <alignment horizontal="right"/>
    </xf>
    <xf numFmtId="168" fontId="3" fillId="25" borderId="152" xfId="30" applyNumberFormat="1" applyFont="1" applyFill="1" applyBorder="1" applyAlignment="1">
      <alignment horizontal="right"/>
    </xf>
    <xf numFmtId="0" fontId="3" fillId="34" borderId="72" xfId="0" applyFont="1" applyFill="1" applyBorder="1" applyAlignment="1">
      <alignment horizontal="left" vertical="center" wrapText="1" indent="2"/>
    </xf>
    <xf numFmtId="0" fontId="3" fillId="34" borderId="62" xfId="0" applyFont="1" applyFill="1" applyBorder="1" applyAlignment="1">
      <alignment horizontal="left" vertical="center" wrapText="1" indent="2"/>
    </xf>
    <xf numFmtId="0" fontId="6" fillId="34" borderId="231" xfId="0" applyFont="1" applyFill="1" applyBorder="1" applyAlignment="1">
      <alignment horizontal="left" vertical="center" wrapText="1" indent="2"/>
    </xf>
    <xf numFmtId="0" fontId="3" fillId="34" borderId="58" xfId="0" applyFont="1" applyFill="1" applyBorder="1" applyAlignment="1">
      <alignment horizontal="left" vertical="center" wrapText="1" indent="2"/>
    </xf>
    <xf numFmtId="0" fontId="6" fillId="34" borderId="66" xfId="0" applyFont="1" applyFill="1" applyBorder="1" applyAlignment="1">
      <alignment horizontal="left" vertical="center" wrapText="1" indent="2"/>
    </xf>
    <xf numFmtId="0" fontId="76" fillId="30" borderId="36" xfId="0" applyFont="1" applyFill="1" applyBorder="1" applyAlignment="1">
      <alignment vertical="center"/>
    </xf>
    <xf numFmtId="168" fontId="3" fillId="30" borderId="209" xfId="0" applyNumberFormat="1" applyFont="1" applyFill="1" applyBorder="1"/>
    <xf numFmtId="168" fontId="3" fillId="30" borderId="76" xfId="0" applyNumberFormat="1" applyFont="1" applyFill="1" applyBorder="1"/>
    <xf numFmtId="168" fontId="3" fillId="39" borderId="78" xfId="0" applyNumberFormat="1" applyFont="1" applyFill="1" applyBorder="1"/>
    <xf numFmtId="168" fontId="3" fillId="31" borderId="78" xfId="0" applyNumberFormat="1" applyFont="1" applyFill="1" applyBorder="1"/>
    <xf numFmtId="168" fontId="3" fillId="31" borderId="210" xfId="0" applyNumberFormat="1" applyFont="1" applyFill="1" applyBorder="1"/>
    <xf numFmtId="43" fontId="3" fillId="31" borderId="255" xfId="0" applyNumberFormat="1" applyFont="1" applyFill="1" applyBorder="1"/>
    <xf numFmtId="43" fontId="3" fillId="31" borderId="256" xfId="0" applyNumberFormat="1" applyFont="1" applyFill="1" applyBorder="1"/>
    <xf numFmtId="43" fontId="3" fillId="31" borderId="257" xfId="0" applyNumberFormat="1" applyFont="1" applyFill="1" applyBorder="1"/>
    <xf numFmtId="168" fontId="3" fillId="39" borderId="251" xfId="30" applyNumberFormat="1" applyFont="1" applyFill="1" applyBorder="1"/>
    <xf numFmtId="168" fontId="3" fillId="39" borderId="204" xfId="30" applyNumberFormat="1" applyFont="1" applyFill="1" applyBorder="1"/>
    <xf numFmtId="168" fontId="3" fillId="39" borderId="205" xfId="30" applyNumberFormat="1" applyFont="1" applyFill="1" applyBorder="1"/>
    <xf numFmtId="168" fontId="3" fillId="32" borderId="209" xfId="0" applyNumberFormat="1" applyFont="1" applyFill="1" applyBorder="1" applyAlignment="1">
      <alignment horizontal="right" wrapText="1"/>
    </xf>
    <xf numFmtId="168" fontId="6" fillId="31" borderId="210" xfId="0" applyNumberFormat="1" applyFont="1" applyFill="1" applyBorder="1" applyAlignment="1">
      <alignment horizontal="right"/>
    </xf>
    <xf numFmtId="0" fontId="12" fillId="30" borderId="209" xfId="0" applyFont="1" applyFill="1" applyBorder="1" applyAlignment="1">
      <alignment horizontal="left" vertical="center" wrapText="1"/>
    </xf>
    <xf numFmtId="0" fontId="64" fillId="37" borderId="46" xfId="0" applyFont="1" applyFill="1" applyBorder="1" applyAlignment="1">
      <alignment horizontal="center" vertical="center" wrapText="1"/>
    </xf>
    <xf numFmtId="0" fontId="64" fillId="37" borderId="61" xfId="0" applyFont="1" applyFill="1" applyBorder="1" applyAlignment="1">
      <alignment horizontal="center" vertical="center" wrapText="1"/>
    </xf>
    <xf numFmtId="0" fontId="64" fillId="42" borderId="61" xfId="0" applyFont="1" applyFill="1" applyBorder="1" applyAlignment="1">
      <alignment horizontal="center" vertical="center" wrapText="1"/>
    </xf>
    <xf numFmtId="0" fontId="3" fillId="39" borderId="36" xfId="0" applyFont="1" applyFill="1" applyBorder="1" applyAlignment="1" applyProtection="1">
      <alignment vertical="center"/>
      <protection locked="0"/>
    </xf>
    <xf numFmtId="0" fontId="3" fillId="39" borderId="35" xfId="0" applyFont="1" applyFill="1" applyBorder="1" applyAlignment="1" applyProtection="1">
      <alignment vertical="center"/>
      <protection locked="0"/>
    </xf>
    <xf numFmtId="0" fontId="3" fillId="39" borderId="34" xfId="0" applyFont="1" applyFill="1" applyBorder="1" applyAlignment="1" applyProtection="1">
      <alignment vertical="center"/>
      <protection locked="0"/>
    </xf>
    <xf numFmtId="168" fontId="3" fillId="39" borderId="103" xfId="0" applyNumberFormat="1" applyFont="1" applyFill="1" applyBorder="1" applyAlignment="1">
      <alignment horizontal="right"/>
    </xf>
    <xf numFmtId="168" fontId="3" fillId="39" borderId="102" xfId="0" applyNumberFormat="1" applyFont="1" applyFill="1" applyBorder="1" applyAlignment="1">
      <alignment horizontal="right"/>
    </xf>
    <xf numFmtId="168" fontId="3" fillId="39" borderId="168" xfId="0" applyNumberFormat="1" applyFont="1" applyFill="1" applyBorder="1" applyAlignment="1">
      <alignment horizontal="right"/>
    </xf>
    <xf numFmtId="168" fontId="6" fillId="39" borderId="46" xfId="0" applyNumberFormat="1" applyFont="1" applyFill="1" applyBorder="1" applyAlignment="1">
      <alignment horizontal="right"/>
    </xf>
    <xf numFmtId="168" fontId="6" fillId="39" borderId="61" xfId="0" applyNumberFormat="1" applyFont="1" applyFill="1" applyBorder="1" applyAlignment="1">
      <alignment horizontal="right"/>
    </xf>
    <xf numFmtId="168" fontId="6" fillId="39" borderId="64" xfId="0" applyNumberFormat="1" applyFont="1" applyFill="1" applyBorder="1" applyAlignment="1">
      <alignment horizontal="right"/>
    </xf>
    <xf numFmtId="0" fontId="3" fillId="39" borderId="35" xfId="0" applyFont="1" applyFill="1" applyBorder="1" applyAlignment="1" applyProtection="1">
      <alignment vertical="center" wrapText="1"/>
      <protection locked="0"/>
    </xf>
    <xf numFmtId="0" fontId="64" fillId="42" borderId="81" xfId="0" applyFont="1" applyFill="1" applyBorder="1" applyAlignment="1">
      <alignment horizontal="center" vertical="center" wrapText="1"/>
    </xf>
    <xf numFmtId="168" fontId="6" fillId="35" borderId="210" xfId="30" applyNumberFormat="1" applyFont="1" applyFill="1" applyBorder="1"/>
    <xf numFmtId="0" fontId="3" fillId="39" borderId="34" xfId="0" applyFont="1" applyFill="1" applyBorder="1" applyAlignment="1" applyProtection="1">
      <alignment vertical="center" wrapText="1"/>
      <protection locked="0"/>
    </xf>
    <xf numFmtId="168" fontId="6" fillId="30" borderId="209" xfId="0" applyNumberFormat="1" applyFont="1" applyFill="1" applyBorder="1" applyAlignment="1">
      <alignment horizontal="left" vertical="center" wrapText="1"/>
    </xf>
    <xf numFmtId="168" fontId="12" fillId="35" borderId="210" xfId="30" applyNumberFormat="1" applyFont="1" applyFill="1" applyBorder="1"/>
    <xf numFmtId="168" fontId="46" fillId="39" borderId="111" xfId="30" applyNumberFormat="1" applyFont="1" applyFill="1" applyBorder="1"/>
    <xf numFmtId="168" fontId="46" fillId="39" borderId="43" xfId="30" applyNumberFormat="1" applyFont="1" applyFill="1" applyBorder="1"/>
    <xf numFmtId="168" fontId="46" fillId="39" borderId="105" xfId="30" applyNumberFormat="1" applyFont="1" applyFill="1" applyBorder="1"/>
    <xf numFmtId="168" fontId="46" fillId="39" borderId="108" xfId="30" applyNumberFormat="1" applyFont="1" applyFill="1" applyBorder="1"/>
    <xf numFmtId="168" fontId="46" fillId="39" borderId="112" xfId="30" applyNumberFormat="1" applyFont="1" applyFill="1" applyBorder="1"/>
    <xf numFmtId="168" fontId="46" fillId="39" borderId="106" xfId="30" applyNumberFormat="1" applyFont="1" applyFill="1" applyBorder="1"/>
    <xf numFmtId="168" fontId="46" fillId="39" borderId="107" xfId="30" applyNumberFormat="1" applyFont="1" applyFill="1" applyBorder="1"/>
    <xf numFmtId="168" fontId="46" fillId="39" borderId="109" xfId="30" applyNumberFormat="1" applyFont="1" applyFill="1" applyBorder="1"/>
    <xf numFmtId="0" fontId="0" fillId="39" borderId="204" xfId="0" applyFill="1" applyBorder="1" applyAlignment="1">
      <alignment vertical="center" wrapText="1"/>
    </xf>
    <xf numFmtId="0" fontId="0" fillId="39" borderId="205" xfId="0" applyFill="1" applyBorder="1" applyAlignment="1">
      <alignment vertical="center" wrapText="1"/>
    </xf>
    <xf numFmtId="0" fontId="76" fillId="31" borderId="36" xfId="0" applyFont="1" applyFill="1" applyBorder="1" applyAlignment="1">
      <alignment vertical="center"/>
    </xf>
    <xf numFmtId="0" fontId="11" fillId="32" borderId="36" xfId="0" applyFont="1" applyFill="1" applyBorder="1" applyAlignment="1">
      <alignment horizontal="right" vertical="center"/>
    </xf>
    <xf numFmtId="0" fontId="11" fillId="32" borderId="21" xfId="0" applyFont="1" applyFill="1" applyBorder="1" applyAlignment="1">
      <alignment vertical="center"/>
    </xf>
    <xf numFmtId="0" fontId="3" fillId="39" borderId="36" xfId="0" applyFont="1" applyFill="1" applyBorder="1" applyAlignment="1" applyProtection="1">
      <alignment vertical="center" wrapText="1"/>
      <protection locked="0"/>
    </xf>
    <xf numFmtId="168" fontId="46" fillId="39" borderId="166" xfId="30" applyNumberFormat="1" applyFont="1" applyFill="1" applyBorder="1" applyAlignment="1">
      <alignment horizontal="right"/>
    </xf>
    <xf numFmtId="168" fontId="46" fillId="39" borderId="121" xfId="30" applyNumberFormat="1" applyFont="1" applyFill="1" applyBorder="1" applyAlignment="1">
      <alignment horizontal="right"/>
    </xf>
    <xf numFmtId="168" fontId="46" fillId="39" borderId="167" xfId="30" applyNumberFormat="1" applyFont="1" applyFill="1" applyBorder="1" applyAlignment="1">
      <alignment horizontal="right"/>
    </xf>
    <xf numFmtId="168" fontId="3" fillId="39" borderId="166" xfId="30" applyNumberFormat="1" applyFont="1" applyFill="1" applyBorder="1" applyAlignment="1">
      <alignment horizontal="right"/>
    </xf>
    <xf numFmtId="168" fontId="3" fillId="39" borderId="121" xfId="30" applyNumberFormat="1" applyFont="1" applyFill="1" applyBorder="1" applyAlignment="1">
      <alignment horizontal="right"/>
    </xf>
    <xf numFmtId="168" fontId="3" fillId="39" borderId="167" xfId="30" applyNumberFormat="1" applyFont="1" applyFill="1" applyBorder="1" applyAlignment="1">
      <alignment horizontal="right"/>
    </xf>
    <xf numFmtId="168" fontId="3" fillId="39" borderId="111" xfId="30" applyNumberFormat="1" applyFont="1" applyFill="1" applyBorder="1"/>
    <xf numFmtId="168" fontId="3" fillId="39" borderId="43" xfId="30" applyNumberFormat="1" applyFont="1" applyFill="1" applyBorder="1"/>
    <xf numFmtId="168" fontId="3" fillId="39" borderId="105" xfId="30" applyNumberFormat="1" applyFont="1" applyFill="1" applyBorder="1"/>
    <xf numFmtId="168" fontId="46" fillId="39" borderId="111" xfId="30" applyNumberFormat="1" applyFont="1" applyFill="1" applyBorder="1" applyAlignment="1">
      <alignment horizontal="right"/>
    </xf>
    <xf numFmtId="168" fontId="46" fillId="39" borderId="43" xfId="30" applyNumberFormat="1" applyFont="1" applyFill="1" applyBorder="1" applyAlignment="1">
      <alignment horizontal="right"/>
    </xf>
    <xf numFmtId="168" fontId="46" fillId="39" borderId="105" xfId="30" applyNumberFormat="1" applyFont="1" applyFill="1" applyBorder="1" applyAlignment="1">
      <alignment horizontal="right"/>
    </xf>
    <xf numFmtId="168" fontId="3" fillId="39" borderId="111" xfId="30" applyNumberFormat="1" applyFont="1" applyFill="1" applyBorder="1" applyAlignment="1">
      <alignment horizontal="right"/>
    </xf>
    <xf numFmtId="168" fontId="3" fillId="39" borderId="43" xfId="30" applyNumberFormat="1" applyFont="1" applyFill="1" applyBorder="1" applyAlignment="1">
      <alignment horizontal="right"/>
    </xf>
    <xf numFmtId="168" fontId="3" fillId="39" borderId="105" xfId="30" applyNumberFormat="1" applyFont="1" applyFill="1" applyBorder="1" applyAlignment="1">
      <alignment horizontal="right"/>
    </xf>
    <xf numFmtId="168" fontId="46" fillId="39" borderId="126" xfId="30" applyNumberFormat="1" applyFont="1" applyFill="1" applyBorder="1" applyAlignment="1">
      <alignment horizontal="right"/>
    </xf>
    <xf numFmtId="168" fontId="46" fillId="39" borderId="119" xfId="30" applyNumberFormat="1" applyFont="1" applyFill="1" applyBorder="1" applyAlignment="1">
      <alignment horizontal="right"/>
    </xf>
    <xf numFmtId="168" fontId="46" fillId="39" borderId="124" xfId="30" applyNumberFormat="1" applyFont="1" applyFill="1" applyBorder="1" applyAlignment="1">
      <alignment horizontal="right"/>
    </xf>
    <xf numFmtId="168" fontId="3" fillId="39" borderId="126" xfId="30" applyNumberFormat="1" applyFont="1" applyFill="1" applyBorder="1" applyAlignment="1">
      <alignment horizontal="right"/>
    </xf>
    <xf numFmtId="168" fontId="3" fillId="39" borderId="119" xfId="30" applyNumberFormat="1" applyFont="1" applyFill="1" applyBorder="1" applyAlignment="1">
      <alignment horizontal="right"/>
    </xf>
    <xf numFmtId="168" fontId="3" fillId="39" borderId="124" xfId="30" applyNumberFormat="1" applyFont="1" applyFill="1" applyBorder="1" applyAlignment="1">
      <alignment horizontal="right"/>
    </xf>
    <xf numFmtId="0" fontId="3" fillId="39" borderId="251" xfId="0" applyFont="1" applyFill="1" applyBorder="1" applyAlignment="1" applyProtection="1">
      <alignment vertical="center" wrapText="1"/>
      <protection locked="0"/>
    </xf>
    <xf numFmtId="0" fontId="3" fillId="39" borderId="204" xfId="0" applyFont="1" applyFill="1" applyBorder="1" applyAlignment="1" applyProtection="1">
      <alignment vertical="center" wrapText="1"/>
      <protection locked="0"/>
    </xf>
    <xf numFmtId="0" fontId="3" fillId="39" borderId="205" xfId="0" applyFont="1" applyFill="1" applyBorder="1" applyAlignment="1" applyProtection="1">
      <alignment vertical="center" wrapText="1"/>
      <protection locked="0"/>
    </xf>
    <xf numFmtId="0" fontId="3" fillId="34" borderId="36" xfId="0" applyFont="1" applyFill="1" applyBorder="1" applyAlignment="1" applyProtection="1">
      <alignment horizontal="right" vertical="center" wrapText="1"/>
      <protection locked="0"/>
    </xf>
    <xf numFmtId="0" fontId="3" fillId="34" borderId="51" xfId="0" applyFont="1" applyFill="1" applyBorder="1" applyAlignment="1">
      <alignment horizontal="left" vertical="center" wrapText="1" indent="1"/>
    </xf>
    <xf numFmtId="0" fontId="50" fillId="34" borderId="79" xfId="0" applyFont="1" applyFill="1" applyBorder="1" applyAlignment="1">
      <alignment horizontal="center" vertical="center" wrapText="1"/>
    </xf>
    <xf numFmtId="0" fontId="3" fillId="22" borderId="155" xfId="0" applyFont="1" applyFill="1" applyBorder="1" applyAlignment="1" applyProtection="1">
      <alignment vertical="center" wrapText="1"/>
      <protection locked="0"/>
    </xf>
    <xf numFmtId="0" fontId="3" fillId="22" borderId="246" xfId="0" applyFont="1" applyFill="1" applyBorder="1" applyAlignment="1" applyProtection="1">
      <alignment vertical="center" wrapText="1"/>
      <protection locked="0"/>
    </xf>
    <xf numFmtId="0" fontId="3" fillId="44" borderId="36" xfId="0" applyFont="1" applyFill="1" applyBorder="1" applyAlignment="1" applyProtection="1">
      <alignment vertical="center" wrapText="1"/>
      <protection locked="0"/>
    </xf>
    <xf numFmtId="0" fontId="76" fillId="28" borderId="73" xfId="0" applyFont="1" applyFill="1" applyBorder="1" applyAlignment="1">
      <alignment vertical="center"/>
    </xf>
    <xf numFmtId="43" fontId="6" fillId="30" borderId="210" xfId="0" applyNumberFormat="1" applyFont="1" applyFill="1" applyBorder="1"/>
    <xf numFmtId="168" fontId="6" fillId="30" borderId="210" xfId="0" applyNumberFormat="1" applyFont="1" applyFill="1" applyBorder="1"/>
    <xf numFmtId="43" fontId="6" fillId="30" borderId="210" xfId="0" applyNumberFormat="1" applyFont="1" applyFill="1" applyBorder="1" applyAlignment="1">
      <alignment horizontal="right"/>
    </xf>
    <xf numFmtId="168" fontId="3" fillId="39" borderId="56" xfId="30" applyNumberFormat="1" applyFont="1" applyFill="1" applyBorder="1"/>
    <xf numFmtId="168" fontId="3" fillId="39" borderId="57" xfId="30" applyNumberFormat="1" applyFont="1" applyFill="1" applyBorder="1"/>
    <xf numFmtId="168" fontId="3" fillId="39" borderId="60" xfId="30" applyNumberFormat="1" applyFont="1" applyFill="1" applyBorder="1"/>
    <xf numFmtId="168" fontId="3" fillId="39" borderId="136" xfId="30" applyNumberFormat="1" applyFont="1" applyFill="1" applyBorder="1"/>
    <xf numFmtId="0" fontId="11" fillId="31" borderId="23" xfId="0" applyFont="1" applyFill="1" applyBorder="1" applyAlignment="1">
      <alignment vertical="center"/>
    </xf>
    <xf numFmtId="0" fontId="6" fillId="40" borderId="68" xfId="0" applyFont="1" applyFill="1" applyBorder="1" applyAlignment="1" applyProtection="1">
      <alignment horizontal="center" vertical="center" wrapText="1"/>
      <protection locked="0"/>
    </xf>
    <xf numFmtId="168" fontId="6" fillId="32" borderId="64" xfId="0" applyNumberFormat="1" applyFont="1" applyFill="1" applyBorder="1" applyAlignment="1">
      <alignment horizontal="left" vertical="center"/>
    </xf>
    <xf numFmtId="168" fontId="6" fillId="30" borderId="79" xfId="30" applyNumberFormat="1" applyFont="1" applyFill="1" applyBorder="1" applyAlignment="1"/>
    <xf numFmtId="168" fontId="6" fillId="30" borderId="210" xfId="30" applyNumberFormat="1" applyFont="1" applyFill="1" applyBorder="1" applyAlignment="1"/>
    <xf numFmtId="0" fontId="3" fillId="39" borderId="36" xfId="0" applyFont="1" applyFill="1" applyBorder="1" applyAlignment="1" applyProtection="1">
      <alignment horizontal="left" vertical="center" wrapText="1"/>
      <protection locked="0"/>
    </xf>
    <xf numFmtId="0" fontId="3" fillId="39" borderId="35" xfId="0" applyFont="1" applyFill="1" applyBorder="1" applyAlignment="1" applyProtection="1">
      <alignment horizontal="left" vertical="center" wrapText="1"/>
      <protection locked="0"/>
    </xf>
    <xf numFmtId="0" fontId="3" fillId="39" borderId="34" xfId="0" applyFont="1" applyFill="1" applyBorder="1" applyAlignment="1" applyProtection="1">
      <alignment horizontal="left" vertical="center" wrapText="1"/>
      <protection locked="0"/>
    </xf>
    <xf numFmtId="0" fontId="3" fillId="73" borderId="36" xfId="0" applyFont="1" applyFill="1" applyBorder="1" applyAlignment="1" applyProtection="1">
      <alignment vertical="center" wrapText="1"/>
      <protection locked="0"/>
    </xf>
    <xf numFmtId="0" fontId="64" fillId="42" borderId="64" xfId="0" applyFont="1" applyFill="1" applyBorder="1" applyAlignment="1">
      <alignment horizontal="center" vertical="center" wrapText="1"/>
    </xf>
    <xf numFmtId="168" fontId="3" fillId="30" borderId="255" xfId="30" applyNumberFormat="1" applyFont="1" applyFill="1" applyBorder="1"/>
    <xf numFmtId="168" fontId="3" fillId="30" borderId="256" xfId="30" applyNumberFormat="1" applyFont="1" applyFill="1" applyBorder="1"/>
    <xf numFmtId="168" fontId="3" fillId="30" borderId="257" xfId="30" applyNumberFormat="1" applyFont="1" applyFill="1" applyBorder="1"/>
    <xf numFmtId="174" fontId="3" fillId="39" borderId="209" xfId="30" applyNumberFormat="1" applyFont="1" applyFill="1" applyBorder="1"/>
    <xf numFmtId="174" fontId="3" fillId="39" borderId="83" xfId="30" applyNumberFormat="1" applyFont="1" applyFill="1" applyBorder="1"/>
    <xf numFmtId="174" fontId="3" fillId="39" borderId="91" xfId="30" applyNumberFormat="1" applyFont="1" applyFill="1" applyBorder="1"/>
    <xf numFmtId="174" fontId="3" fillId="39" borderId="46" xfId="30" applyNumberFormat="1" applyFont="1" applyFill="1" applyBorder="1"/>
    <xf numFmtId="174" fontId="3" fillId="39" borderId="61" xfId="30" applyNumberFormat="1" applyFont="1" applyFill="1" applyBorder="1"/>
    <xf numFmtId="174" fontId="3" fillId="39" borderId="64" xfId="30" applyNumberFormat="1" applyFont="1" applyFill="1" applyBorder="1"/>
    <xf numFmtId="168" fontId="3" fillId="39" borderId="79" xfId="30" applyNumberFormat="1" applyFont="1" applyFill="1" applyBorder="1"/>
    <xf numFmtId="168" fontId="3" fillId="39" borderId="80" xfId="30" applyNumberFormat="1" applyFont="1" applyFill="1" applyBorder="1"/>
    <xf numFmtId="168" fontId="3" fillId="39" borderId="81" xfId="30" applyNumberFormat="1" applyFont="1" applyFill="1" applyBorder="1"/>
    <xf numFmtId="174" fontId="3" fillId="39" borderId="79" xfId="30" applyNumberFormat="1" applyFont="1" applyFill="1" applyBorder="1"/>
    <xf numFmtId="174" fontId="3" fillId="39" borderId="80" xfId="30" applyNumberFormat="1" applyFont="1" applyFill="1" applyBorder="1"/>
    <xf numFmtId="174" fontId="3" fillId="39" borderId="81" xfId="30" applyNumberFormat="1" applyFont="1" applyFill="1" applyBorder="1"/>
    <xf numFmtId="0" fontId="11" fillId="39" borderId="52" xfId="0" applyFont="1" applyFill="1" applyBorder="1" applyAlignment="1">
      <alignment vertical="center"/>
    </xf>
    <xf numFmtId="0" fontId="11" fillId="39" borderId="53" xfId="0" applyFont="1" applyFill="1" applyBorder="1" applyAlignment="1">
      <alignment vertical="center"/>
    </xf>
    <xf numFmtId="0" fontId="11" fillId="39" borderId="54" xfId="0" applyFont="1" applyFill="1" applyBorder="1" applyAlignment="1">
      <alignment vertical="center"/>
    </xf>
    <xf numFmtId="174" fontId="3" fillId="39" borderId="56" xfId="30" applyNumberFormat="1" applyFont="1" applyFill="1" applyBorder="1"/>
    <xf numFmtId="174" fontId="3" fillId="39" borderId="57" xfId="30" applyNumberFormat="1" applyFont="1" applyFill="1" applyBorder="1"/>
    <xf numFmtId="174" fontId="3" fillId="39" borderId="60" xfId="30" applyNumberFormat="1" applyFont="1" applyFill="1" applyBorder="1"/>
    <xf numFmtId="164" fontId="3" fillId="39" borderId="209" xfId="44" applyNumberFormat="1" applyFont="1" applyFill="1" applyBorder="1"/>
    <xf numFmtId="164" fontId="3" fillId="39" borderId="83" xfId="44" applyNumberFormat="1" applyFont="1" applyFill="1" applyBorder="1"/>
    <xf numFmtId="164" fontId="3" fillId="39" borderId="91" xfId="44" applyNumberFormat="1" applyFont="1" applyFill="1" applyBorder="1"/>
    <xf numFmtId="164" fontId="3" fillId="39" borderId="56" xfId="44" applyNumberFormat="1" applyFont="1" applyFill="1" applyBorder="1"/>
    <xf numFmtId="164" fontId="3" fillId="39" borderId="57" xfId="44" applyNumberFormat="1" applyFont="1" applyFill="1" applyBorder="1"/>
    <xf numFmtId="164" fontId="3" fillId="39" borderId="60" xfId="44" applyNumberFormat="1" applyFont="1" applyFill="1" applyBorder="1"/>
    <xf numFmtId="164" fontId="3" fillId="39" borderId="210" xfId="44" applyNumberFormat="1" applyFont="1" applyFill="1" applyBorder="1"/>
    <xf numFmtId="164" fontId="3" fillId="39" borderId="65" xfId="44" applyNumberFormat="1" applyFont="1" applyFill="1" applyBorder="1"/>
    <xf numFmtId="164" fontId="3" fillId="39" borderId="68" xfId="44" applyNumberFormat="1" applyFont="1" applyFill="1" applyBorder="1"/>
    <xf numFmtId="0" fontId="3" fillId="39" borderId="209" xfId="0" applyFont="1" applyFill="1" applyBorder="1"/>
    <xf numFmtId="0" fontId="3" fillId="39" borderId="83" xfId="0" applyFont="1" applyFill="1" applyBorder="1"/>
    <xf numFmtId="0" fontId="3" fillId="39" borderId="91" xfId="0" applyFont="1" applyFill="1" applyBorder="1"/>
    <xf numFmtId="0" fontId="3" fillId="39" borderId="46" xfId="0" applyFont="1" applyFill="1" applyBorder="1"/>
    <xf numFmtId="0" fontId="3" fillId="39" borderId="61" xfId="0" applyFont="1" applyFill="1" applyBorder="1"/>
    <xf numFmtId="0" fontId="3" fillId="39" borderId="64" xfId="0" applyFont="1" applyFill="1" applyBorder="1"/>
    <xf numFmtId="0" fontId="3" fillId="39" borderId="210" xfId="0" applyFont="1" applyFill="1" applyBorder="1"/>
    <xf numFmtId="0" fontId="3" fillId="39" borderId="65" xfId="0" applyFont="1" applyFill="1" applyBorder="1"/>
    <xf numFmtId="0" fontId="3" fillId="39" borderId="68" xfId="0" applyFont="1" applyFill="1" applyBorder="1"/>
    <xf numFmtId="1" fontId="6" fillId="39" borderId="210" xfId="44" applyNumberFormat="1" applyFont="1" applyFill="1" applyBorder="1"/>
    <xf numFmtId="1" fontId="3" fillId="39" borderId="209" xfId="30" applyNumberFormat="1" applyFont="1" applyFill="1" applyBorder="1"/>
    <xf numFmtId="1" fontId="3" fillId="39" borderId="83" xfId="30" applyNumberFormat="1" applyFont="1" applyFill="1" applyBorder="1"/>
    <xf numFmtId="1" fontId="3" fillId="39" borderId="91" xfId="30" applyNumberFormat="1" applyFont="1" applyFill="1" applyBorder="1"/>
    <xf numFmtId="1" fontId="3" fillId="39" borderId="46" xfId="30" applyNumberFormat="1" applyFont="1" applyFill="1" applyBorder="1"/>
    <xf numFmtId="1" fontId="3" fillId="39" borderId="61" xfId="30" applyNumberFormat="1" applyFont="1" applyFill="1" applyBorder="1"/>
    <xf numFmtId="1" fontId="3" fillId="39" borderId="64" xfId="30" applyNumberFormat="1" applyFont="1" applyFill="1" applyBorder="1"/>
    <xf numFmtId="0" fontId="39" fillId="34" borderId="209" xfId="0" applyFont="1" applyFill="1" applyBorder="1" applyAlignment="1">
      <alignment horizontal="center" vertical="center" wrapText="1"/>
    </xf>
    <xf numFmtId="0" fontId="50" fillId="34" borderId="51" xfId="0" applyFont="1" applyFill="1" applyBorder="1" applyAlignment="1">
      <alignment horizontal="center" vertical="center" wrapText="1"/>
    </xf>
    <xf numFmtId="0" fontId="0" fillId="0" borderId="23" xfId="0" applyBorder="1"/>
    <xf numFmtId="0" fontId="0" fillId="0" borderId="24" xfId="0" applyBorder="1"/>
    <xf numFmtId="164" fontId="3" fillId="18" borderId="209" xfId="44" applyNumberFormat="1" applyFont="1" applyFill="1" applyBorder="1"/>
    <xf numFmtId="164" fontId="3" fillId="18" borderId="210" xfId="44" applyNumberFormat="1" applyFont="1" applyFill="1" applyBorder="1"/>
    <xf numFmtId="0" fontId="6" fillId="39" borderId="209" xfId="0" applyFont="1" applyFill="1" applyBorder="1" applyAlignment="1">
      <alignment vertical="center" wrapText="1"/>
    </xf>
    <xf numFmtId="0" fontId="6" fillId="39" borderId="83" xfId="0" applyFont="1" applyFill="1" applyBorder="1" applyAlignment="1">
      <alignment vertical="center" wrapText="1"/>
    </xf>
    <xf numFmtId="0" fontId="6" fillId="39" borderId="91" xfId="0" applyFont="1" applyFill="1" applyBorder="1" applyAlignment="1">
      <alignment vertical="center" wrapText="1"/>
    </xf>
    <xf numFmtId="0" fontId="6" fillId="39" borderId="46" xfId="0" applyFont="1" applyFill="1" applyBorder="1" applyAlignment="1">
      <alignment vertical="center" wrapText="1"/>
    </xf>
    <xf numFmtId="0" fontId="6" fillId="39" borderId="61" xfId="0" applyFont="1" applyFill="1" applyBorder="1" applyAlignment="1">
      <alignment vertical="center" wrapText="1"/>
    </xf>
    <xf numFmtId="0" fontId="6" fillId="39" borderId="64" xfId="0" applyFont="1" applyFill="1" applyBorder="1" applyAlignment="1">
      <alignment vertical="center" wrapText="1"/>
    </xf>
    <xf numFmtId="0" fontId="6" fillId="39" borderId="46" xfId="0" applyFont="1" applyFill="1" applyBorder="1" applyAlignment="1">
      <alignment vertical="center"/>
    </xf>
    <xf numFmtId="0" fontId="6" fillId="39" borderId="61" xfId="0" applyFont="1" applyFill="1" applyBorder="1" applyAlignment="1">
      <alignment vertical="center"/>
    </xf>
    <xf numFmtId="0" fontId="6" fillId="39" borderId="64" xfId="0" applyFont="1" applyFill="1" applyBorder="1" applyAlignment="1">
      <alignment vertical="center"/>
    </xf>
    <xf numFmtId="0" fontId="77" fillId="28" borderId="21" xfId="0" applyFont="1" applyFill="1" applyBorder="1" applyAlignment="1">
      <alignment vertical="center"/>
    </xf>
    <xf numFmtId="0" fontId="14" fillId="31" borderId="36" xfId="0" applyFont="1" applyFill="1" applyBorder="1" applyAlignment="1">
      <alignment vertical="center"/>
    </xf>
    <xf numFmtId="0" fontId="3" fillId="39" borderId="83" xfId="0" applyFont="1" applyFill="1" applyBorder="1" applyAlignment="1" applyProtection="1">
      <alignment horizontal="right" vertical="center" wrapText="1"/>
      <protection locked="0"/>
    </xf>
    <xf numFmtId="0" fontId="3" fillId="39" borderId="46" xfId="0" applyFont="1" applyFill="1" applyBorder="1" applyAlignment="1" applyProtection="1">
      <alignment horizontal="right" vertical="center" wrapText="1"/>
      <protection locked="0"/>
    </xf>
    <xf numFmtId="0" fontId="3" fillId="39" borderId="61" xfId="0" applyFont="1" applyFill="1" applyBorder="1" applyAlignment="1" applyProtection="1">
      <alignment horizontal="right" vertical="center" wrapText="1"/>
      <protection locked="0"/>
    </xf>
    <xf numFmtId="0" fontId="3" fillId="39" borderId="65" xfId="0" applyFont="1" applyFill="1" applyBorder="1" applyAlignment="1" applyProtection="1">
      <alignment horizontal="right" vertical="center" wrapText="1"/>
      <protection locked="0"/>
    </xf>
    <xf numFmtId="0" fontId="3" fillId="39" borderId="209" xfId="0" applyFont="1" applyFill="1" applyBorder="1" applyAlignment="1" applyProtection="1">
      <alignment horizontal="right" vertical="center" wrapText="1"/>
      <protection locked="0"/>
    </xf>
    <xf numFmtId="0" fontId="3" fillId="39" borderId="91" xfId="0" applyFont="1" applyFill="1" applyBorder="1" applyAlignment="1" applyProtection="1">
      <alignment horizontal="right" vertical="center" wrapText="1"/>
      <protection locked="0"/>
    </xf>
    <xf numFmtId="0" fontId="3" fillId="39" borderId="64" xfId="0" applyFont="1" applyFill="1" applyBorder="1" applyAlignment="1" applyProtection="1">
      <alignment horizontal="right" vertical="center" wrapText="1"/>
      <protection locked="0"/>
    </xf>
    <xf numFmtId="0" fontId="3" fillId="39" borderId="210" xfId="0" applyFont="1" applyFill="1" applyBorder="1" applyAlignment="1" applyProtection="1">
      <alignment horizontal="right" vertical="center" wrapText="1"/>
      <protection locked="0"/>
    </xf>
    <xf numFmtId="0" fontId="3" fillId="39" borderId="68" xfId="0" applyFont="1" applyFill="1" applyBorder="1" applyAlignment="1" applyProtection="1">
      <alignment horizontal="right" vertical="center" wrapText="1"/>
      <protection locked="0"/>
    </xf>
    <xf numFmtId="41" fontId="13" fillId="30" borderId="210" xfId="0" applyNumberFormat="1" applyFont="1" applyFill="1" applyBorder="1"/>
    <xf numFmtId="3" fontId="8" fillId="39" borderId="56" xfId="0" applyNumberFormat="1" applyFont="1" applyFill="1" applyBorder="1"/>
    <xf numFmtId="3" fontId="8" fillId="39" borderId="57" xfId="0" applyNumberFormat="1" applyFont="1" applyFill="1" applyBorder="1"/>
    <xf numFmtId="3" fontId="8" fillId="39" borderId="46" xfId="0" applyNumberFormat="1" applyFont="1" applyFill="1" applyBorder="1"/>
    <xf numFmtId="3" fontId="8" fillId="39" borderId="61" xfId="0" applyNumberFormat="1" applyFont="1" applyFill="1" applyBorder="1"/>
    <xf numFmtId="3" fontId="8" fillId="39" borderId="79" xfId="0" applyNumberFormat="1" applyFont="1" applyFill="1" applyBorder="1"/>
    <xf numFmtId="3" fontId="8" fillId="39" borderId="80" xfId="0" applyNumberFormat="1" applyFont="1" applyFill="1" applyBorder="1"/>
    <xf numFmtId="1" fontId="6" fillId="39" borderId="50" xfId="0" applyNumberFormat="1" applyFont="1" applyFill="1" applyBorder="1"/>
    <xf numFmtId="1" fontId="6" fillId="39" borderId="76" xfId="0" applyNumberFormat="1" applyFont="1" applyFill="1" applyBorder="1"/>
    <xf numFmtId="41" fontId="113" fillId="30" borderId="210" xfId="0" applyNumberFormat="1" applyFont="1" applyFill="1" applyBorder="1"/>
    <xf numFmtId="41" fontId="113" fillId="30" borderId="68" xfId="0" applyNumberFormat="1" applyFont="1" applyFill="1" applyBorder="1"/>
    <xf numFmtId="41" fontId="3" fillId="30" borderId="61" xfId="0" applyNumberFormat="1" applyFont="1" applyFill="1" applyBorder="1"/>
    <xf numFmtId="41" fontId="3" fillId="30" borderId="64" xfId="0" applyNumberFormat="1" applyFont="1" applyFill="1" applyBorder="1"/>
    <xf numFmtId="3" fontId="8" fillId="39" borderId="64" xfId="0" applyNumberFormat="1" applyFont="1" applyFill="1" applyBorder="1"/>
    <xf numFmtId="3" fontId="8" fillId="39" borderId="60" xfId="0" applyNumberFormat="1" applyFont="1" applyFill="1" applyBorder="1"/>
    <xf numFmtId="3" fontId="8" fillId="39" borderId="81" xfId="0" applyNumberFormat="1" applyFont="1" applyFill="1" applyBorder="1"/>
    <xf numFmtId="43" fontId="6" fillId="32" borderId="210" xfId="30" applyFont="1" applyFill="1" applyBorder="1" applyAlignment="1">
      <alignment horizontal="left" vertical="center" wrapText="1"/>
    </xf>
    <xf numFmtId="0" fontId="11" fillId="32" borderId="129" xfId="0" applyFont="1" applyFill="1" applyBorder="1" applyAlignment="1">
      <alignment vertical="center"/>
    </xf>
    <xf numFmtId="0" fontId="3" fillId="39" borderId="56" xfId="0" applyFont="1" applyFill="1" applyBorder="1" applyAlignment="1" applyProtection="1">
      <alignment horizontal="right" vertical="center" wrapText="1"/>
      <protection locked="0"/>
    </xf>
    <xf numFmtId="0" fontId="3" fillId="39" borderId="57" xfId="0" applyFont="1" applyFill="1" applyBorder="1" applyAlignment="1" applyProtection="1">
      <alignment horizontal="right" vertical="center" wrapText="1"/>
      <protection locked="0"/>
    </xf>
    <xf numFmtId="0" fontId="3" fillId="39" borderId="60" xfId="0" applyFont="1" applyFill="1" applyBorder="1" applyAlignment="1" applyProtection="1">
      <alignment horizontal="right" vertical="center" wrapText="1"/>
      <protection locked="0"/>
    </xf>
    <xf numFmtId="1" fontId="3" fillId="39" borderId="83" xfId="44" applyNumberFormat="1" applyFont="1" applyFill="1" applyBorder="1" applyProtection="1">
      <protection locked="0"/>
    </xf>
    <xf numFmtId="1" fontId="3" fillId="39" borderId="86" xfId="44" applyNumberFormat="1" applyFont="1" applyFill="1" applyBorder="1" applyProtection="1">
      <protection locked="0"/>
    </xf>
    <xf numFmtId="1" fontId="3" fillId="39" borderId="91" xfId="44" applyNumberFormat="1" applyFont="1" applyFill="1" applyBorder="1" applyProtection="1">
      <protection locked="0"/>
    </xf>
    <xf numFmtId="1" fontId="3" fillId="39" borderId="46" xfId="44" applyNumberFormat="1" applyFont="1" applyFill="1" applyBorder="1" applyProtection="1">
      <protection locked="0"/>
    </xf>
    <xf numFmtId="1" fontId="3" fillId="39" borderId="61" xfId="44" applyNumberFormat="1" applyFont="1" applyFill="1" applyBorder="1" applyProtection="1">
      <protection locked="0"/>
    </xf>
    <xf numFmtId="1" fontId="3" fillId="39" borderId="87" xfId="44" applyNumberFormat="1" applyFont="1" applyFill="1" applyBorder="1" applyProtection="1">
      <protection locked="0"/>
    </xf>
    <xf numFmtId="1" fontId="3" fillId="39" borderId="64" xfId="44" applyNumberFormat="1" applyFont="1" applyFill="1" applyBorder="1" applyProtection="1">
      <protection locked="0"/>
    </xf>
    <xf numFmtId="1" fontId="3" fillId="39" borderId="79" xfId="44" applyNumberFormat="1" applyFont="1" applyFill="1" applyBorder="1" applyProtection="1">
      <protection locked="0"/>
    </xf>
    <xf numFmtId="1" fontId="3" fillId="39" borderId="80" xfId="44" applyNumberFormat="1" applyFont="1" applyFill="1" applyBorder="1" applyProtection="1">
      <protection locked="0"/>
    </xf>
    <xf numFmtId="1" fontId="3" fillId="39" borderId="88" xfId="44" applyNumberFormat="1" applyFont="1" applyFill="1" applyBorder="1" applyProtection="1">
      <protection locked="0"/>
    </xf>
    <xf numFmtId="1" fontId="3" fillId="39" borderId="81" xfId="44" applyNumberFormat="1" applyFont="1" applyFill="1" applyBorder="1" applyProtection="1">
      <protection locked="0"/>
    </xf>
    <xf numFmtId="1" fontId="3" fillId="39" borderId="209" xfId="44" applyNumberFormat="1" applyFont="1" applyFill="1" applyBorder="1" applyProtection="1">
      <protection locked="0"/>
    </xf>
    <xf numFmtId="168" fontId="3" fillId="32" borderId="210" xfId="30" applyNumberFormat="1" applyFont="1" applyFill="1" applyBorder="1" applyAlignment="1" applyProtection="1">
      <alignment horizontal="right" vertical="center" wrapText="1"/>
      <protection locked="0"/>
    </xf>
    <xf numFmtId="0" fontId="6" fillId="37" borderId="210" xfId="0" applyFont="1" applyFill="1" applyBorder="1" applyAlignment="1">
      <alignment horizontal="center" vertical="center" wrapText="1"/>
    </xf>
    <xf numFmtId="0" fontId="3" fillId="39" borderId="220" xfId="0" applyFont="1" applyFill="1" applyBorder="1"/>
    <xf numFmtId="0" fontId="3" fillId="39" borderId="221" xfId="0" applyFont="1" applyFill="1" applyBorder="1"/>
    <xf numFmtId="0" fontId="3" fillId="39" borderId="222" xfId="0" applyFont="1" applyFill="1" applyBorder="1"/>
    <xf numFmtId="0" fontId="3" fillId="39" borderId="242" xfId="0" applyFont="1" applyFill="1" applyBorder="1"/>
    <xf numFmtId="0" fontId="3" fillId="39" borderId="244" xfId="0" applyFont="1" applyFill="1" applyBorder="1"/>
    <xf numFmtId="0" fontId="3" fillId="39" borderId="243" xfId="0" applyFont="1" applyFill="1" applyBorder="1"/>
    <xf numFmtId="0" fontId="3" fillId="39" borderId="56" xfId="0" applyFont="1" applyFill="1" applyBorder="1"/>
    <xf numFmtId="0" fontId="3" fillId="39" borderId="57" xfId="0" applyFont="1" applyFill="1" applyBorder="1"/>
    <xf numFmtId="0" fontId="3" fillId="39" borderId="60" xfId="0" applyFont="1" applyFill="1" applyBorder="1"/>
    <xf numFmtId="0" fontId="0" fillId="39" borderId="210" xfId="0" applyFill="1" applyBorder="1"/>
    <xf numFmtId="0" fontId="0" fillId="39" borderId="65" xfId="0" applyFill="1" applyBorder="1"/>
    <xf numFmtId="0" fontId="0" fillId="39" borderId="68" xfId="0" applyFill="1" applyBorder="1"/>
    <xf numFmtId="43" fontId="3" fillId="30" borderId="210" xfId="0" applyNumberFormat="1" applyFont="1" applyFill="1" applyBorder="1"/>
    <xf numFmtId="0" fontId="0" fillId="39" borderId="209" xfId="0" applyFill="1" applyBorder="1"/>
    <xf numFmtId="0" fontId="0" fillId="39" borderId="83" xfId="0" applyFill="1" applyBorder="1"/>
    <xf numFmtId="0" fontId="0" fillId="39" borderId="91" xfId="0" applyFill="1" applyBorder="1"/>
    <xf numFmtId="0" fontId="6" fillId="42" borderId="68" xfId="0" applyFont="1" applyFill="1" applyBorder="1" applyAlignment="1">
      <alignment horizontal="center" vertical="center" wrapText="1"/>
    </xf>
    <xf numFmtId="0" fontId="3" fillId="39" borderId="79" xfId="0" applyFont="1" applyFill="1" applyBorder="1" applyAlignment="1" applyProtection="1">
      <alignment horizontal="right" vertical="center" wrapText="1"/>
      <protection locked="0"/>
    </xf>
    <xf numFmtId="0" fontId="3" fillId="39" borderId="80" xfId="0" applyFont="1" applyFill="1" applyBorder="1" applyAlignment="1" applyProtection="1">
      <alignment horizontal="right" vertical="center" wrapText="1"/>
      <protection locked="0"/>
    </xf>
    <xf numFmtId="0" fontId="3" fillId="39" borderId="81" xfId="0" applyFont="1" applyFill="1" applyBorder="1" applyAlignment="1" applyProtection="1">
      <alignment horizontal="right" vertical="center" wrapText="1"/>
      <protection locked="0"/>
    </xf>
    <xf numFmtId="0" fontId="64" fillId="40" borderId="66" xfId="0" applyFont="1" applyFill="1" applyBorder="1" applyAlignment="1">
      <alignment horizontal="center" vertical="center" wrapText="1"/>
    </xf>
    <xf numFmtId="0" fontId="64" fillId="46" borderId="65" xfId="0" applyFont="1" applyFill="1" applyBorder="1" applyAlignment="1">
      <alignment horizontal="center" vertical="center" wrapText="1"/>
    </xf>
    <xf numFmtId="0" fontId="11" fillId="30" borderId="21" xfId="0" applyFont="1" applyFill="1" applyBorder="1" applyAlignment="1">
      <alignment vertical="center"/>
    </xf>
    <xf numFmtId="0" fontId="76" fillId="30" borderId="22" xfId="0" applyFont="1" applyFill="1" applyBorder="1" applyAlignment="1">
      <alignment vertical="center"/>
    </xf>
    <xf numFmtId="0" fontId="64" fillId="45" borderId="210" xfId="0" applyFont="1" applyFill="1" applyBorder="1" applyAlignment="1">
      <alignment horizontal="center" vertical="center" wrapText="1"/>
    </xf>
    <xf numFmtId="0" fontId="64" fillId="46" borderId="68" xfId="0" applyFont="1" applyFill="1" applyBorder="1" applyAlignment="1">
      <alignment horizontal="center" vertical="center" wrapText="1"/>
    </xf>
    <xf numFmtId="0" fontId="5" fillId="0" borderId="21" xfId="0" applyFont="1" applyFill="1" applyBorder="1"/>
    <xf numFmtId="0" fontId="5" fillId="0" borderId="22" xfId="0" applyFont="1" applyFill="1" applyBorder="1"/>
    <xf numFmtId="0" fontId="5" fillId="0" borderId="23" xfId="0" applyFont="1" applyFill="1" applyBorder="1"/>
    <xf numFmtId="0" fontId="5" fillId="0" borderId="251" xfId="0" applyFont="1" applyFill="1" applyBorder="1"/>
    <xf numFmtId="0" fontId="5" fillId="0" borderId="204" xfId="0" applyFont="1" applyFill="1" applyBorder="1"/>
    <xf numFmtId="0" fontId="5" fillId="0" borderId="204" xfId="0" applyFont="1" applyFill="1" applyBorder="1" applyAlignment="1">
      <alignment wrapText="1"/>
    </xf>
    <xf numFmtId="0" fontId="5" fillId="0" borderId="205" xfId="0" applyFont="1" applyFill="1" applyBorder="1" applyAlignment="1">
      <alignment wrapText="1"/>
    </xf>
    <xf numFmtId="168" fontId="3" fillId="32" borderId="52" xfId="30" applyNumberFormat="1" applyFont="1" applyFill="1" applyBorder="1"/>
    <xf numFmtId="168" fontId="3" fillId="32" borderId="53" xfId="30" applyNumberFormat="1" applyFont="1" applyFill="1" applyBorder="1"/>
    <xf numFmtId="168" fontId="3" fillId="32" borderId="54" xfId="30" applyNumberFormat="1" applyFont="1" applyFill="1" applyBorder="1"/>
    <xf numFmtId="174" fontId="3" fillId="32" borderId="52" xfId="30" applyNumberFormat="1" applyFont="1" applyFill="1" applyBorder="1"/>
    <xf numFmtId="174" fontId="3" fillId="32" borderId="53" xfId="30" applyNumberFormat="1" applyFont="1" applyFill="1" applyBorder="1"/>
    <xf numFmtId="174" fontId="3" fillId="32" borderId="54" xfId="30" applyNumberFormat="1" applyFont="1" applyFill="1" applyBorder="1"/>
    <xf numFmtId="0" fontId="6" fillId="34" borderId="258" xfId="0" applyFont="1" applyFill="1" applyBorder="1" applyAlignment="1" applyProtection="1">
      <alignment wrapText="1"/>
      <protection locked="0"/>
    </xf>
    <xf numFmtId="0" fontId="3" fillId="0" borderId="0" xfId="144"/>
    <xf numFmtId="0" fontId="15" fillId="19" borderId="0" xfId="144" applyFont="1" applyFill="1" applyBorder="1" applyAlignment="1" applyProtection="1">
      <alignment horizontal="left" vertical="center"/>
    </xf>
    <xf numFmtId="0" fontId="15" fillId="19" borderId="0" xfId="144" applyFont="1" applyFill="1" applyBorder="1" applyAlignment="1" applyProtection="1">
      <alignment vertical="center"/>
    </xf>
    <xf numFmtId="0" fontId="59" fillId="34" borderId="0" xfId="144" applyFont="1" applyFill="1" applyProtection="1"/>
    <xf numFmtId="0" fontId="3" fillId="0" borderId="0" xfId="212"/>
    <xf numFmtId="0" fontId="0" fillId="0" borderId="0" xfId="0" applyAlignment="1">
      <alignment wrapText="1"/>
    </xf>
    <xf numFmtId="0" fontId="0" fillId="0" borderId="0" xfId="0" applyAlignment="1">
      <alignment vertical="center" wrapText="1"/>
    </xf>
    <xf numFmtId="0" fontId="3" fillId="14" borderId="0" xfId="0" applyFont="1" applyFill="1" applyAlignment="1">
      <alignment vertical="center" wrapText="1"/>
    </xf>
    <xf numFmtId="0" fontId="3" fillId="34" borderId="0" xfId="0" applyFont="1" applyFill="1" applyBorder="1" applyAlignment="1" applyProtection="1">
      <alignment horizontal="right" vertical="center" wrapText="1"/>
      <protection locked="0"/>
    </xf>
    <xf numFmtId="0" fontId="0" fillId="0" borderId="0" xfId="0" applyAlignment="1">
      <alignment wrapText="1"/>
    </xf>
    <xf numFmtId="0" fontId="0" fillId="0" borderId="0" xfId="0" applyAlignment="1">
      <alignment vertical="center" wrapText="1"/>
    </xf>
    <xf numFmtId="0" fontId="6" fillId="34" borderId="51" xfId="0" applyFont="1" applyFill="1" applyBorder="1" applyAlignment="1">
      <alignment horizontal="left" vertical="center" wrapText="1"/>
    </xf>
    <xf numFmtId="0" fontId="0" fillId="0" borderId="0" xfId="0" applyAlignment="1">
      <alignment wrapText="1"/>
    </xf>
    <xf numFmtId="0" fontId="51" fillId="41" borderId="83" xfId="0" applyNumberFormat="1" applyFont="1" applyFill="1" applyBorder="1" applyAlignment="1" applyProtection="1">
      <alignment horizontal="center" vertical="center" wrapText="1"/>
    </xf>
    <xf numFmtId="0" fontId="6" fillId="41" borderId="83" xfId="0" applyFont="1" applyFill="1" applyBorder="1" applyAlignment="1">
      <alignment horizontal="center" vertical="center" wrapText="1"/>
    </xf>
    <xf numFmtId="0" fontId="6" fillId="34" borderId="51" xfId="0" applyFont="1" applyFill="1" applyBorder="1" applyAlignment="1">
      <alignment horizontal="left" vertical="center" wrapText="1" indent="1"/>
    </xf>
    <xf numFmtId="0" fontId="3" fillId="34" borderId="51" xfId="0" applyFont="1" applyFill="1" applyBorder="1" applyAlignment="1">
      <alignment horizontal="left" vertical="center" wrapText="1" indent="1"/>
    </xf>
    <xf numFmtId="0" fontId="6" fillId="30" borderId="50" xfId="0" applyFont="1" applyFill="1" applyBorder="1" applyAlignment="1">
      <alignment vertical="center" wrapText="1"/>
    </xf>
    <xf numFmtId="0" fontId="3" fillId="25" borderId="51" xfId="0" applyFont="1" applyFill="1" applyBorder="1" applyAlignment="1">
      <alignment horizontal="left" vertical="center" wrapText="1"/>
    </xf>
    <xf numFmtId="0" fontId="6" fillId="30" borderId="65" xfId="0" applyNumberFormat="1" applyFont="1" applyFill="1" applyBorder="1" applyAlignment="1">
      <alignment horizontal="right" vertical="center"/>
    </xf>
    <xf numFmtId="0" fontId="6" fillId="30" borderId="68" xfId="0" applyNumberFormat="1" applyFont="1" applyFill="1" applyBorder="1" applyAlignment="1">
      <alignment horizontal="right" vertical="center"/>
    </xf>
    <xf numFmtId="0" fontId="6" fillId="30" borderId="150" xfId="0" applyNumberFormat="1" applyFont="1" applyFill="1" applyBorder="1" applyAlignment="1">
      <alignment horizontal="right" vertical="center"/>
    </xf>
    <xf numFmtId="0" fontId="3" fillId="18" borderId="90" xfId="0" applyFont="1" applyFill="1" applyBorder="1" applyAlignment="1" applyProtection="1">
      <alignment horizontal="right" vertical="center"/>
      <protection locked="0"/>
    </xf>
    <xf numFmtId="0" fontId="3" fillId="18" borderId="63" xfId="0" applyFont="1" applyFill="1" applyBorder="1" applyAlignment="1" applyProtection="1">
      <alignment horizontal="right" vertical="center"/>
      <protection locked="0"/>
    </xf>
    <xf numFmtId="0" fontId="3" fillId="18" borderId="236" xfId="0" applyFont="1" applyFill="1" applyBorder="1" applyAlignment="1" applyProtection="1">
      <alignment horizontal="right" vertical="center"/>
      <protection locked="0"/>
    </xf>
    <xf numFmtId="0" fontId="3" fillId="18" borderId="250" xfId="0" applyFont="1" applyFill="1" applyBorder="1" applyAlignment="1" applyProtection="1">
      <alignment horizontal="right" vertical="center"/>
      <protection locked="0"/>
    </xf>
    <xf numFmtId="0" fontId="3" fillId="18" borderId="59" xfId="0" applyFont="1" applyFill="1" applyBorder="1" applyAlignment="1" applyProtection="1">
      <alignment horizontal="right" vertical="center"/>
      <protection locked="0"/>
    </xf>
    <xf numFmtId="0" fontId="3" fillId="18" borderId="67" xfId="0" applyFont="1" applyFill="1" applyBorder="1" applyAlignment="1" applyProtection="1">
      <alignment horizontal="right" vertical="center"/>
      <protection locked="0"/>
    </xf>
    <xf numFmtId="0" fontId="64" fillId="30" borderId="152" xfId="0" applyFont="1" applyFill="1" applyBorder="1" applyAlignment="1">
      <alignment vertical="center"/>
    </xf>
    <xf numFmtId="0" fontId="6" fillId="30" borderId="67" xfId="0" applyNumberFormat="1" applyFont="1" applyFill="1" applyBorder="1" applyAlignment="1">
      <alignment horizontal="right" vertical="center"/>
    </xf>
    <xf numFmtId="0" fontId="3" fillId="25" borderId="69" xfId="0" applyFont="1" applyFill="1" applyBorder="1" applyAlignment="1">
      <alignment horizontal="left" vertical="center" wrapText="1"/>
    </xf>
    <xf numFmtId="0" fontId="6" fillId="40" borderId="21" xfId="0" applyFont="1" applyFill="1" applyBorder="1" applyAlignment="1">
      <alignment horizontal="center" vertical="center" wrapText="1"/>
    </xf>
    <xf numFmtId="0" fontId="6" fillId="40" borderId="23" xfId="0" applyFont="1" applyFill="1" applyBorder="1" applyAlignment="1">
      <alignment horizontal="center" vertical="center" wrapText="1"/>
    </xf>
    <xf numFmtId="0" fontId="6" fillId="40" borderId="19" xfId="0" applyFont="1" applyFill="1" applyBorder="1" applyAlignment="1">
      <alignment horizontal="center" vertical="center" wrapText="1"/>
    </xf>
    <xf numFmtId="0" fontId="6" fillId="40" borderId="24" xfId="0" applyFont="1" applyFill="1" applyBorder="1" applyAlignment="1">
      <alignment horizontal="center" vertical="center" wrapText="1"/>
    </xf>
    <xf numFmtId="0" fontId="3" fillId="30" borderId="19" xfId="0" applyFont="1" applyFill="1" applyBorder="1" applyAlignment="1">
      <alignment wrapText="1"/>
    </xf>
    <xf numFmtId="0" fontId="3" fillId="30" borderId="24" xfId="0" applyFont="1" applyFill="1" applyBorder="1" applyAlignment="1">
      <alignment wrapText="1"/>
    </xf>
    <xf numFmtId="0" fontId="6" fillId="40" borderId="251" xfId="0" applyFont="1" applyFill="1" applyBorder="1" applyAlignment="1">
      <alignment horizontal="center" vertical="center" wrapText="1"/>
    </xf>
    <xf numFmtId="0" fontId="6" fillId="40" borderId="205" xfId="0" applyFont="1" applyFill="1" applyBorder="1" applyAlignment="1">
      <alignment horizontal="center" vertical="center" wrapText="1"/>
    </xf>
    <xf numFmtId="0" fontId="96" fillId="34" borderId="0" xfId="144" applyFont="1" applyFill="1" applyProtection="1"/>
    <xf numFmtId="0" fontId="87" fillId="34" borderId="0" xfId="144" applyFont="1" applyFill="1" applyProtection="1">
      <protection locked="0"/>
    </xf>
    <xf numFmtId="0" fontId="15" fillId="19" borderId="0" xfId="144" applyFont="1" applyFill="1" applyAlignment="1" applyProtection="1">
      <alignment vertical="center" wrapText="1"/>
    </xf>
    <xf numFmtId="0" fontId="15" fillId="0" borderId="0" xfId="144" applyFont="1" applyFill="1" applyAlignment="1" applyProtection="1">
      <alignment vertical="center"/>
    </xf>
    <xf numFmtId="0" fontId="3" fillId="34" borderId="0" xfId="144" applyFill="1" applyProtection="1"/>
    <xf numFmtId="0" fontId="82" fillId="31" borderId="0" xfId="144" applyFont="1" applyFill="1"/>
    <xf numFmtId="0" fontId="3" fillId="34" borderId="0" xfId="144" applyFill="1" applyProtection="1">
      <protection locked="0"/>
    </xf>
    <xf numFmtId="0" fontId="6" fillId="0" borderId="0" xfId="144" applyFont="1" applyAlignment="1" applyProtection="1">
      <alignment horizontal="left" wrapText="1"/>
      <protection locked="0"/>
    </xf>
    <xf numFmtId="0" fontId="6" fillId="0" borderId="0" xfId="144" applyFont="1" applyAlignment="1" applyProtection="1">
      <alignment horizontal="left" wrapText="1"/>
    </xf>
    <xf numFmtId="0" fontId="87" fillId="34" borderId="0" xfId="144" applyFont="1" applyFill="1" applyProtection="1"/>
    <xf numFmtId="0" fontId="6" fillId="14" borderId="0" xfId="144" applyFont="1" applyFill="1" applyAlignment="1" applyProtection="1">
      <alignment vertical="center" wrapText="1"/>
    </xf>
    <xf numFmtId="0" fontId="6" fillId="34" borderId="0" xfId="144" applyFont="1" applyFill="1" applyAlignment="1" applyProtection="1">
      <alignment vertical="center" wrapText="1"/>
    </xf>
    <xf numFmtId="0" fontId="6" fillId="0" borderId="0" xfId="144" applyFont="1" applyFill="1" applyAlignment="1" applyProtection="1">
      <alignment vertical="center" wrapText="1"/>
    </xf>
    <xf numFmtId="0" fontId="3" fillId="34" borderId="0" xfId="144" applyFill="1" applyAlignment="1" applyProtection="1">
      <alignment horizontal="left" vertical="top" wrapText="1"/>
      <protection locked="0"/>
    </xf>
    <xf numFmtId="0" fontId="3" fillId="34" borderId="0" xfId="144" applyFill="1" applyAlignment="1" applyProtection="1">
      <alignment horizontal="left" vertical="top" wrapText="1"/>
    </xf>
    <xf numFmtId="0" fontId="3" fillId="0" borderId="0" xfId="144" applyFill="1" applyAlignment="1" applyProtection="1">
      <alignment vertical="top" wrapText="1"/>
    </xf>
    <xf numFmtId="0" fontId="3" fillId="34" borderId="0" xfId="144" applyFill="1" applyAlignment="1" applyProtection="1">
      <alignment vertical="top" wrapText="1"/>
    </xf>
    <xf numFmtId="0" fontId="6" fillId="34" borderId="0" xfId="144" applyFont="1" applyFill="1" applyAlignment="1" applyProtection="1">
      <alignment horizontal="left" vertical="top" wrapText="1"/>
    </xf>
    <xf numFmtId="0" fontId="6" fillId="34" borderId="204" xfId="144" applyFont="1" applyFill="1" applyBorder="1" applyAlignment="1" applyProtection="1">
      <alignment horizontal="left" vertical="top" wrapText="1"/>
    </xf>
    <xf numFmtId="0" fontId="3" fillId="34" borderId="204" xfId="144" applyFill="1" applyBorder="1" applyAlignment="1" applyProtection="1">
      <alignment horizontal="left" vertical="top" wrapText="1"/>
    </xf>
    <xf numFmtId="0" fontId="96" fillId="34" borderId="0" xfId="144" applyFont="1" applyFill="1"/>
    <xf numFmtId="0" fontId="3" fillId="34" borderId="0" xfId="144" applyFill="1"/>
    <xf numFmtId="0" fontId="11" fillId="30" borderId="36" xfId="144" applyFont="1" applyFill="1" applyBorder="1" applyAlignment="1" applyProtection="1">
      <alignment horizontal="left" vertical="center"/>
    </xf>
    <xf numFmtId="0" fontId="11" fillId="30" borderId="22" xfId="144" applyFont="1" applyFill="1" applyBorder="1" applyAlignment="1" applyProtection="1">
      <alignment horizontal="left" vertical="center"/>
    </xf>
    <xf numFmtId="0" fontId="11" fillId="30" borderId="35" xfId="144" applyFont="1" applyFill="1" applyBorder="1" applyAlignment="1" applyProtection="1">
      <alignment horizontal="left" vertical="center"/>
    </xf>
    <xf numFmtId="0" fontId="11" fillId="30" borderId="34" xfId="144" applyFont="1" applyFill="1" applyBorder="1" applyAlignment="1" applyProtection="1">
      <alignment horizontal="left" vertical="center"/>
    </xf>
    <xf numFmtId="0" fontId="14" fillId="34" borderId="19" xfId="144" applyFont="1" applyFill="1" applyBorder="1" applyAlignment="1" applyProtection="1">
      <alignment vertical="center" wrapText="1"/>
      <protection locked="0"/>
    </xf>
    <xf numFmtId="0" fontId="3" fillId="0" borderId="21" xfId="144" applyBorder="1"/>
    <xf numFmtId="0" fontId="6" fillId="30" borderId="255" xfId="144" applyFont="1" applyFill="1" applyBorder="1" applyAlignment="1" applyProtection="1">
      <alignment horizontal="right" vertical="center"/>
    </xf>
    <xf numFmtId="0" fontId="6" fillId="57" borderId="70" xfId="144" applyFont="1" applyFill="1" applyBorder="1" applyAlignment="1" applyProtection="1">
      <alignment horizontal="right" vertical="center"/>
    </xf>
    <xf numFmtId="0" fontId="3" fillId="0" borderId="19" xfId="144" applyBorder="1"/>
    <xf numFmtId="0" fontId="6" fillId="57" borderId="36" xfId="144" applyFont="1" applyFill="1" applyBorder="1" applyAlignment="1" applyProtection="1">
      <alignment horizontal="right" vertical="center"/>
    </xf>
    <xf numFmtId="0" fontId="6" fillId="57" borderId="53" xfId="144" applyFont="1" applyFill="1" applyBorder="1" applyAlignment="1" applyProtection="1">
      <alignment horizontal="right" vertical="center"/>
    </xf>
    <xf numFmtId="0" fontId="6" fillId="57" borderId="54" xfId="144" applyFont="1" applyFill="1" applyBorder="1" applyAlignment="1" applyProtection="1">
      <alignment horizontal="right" vertical="center"/>
    </xf>
    <xf numFmtId="0" fontId="3" fillId="0" borderId="50" xfId="144" applyFont="1" applyFill="1" applyBorder="1" applyAlignment="1" applyProtection="1">
      <alignment horizontal="left" vertical="center" wrapText="1" indent="1"/>
    </xf>
    <xf numFmtId="167" fontId="3" fillId="0" borderId="261" xfId="144" applyNumberFormat="1" applyFont="1" applyFill="1" applyBorder="1" applyAlignment="1" applyProtection="1">
      <alignment vertical="center" wrapText="1"/>
    </xf>
    <xf numFmtId="167" fontId="3" fillId="30" borderId="262" xfId="144" applyNumberFormat="1" applyFont="1" applyFill="1" applyBorder="1" applyAlignment="1" applyProtection="1"/>
    <xf numFmtId="167" fontId="6" fillId="30" borderId="262" xfId="144" applyNumberFormat="1" applyFont="1" applyFill="1" applyBorder="1" applyAlignment="1" applyProtection="1"/>
    <xf numFmtId="167" fontId="6" fillId="30" borderId="134" xfId="144" applyNumberFormat="1" applyFont="1" applyFill="1" applyBorder="1" applyAlignment="1" applyProtection="1"/>
    <xf numFmtId="0" fontId="46" fillId="34" borderId="50" xfId="144" applyFont="1" applyFill="1" applyBorder="1" applyAlignment="1" applyProtection="1">
      <alignment vertical="center" wrapText="1"/>
    </xf>
    <xf numFmtId="0" fontId="46" fillId="34" borderId="143" xfId="144" applyFont="1" applyFill="1" applyBorder="1" applyAlignment="1" applyProtection="1">
      <alignment vertical="center" wrapText="1"/>
    </xf>
    <xf numFmtId="10" fontId="3" fillId="34" borderId="12" xfId="144" applyNumberFormat="1" applyFont="1" applyFill="1" applyBorder="1" applyAlignment="1" applyProtection="1">
      <alignment horizontal="right" vertical="center" wrapText="1"/>
    </xf>
    <xf numFmtId="10" fontId="3" fillId="34" borderId="180" xfId="144" applyNumberFormat="1" applyFont="1" applyFill="1" applyBorder="1" applyAlignment="1" applyProtection="1">
      <alignment horizontal="right" vertical="center" wrapText="1"/>
    </xf>
    <xf numFmtId="0" fontId="3" fillId="0" borderId="69" xfId="144" applyFont="1" applyFill="1" applyBorder="1" applyAlignment="1" applyProtection="1">
      <alignment horizontal="left" vertical="center" wrapText="1" indent="1"/>
    </xf>
    <xf numFmtId="167" fontId="3" fillId="0" borderId="189" xfId="144" applyNumberFormat="1" applyFont="1" applyFill="1" applyBorder="1" applyAlignment="1" applyProtection="1">
      <alignment vertical="center" wrapText="1"/>
    </xf>
    <xf numFmtId="167" fontId="3" fillId="0" borderId="182" xfId="144" applyNumberFormat="1" applyFont="1" applyFill="1" applyBorder="1" applyAlignment="1" applyProtection="1">
      <alignment vertical="center" wrapText="1"/>
    </xf>
    <xf numFmtId="167" fontId="3" fillId="0" borderId="40" xfId="144" applyNumberFormat="1" applyFont="1" applyFill="1" applyBorder="1" applyAlignment="1" applyProtection="1">
      <alignment vertical="center" wrapText="1"/>
    </xf>
    <xf numFmtId="0" fontId="46" fillId="34" borderId="69" xfId="144" applyFont="1" applyFill="1" applyBorder="1" applyAlignment="1" applyProtection="1">
      <alignment vertical="center" wrapText="1"/>
    </xf>
    <xf numFmtId="197" fontId="3" fillId="34" borderId="189" xfId="144" applyNumberFormat="1" applyFont="1" applyFill="1" applyBorder="1" applyAlignment="1" applyProtection="1">
      <alignment horizontal="right" vertical="center" wrapText="1"/>
    </xf>
    <xf numFmtId="197" fontId="3" fillId="34" borderId="181" xfId="144" applyNumberFormat="1" applyFont="1" applyFill="1" applyBorder="1" applyAlignment="1" applyProtection="1">
      <alignment horizontal="right" vertical="center" wrapText="1"/>
    </xf>
    <xf numFmtId="197" fontId="3" fillId="34" borderId="182" xfId="144" applyNumberFormat="1" applyFont="1" applyFill="1" applyBorder="1" applyAlignment="1" applyProtection="1">
      <alignment horizontal="right" vertical="center" wrapText="1"/>
    </xf>
    <xf numFmtId="197" fontId="3" fillId="34" borderId="183" xfId="144" applyNumberFormat="1" applyFont="1" applyFill="1" applyBorder="1" applyAlignment="1" applyProtection="1">
      <alignment horizontal="right" vertical="center" wrapText="1"/>
    </xf>
    <xf numFmtId="0" fontId="96" fillId="34" borderId="0" xfId="144" applyFont="1" applyFill="1" applyBorder="1" applyProtection="1"/>
    <xf numFmtId="0" fontId="87" fillId="34" borderId="0" xfId="144" applyFont="1" applyFill="1" applyBorder="1" applyProtection="1"/>
    <xf numFmtId="0" fontId="3" fillId="0" borderId="0" xfId="144" applyFont="1" applyFill="1" applyBorder="1" applyAlignment="1" applyProtection="1">
      <alignment horizontal="left" vertical="center" wrapText="1" indent="1"/>
    </xf>
    <xf numFmtId="0" fontId="3" fillId="0" borderId="22" xfId="144" applyFont="1" applyFill="1" applyBorder="1" applyAlignment="1" applyProtection="1">
      <alignment horizontal="left" vertical="center" wrapText="1" indent="1"/>
    </xf>
    <xf numFmtId="167" fontId="3" fillId="0" borderId="22" xfId="144" applyNumberFormat="1" applyFont="1" applyFill="1" applyBorder="1" applyAlignment="1" applyProtection="1">
      <alignment horizontal="right" vertical="center" wrapText="1"/>
    </xf>
    <xf numFmtId="0" fontId="3" fillId="34" borderId="0" xfId="144" applyFill="1" applyBorder="1" applyProtection="1"/>
    <xf numFmtId="182" fontId="3" fillId="34" borderId="0" xfId="144" applyNumberFormat="1" applyFill="1" applyBorder="1" applyProtection="1"/>
    <xf numFmtId="2" fontId="3" fillId="34" borderId="0" xfId="144" applyNumberFormat="1" applyFont="1" applyFill="1" applyBorder="1" applyAlignment="1" applyProtection="1">
      <alignment horizontal="right" vertical="center" wrapText="1"/>
    </xf>
    <xf numFmtId="0" fontId="96" fillId="0" borderId="0" xfId="144" applyFont="1"/>
    <xf numFmtId="0" fontId="96" fillId="34" borderId="0" xfId="144" applyFont="1" applyFill="1" applyBorder="1" applyProtection="1">
      <protection locked="0"/>
    </xf>
    <xf numFmtId="0" fontId="87" fillId="34" borderId="0" xfId="144" applyFont="1" applyFill="1" applyBorder="1" applyProtection="1">
      <protection locked="0"/>
    </xf>
    <xf numFmtId="0" fontId="77" fillId="28" borderId="0" xfId="144" applyFont="1" applyFill="1" applyBorder="1" applyAlignment="1">
      <alignment vertical="center"/>
    </xf>
    <xf numFmtId="0" fontId="77" fillId="34" borderId="0" xfId="144" applyFont="1" applyFill="1" applyBorder="1" applyProtection="1"/>
    <xf numFmtId="0" fontId="3" fillId="34" borderId="0" xfId="144" applyFill="1" applyAlignment="1">
      <alignment horizontal="left" vertical="top" wrapText="1"/>
    </xf>
    <xf numFmtId="0" fontId="101" fillId="34" borderId="0" xfId="144" applyFont="1" applyFill="1" applyBorder="1" applyProtection="1"/>
    <xf numFmtId="0" fontId="90" fillId="34" borderId="0" xfId="144" applyFont="1" applyFill="1" applyBorder="1" applyProtection="1"/>
    <xf numFmtId="0" fontId="91" fillId="32" borderId="36" xfId="144" applyFont="1" applyFill="1" applyBorder="1" applyAlignment="1" applyProtection="1">
      <alignment horizontal="left" vertical="center"/>
      <protection locked="0"/>
    </xf>
    <xf numFmtId="0" fontId="91" fillId="32" borderId="35" xfId="144" applyFont="1" applyFill="1" applyBorder="1" applyAlignment="1" applyProtection="1">
      <alignment horizontal="left" vertical="center"/>
      <protection locked="0"/>
    </xf>
    <xf numFmtId="0" fontId="65" fillId="34" borderId="21" xfId="144" applyFont="1" applyFill="1" applyBorder="1"/>
    <xf numFmtId="0" fontId="3" fillId="34" borderId="19" xfId="144" applyFill="1" applyBorder="1"/>
    <xf numFmtId="0" fontId="6" fillId="58" borderId="69" xfId="144" applyFont="1" applyFill="1" applyBorder="1" applyAlignment="1" applyProtection="1">
      <alignment horizontal="right" vertical="center"/>
    </xf>
    <xf numFmtId="0" fontId="6" fillId="58" borderId="118" xfId="144" applyFont="1" applyFill="1" applyBorder="1" applyAlignment="1" applyProtection="1">
      <alignment horizontal="right" vertical="center"/>
    </xf>
    <xf numFmtId="0" fontId="6" fillId="58" borderId="150" xfId="144" applyFont="1" applyFill="1" applyBorder="1" applyAlignment="1" applyProtection="1">
      <alignment horizontal="right" vertical="center"/>
    </xf>
    <xf numFmtId="0" fontId="6" fillId="30" borderId="69" xfId="144" applyFont="1" applyFill="1" applyBorder="1" applyAlignment="1" applyProtection="1">
      <alignment horizontal="right" vertical="center"/>
    </xf>
    <xf numFmtId="0" fontId="6" fillId="30" borderId="118" xfId="144" applyFont="1" applyFill="1" applyBorder="1" applyAlignment="1" applyProtection="1">
      <alignment horizontal="right" vertical="center"/>
    </xf>
    <xf numFmtId="0" fontId="6" fillId="37" borderId="52" xfId="144" applyFont="1" applyFill="1" applyBorder="1" applyAlignment="1" applyProtection="1">
      <alignment horizontal="right" vertical="center"/>
    </xf>
    <xf numFmtId="0" fontId="6" fillId="37" borderId="53" xfId="144" applyFont="1" applyFill="1" applyBorder="1" applyAlignment="1" applyProtection="1">
      <alignment horizontal="right" vertical="center"/>
    </xf>
    <xf numFmtId="0" fontId="6" fillId="37" borderId="54" xfId="144" applyFont="1" applyFill="1" applyBorder="1" applyAlignment="1" applyProtection="1">
      <alignment horizontal="right" vertical="center"/>
    </xf>
    <xf numFmtId="0" fontId="6" fillId="30" borderId="36" xfId="144" applyFont="1" applyFill="1" applyBorder="1" applyAlignment="1" applyProtection="1">
      <alignment horizontal="right" vertical="center"/>
      <protection locked="0"/>
    </xf>
    <xf numFmtId="0" fontId="6" fillId="30" borderId="35" xfId="144" applyFont="1" applyFill="1" applyBorder="1" applyAlignment="1" applyProtection="1">
      <alignment horizontal="right" vertical="center"/>
      <protection locked="0"/>
    </xf>
    <xf numFmtId="0" fontId="6" fillId="58" borderId="52" xfId="144" applyFont="1" applyFill="1" applyBorder="1" applyAlignment="1" applyProtection="1">
      <alignment horizontal="right" vertical="center"/>
    </xf>
    <xf numFmtId="0" fontId="6" fillId="58" borderId="53" xfId="144" applyFont="1" applyFill="1" applyBorder="1" applyAlignment="1" applyProtection="1">
      <alignment horizontal="right" vertical="center"/>
    </xf>
    <xf numFmtId="0" fontId="6" fillId="58" borderId="54" xfId="144" applyFont="1" applyFill="1" applyBorder="1" applyAlignment="1" applyProtection="1">
      <alignment horizontal="right" vertical="center"/>
    </xf>
    <xf numFmtId="0" fontId="3" fillId="0" borderId="50" xfId="144" applyFont="1" applyBorder="1" applyAlignment="1" applyProtection="1">
      <alignment horizontal="left" vertical="center" wrapText="1" indent="1"/>
    </xf>
    <xf numFmtId="167" fontId="6" fillId="25" borderId="209" xfId="144" applyNumberFormat="1" applyFont="1" applyFill="1" applyBorder="1" applyAlignment="1" applyProtection="1">
      <alignment vertical="center" wrapText="1"/>
      <protection locked="0"/>
    </xf>
    <xf numFmtId="167" fontId="6" fillId="25" borderId="83" xfId="144" applyNumberFormat="1" applyFont="1" applyFill="1" applyBorder="1" applyAlignment="1" applyProtection="1">
      <alignment vertical="center" wrapText="1"/>
      <protection locked="0"/>
    </xf>
    <xf numFmtId="167" fontId="6" fillId="25" borderId="91" xfId="144" applyNumberFormat="1" applyFont="1" applyFill="1" applyBorder="1" applyAlignment="1" applyProtection="1">
      <alignment vertical="center" wrapText="1"/>
      <protection locked="0"/>
    </xf>
    <xf numFmtId="167" fontId="3" fillId="34" borderId="209" xfId="144" applyNumberFormat="1" applyFont="1" applyFill="1" applyBorder="1" applyAlignment="1">
      <alignment horizontal="right" vertical="center" wrapText="1"/>
    </xf>
    <xf numFmtId="167" fontId="3" fillId="34" borderId="83" xfId="144" applyNumberFormat="1" applyFont="1" applyFill="1" applyBorder="1" applyAlignment="1">
      <alignment horizontal="right" vertical="center" wrapText="1"/>
    </xf>
    <xf numFmtId="167" fontId="3" fillId="34" borderId="91" xfId="144" applyNumberFormat="1" applyFont="1" applyFill="1" applyBorder="1" applyAlignment="1">
      <alignment horizontal="right" vertical="center" wrapText="1"/>
    </xf>
    <xf numFmtId="173" fontId="3" fillId="30" borderId="0" xfId="144" applyNumberFormat="1" applyFont="1" applyFill="1" applyBorder="1" applyAlignment="1" applyProtection="1">
      <alignment horizontal="left"/>
    </xf>
    <xf numFmtId="173" fontId="3" fillId="30" borderId="24" xfId="144" applyNumberFormat="1" applyFont="1" applyFill="1" applyBorder="1" applyAlignment="1" applyProtection="1">
      <alignment horizontal="left"/>
    </xf>
    <xf numFmtId="0" fontId="3" fillId="0" borderId="0" xfId="144" applyFill="1" applyProtection="1"/>
    <xf numFmtId="0" fontId="80" fillId="30" borderId="51" xfId="144" applyFont="1" applyFill="1" applyBorder="1" applyAlignment="1" applyProtection="1">
      <alignment horizontal="left" vertical="center" wrapText="1" indent="1"/>
    </xf>
    <xf numFmtId="0" fontId="6" fillId="30" borderId="46" xfId="144" applyFont="1" applyFill="1" applyBorder="1" applyAlignment="1" applyProtection="1">
      <alignment vertical="center"/>
    </xf>
    <xf numFmtId="0" fontId="6" fillId="30" borderId="61" xfId="144" applyFont="1" applyFill="1" applyBorder="1" applyAlignment="1" applyProtection="1">
      <alignment vertical="center"/>
    </xf>
    <xf numFmtId="0" fontId="6" fillId="30" borderId="64" xfId="144" applyFont="1" applyFill="1" applyBorder="1" applyAlignment="1" applyProtection="1">
      <alignment vertical="center"/>
    </xf>
    <xf numFmtId="173" fontId="6" fillId="32" borderId="46" xfId="144" applyNumberFormat="1" applyFont="1" applyFill="1" applyBorder="1" applyAlignment="1" applyProtection="1">
      <alignment horizontal="left"/>
      <protection locked="0"/>
    </xf>
    <xf numFmtId="173" fontId="6" fillId="32" borderId="61" xfId="144" applyNumberFormat="1" applyFont="1" applyFill="1" applyBorder="1" applyAlignment="1" applyProtection="1">
      <alignment horizontal="left"/>
      <protection locked="0"/>
    </xf>
    <xf numFmtId="173" fontId="6" fillId="32" borderId="64" xfId="144" applyNumberFormat="1" applyFont="1" applyFill="1" applyBorder="1" applyAlignment="1" applyProtection="1">
      <alignment horizontal="left"/>
      <protection locked="0"/>
    </xf>
    <xf numFmtId="0" fontId="3" fillId="0" borderId="51" xfId="144" applyFont="1" applyBorder="1" applyAlignment="1" applyProtection="1">
      <alignment horizontal="left" vertical="center" indent="3"/>
    </xf>
    <xf numFmtId="167" fontId="3" fillId="25" borderId="46" xfId="144" applyNumberFormat="1" applyFont="1" applyFill="1" applyBorder="1" applyAlignment="1" applyProtection="1">
      <alignment vertical="center" wrapText="1"/>
      <protection locked="0"/>
    </xf>
    <xf numFmtId="167" fontId="3" fillId="25" borderId="61" xfId="144" applyNumberFormat="1" applyFont="1" applyFill="1" applyBorder="1" applyAlignment="1" applyProtection="1">
      <alignment vertical="center" wrapText="1"/>
      <protection locked="0"/>
    </xf>
    <xf numFmtId="167" fontId="3" fillId="25" borderId="64" xfId="144" applyNumberFormat="1" applyFont="1" applyFill="1" applyBorder="1" applyAlignment="1" applyProtection="1">
      <alignment vertical="center" wrapText="1"/>
      <protection locked="0"/>
    </xf>
    <xf numFmtId="167" fontId="3" fillId="34" borderId="46" xfId="144" applyNumberFormat="1" applyFont="1" applyFill="1" applyBorder="1" applyAlignment="1">
      <alignment horizontal="right" wrapText="1"/>
    </xf>
    <xf numFmtId="167" fontId="3" fillId="34" borderId="61" xfId="144" applyNumberFormat="1" applyFont="1" applyFill="1" applyBorder="1" applyAlignment="1">
      <alignment horizontal="right" wrapText="1"/>
    </xf>
    <xf numFmtId="167" fontId="3" fillId="34" borderId="64" xfId="144" applyNumberFormat="1" applyFont="1" applyFill="1" applyBorder="1" applyAlignment="1">
      <alignment horizontal="right" wrapText="1"/>
    </xf>
    <xf numFmtId="0" fontId="3" fillId="0" borderId="0" xfId="144" applyFill="1" applyAlignment="1" applyProtection="1">
      <alignment horizontal="right"/>
    </xf>
    <xf numFmtId="0" fontId="3" fillId="0" borderId="51" xfId="144" applyFont="1" applyBorder="1" applyAlignment="1" applyProtection="1">
      <alignment horizontal="left" vertical="center" wrapText="1" indent="1"/>
    </xf>
    <xf numFmtId="0" fontId="3" fillId="0" borderId="69" xfId="144" applyFont="1" applyBorder="1" applyAlignment="1" applyProtection="1">
      <alignment horizontal="left" vertical="center" wrapText="1" indent="1"/>
    </xf>
    <xf numFmtId="167" fontId="3" fillId="25" borderId="210" xfId="144" applyNumberFormat="1" applyFont="1" applyFill="1" applyBorder="1" applyAlignment="1" applyProtection="1">
      <alignment vertical="center" wrapText="1"/>
      <protection locked="0"/>
    </xf>
    <xf numFmtId="167" fontId="3" fillId="25" borderId="65" xfId="144" applyNumberFormat="1" applyFont="1" applyFill="1" applyBorder="1" applyAlignment="1" applyProtection="1">
      <alignment vertical="center" wrapText="1"/>
      <protection locked="0"/>
    </xf>
    <xf numFmtId="167" fontId="3" fillId="25" borderId="68" xfId="144" applyNumberFormat="1" applyFont="1" applyFill="1" applyBorder="1" applyAlignment="1" applyProtection="1">
      <alignment vertical="center" wrapText="1"/>
      <protection locked="0"/>
    </xf>
    <xf numFmtId="0" fontId="3" fillId="30" borderId="251" xfId="144" applyFont="1" applyFill="1" applyBorder="1" applyAlignment="1" applyProtection="1">
      <alignment horizontal="left" vertical="center" wrapText="1" indent="1"/>
    </xf>
    <xf numFmtId="167" fontId="48" fillId="59" borderId="255" xfId="144" applyNumberFormat="1" applyFont="1" applyFill="1" applyBorder="1" applyAlignment="1" applyProtection="1">
      <alignment horizontal="right" wrapText="1"/>
    </xf>
    <xf numFmtId="167" fontId="48" fillId="59" borderId="256" xfId="144" applyNumberFormat="1" applyFont="1" applyFill="1" applyBorder="1" applyAlignment="1" applyProtection="1">
      <alignment horizontal="right" wrapText="1"/>
    </xf>
    <xf numFmtId="167" fontId="48" fillId="59" borderId="257" xfId="144" applyNumberFormat="1" applyFont="1" applyFill="1" applyBorder="1" applyAlignment="1" applyProtection="1">
      <alignment horizontal="right" wrapText="1"/>
    </xf>
    <xf numFmtId="167" fontId="48" fillId="59" borderId="52" xfId="144" applyNumberFormat="1" applyFont="1" applyFill="1" applyBorder="1" applyAlignment="1" applyProtection="1">
      <alignment horizontal="right" wrapText="1"/>
    </xf>
    <xf numFmtId="167" fontId="48" fillId="59" borderId="53" xfId="144" applyNumberFormat="1" applyFont="1" applyFill="1" applyBorder="1" applyAlignment="1" applyProtection="1">
      <alignment horizontal="right" wrapText="1"/>
    </xf>
    <xf numFmtId="167" fontId="48" fillId="59" borderId="55" xfId="144" applyNumberFormat="1" applyFont="1" applyFill="1" applyBorder="1" applyAlignment="1" applyProtection="1">
      <alignment horizontal="right" wrapText="1"/>
    </xf>
    <xf numFmtId="167" fontId="48" fillId="59" borderId="54" xfId="144" applyNumberFormat="1" applyFont="1" applyFill="1" applyBorder="1" applyAlignment="1" applyProtection="1">
      <alignment horizontal="right" wrapText="1"/>
    </xf>
    <xf numFmtId="173" fontId="3" fillId="30" borderId="204" xfId="144" applyNumberFormat="1" applyFont="1" applyFill="1" applyBorder="1" applyAlignment="1" applyProtection="1">
      <alignment horizontal="left"/>
    </xf>
    <xf numFmtId="173" fontId="3" fillId="30" borderId="205" xfId="144" applyNumberFormat="1" applyFont="1" applyFill="1" applyBorder="1" applyAlignment="1" applyProtection="1">
      <alignment horizontal="left"/>
    </xf>
    <xf numFmtId="0" fontId="80" fillId="0" borderId="35" xfId="144" applyFont="1" applyFill="1" applyBorder="1" applyAlignment="1" applyProtection="1">
      <alignment vertical="center"/>
    </xf>
    <xf numFmtId="0" fontId="80" fillId="0" borderId="0" xfId="144" applyFont="1" applyFill="1" applyBorder="1" applyAlignment="1" applyProtection="1">
      <alignment vertical="center"/>
    </xf>
    <xf numFmtId="167" fontId="92" fillId="0" borderId="0" xfId="144" applyNumberFormat="1" applyFont="1" applyBorder="1" applyProtection="1"/>
    <xf numFmtId="167" fontId="92" fillId="0" borderId="204" xfId="144" applyNumberFormat="1" applyFont="1" applyBorder="1" applyProtection="1"/>
    <xf numFmtId="0" fontId="3" fillId="0" borderId="204" xfId="144" applyBorder="1"/>
    <xf numFmtId="173" fontId="93" fillId="0" borderId="0" xfId="144" applyNumberFormat="1" applyFont="1" applyFill="1" applyBorder="1" applyAlignment="1" applyProtection="1">
      <alignment horizontal="left"/>
    </xf>
    <xf numFmtId="173" fontId="93" fillId="0" borderId="24" xfId="144" applyNumberFormat="1" applyFont="1" applyFill="1" applyBorder="1" applyAlignment="1" applyProtection="1">
      <alignment horizontal="left"/>
    </xf>
    <xf numFmtId="0" fontId="91" fillId="32" borderId="34" xfId="144" applyFont="1" applyFill="1" applyBorder="1" applyAlignment="1" applyProtection="1">
      <alignment horizontal="left" vertical="center"/>
      <protection locked="0"/>
    </xf>
    <xf numFmtId="0" fontId="3" fillId="0" borderId="100" xfId="144" applyBorder="1"/>
    <xf numFmtId="0" fontId="91" fillId="34" borderId="0" xfId="144" applyFont="1" applyFill="1" applyBorder="1" applyAlignment="1" applyProtection="1">
      <alignment horizontal="left" vertical="center"/>
      <protection locked="0"/>
    </xf>
    <xf numFmtId="173" fontId="3" fillId="14" borderId="21" xfId="144" applyNumberFormat="1" applyFont="1" applyFill="1" applyBorder="1" applyAlignment="1" applyProtection="1">
      <alignment horizontal="left"/>
      <protection locked="0"/>
    </xf>
    <xf numFmtId="173" fontId="3" fillId="14" borderId="22" xfId="144" applyNumberFormat="1" applyFont="1" applyFill="1" applyBorder="1" applyAlignment="1" applyProtection="1">
      <alignment horizontal="left"/>
      <protection locked="0"/>
    </xf>
    <xf numFmtId="173" fontId="3" fillId="14" borderId="23" xfId="144" applyNumberFormat="1" applyFont="1" applyFill="1" applyBorder="1" applyAlignment="1" applyProtection="1">
      <alignment horizontal="left"/>
      <protection locked="0"/>
    </xf>
    <xf numFmtId="0" fontId="59" fillId="34" borderId="0" xfId="144" applyFont="1" applyFill="1" applyBorder="1" applyAlignment="1" applyProtection="1">
      <alignment horizontal="right"/>
      <protection locked="0"/>
    </xf>
    <xf numFmtId="173" fontId="3" fillId="14" borderId="19" xfId="144" applyNumberFormat="1" applyFont="1" applyFill="1" applyBorder="1" applyAlignment="1" applyProtection="1">
      <alignment horizontal="left"/>
      <protection locked="0"/>
    </xf>
    <xf numFmtId="173" fontId="3" fillId="14" borderId="0" xfId="144" applyNumberFormat="1" applyFont="1" applyFill="1" applyBorder="1" applyAlignment="1" applyProtection="1">
      <alignment horizontal="left"/>
      <protection locked="0"/>
    </xf>
    <xf numFmtId="173" fontId="3" fillId="14" borderId="24" xfId="144" applyNumberFormat="1" applyFont="1" applyFill="1" applyBorder="1" applyAlignment="1" applyProtection="1">
      <alignment horizontal="left"/>
      <protection locked="0"/>
    </xf>
    <xf numFmtId="167" fontId="6" fillId="25" borderId="86" xfId="144" applyNumberFormat="1" applyFont="1" applyFill="1" applyBorder="1" applyAlignment="1" applyProtection="1">
      <alignment vertical="center" wrapText="1"/>
      <protection locked="0"/>
    </xf>
    <xf numFmtId="2" fontId="6" fillId="30" borderId="73" xfId="144" applyNumberFormat="1" applyFont="1" applyFill="1" applyBorder="1" applyAlignment="1" applyProtection="1"/>
    <xf numFmtId="175" fontId="3" fillId="34" borderId="209" xfId="144" applyNumberFormat="1" applyFont="1" applyFill="1" applyBorder="1" applyAlignment="1" applyProtection="1">
      <alignment horizontal="right" vertical="center"/>
    </xf>
    <xf numFmtId="175" fontId="3" fillId="34" borderId="83" xfId="144" applyNumberFormat="1" applyFont="1" applyFill="1" applyBorder="1" applyAlignment="1" applyProtection="1">
      <alignment horizontal="right" vertical="center"/>
    </xf>
    <xf numFmtId="175" fontId="3" fillId="34" borderId="86" xfId="144" applyNumberFormat="1" applyFont="1" applyFill="1" applyBorder="1" applyAlignment="1" applyProtection="1">
      <alignment horizontal="right" vertical="center"/>
    </xf>
    <xf numFmtId="168" fontId="6" fillId="30" borderId="73" xfId="144" applyNumberFormat="1" applyFont="1" applyFill="1" applyBorder="1" applyAlignment="1" applyProtection="1">
      <alignment horizontal="left"/>
      <protection locked="0"/>
    </xf>
    <xf numFmtId="173" fontId="3" fillId="14" borderId="0" xfId="144" applyNumberFormat="1" applyFont="1" applyFill="1" applyBorder="1" applyAlignment="1" applyProtection="1">
      <alignment horizontal="left"/>
    </xf>
    <xf numFmtId="173" fontId="3" fillId="14" borderId="24" xfId="144" applyNumberFormat="1" applyFont="1" applyFill="1" applyBorder="1" applyAlignment="1" applyProtection="1">
      <alignment horizontal="left"/>
    </xf>
    <xf numFmtId="0" fontId="80" fillId="32" borderId="51" xfId="144" applyFont="1" applyFill="1" applyBorder="1" applyAlignment="1" applyProtection="1">
      <alignment horizontal="left" vertical="center" wrapText="1" indent="1"/>
    </xf>
    <xf numFmtId="167" fontId="6" fillId="30" borderId="46" xfId="144" applyNumberFormat="1" applyFont="1" applyFill="1" applyBorder="1" applyAlignment="1" applyProtection="1"/>
    <xf numFmtId="167" fontId="6" fillId="30" borderId="61" xfId="144" applyNumberFormat="1" applyFont="1" applyFill="1" applyBorder="1" applyAlignment="1" applyProtection="1"/>
    <xf numFmtId="167" fontId="6" fillId="30" borderId="87" xfId="144" applyNumberFormat="1" applyFont="1" applyFill="1" applyBorder="1" applyAlignment="1" applyProtection="1"/>
    <xf numFmtId="2" fontId="6" fillId="30" borderId="74" xfId="144" applyNumberFormat="1" applyFont="1" applyFill="1" applyBorder="1" applyAlignment="1" applyProtection="1"/>
    <xf numFmtId="173" fontId="6" fillId="30" borderId="46" xfId="144" applyNumberFormat="1" applyFont="1" applyFill="1" applyBorder="1" applyAlignment="1" applyProtection="1">
      <alignment horizontal="left"/>
    </xf>
    <xf numFmtId="173" fontId="6" fillId="30" borderId="61" xfId="144" applyNumberFormat="1" applyFont="1" applyFill="1" applyBorder="1" applyAlignment="1" applyProtection="1">
      <alignment horizontal="left"/>
    </xf>
    <xf numFmtId="173" fontId="6" fillId="30" borderId="87" xfId="144" applyNumberFormat="1" applyFont="1" applyFill="1" applyBorder="1" applyAlignment="1" applyProtection="1">
      <alignment horizontal="left"/>
    </xf>
    <xf numFmtId="183" fontId="6" fillId="30" borderId="74" xfId="144" applyNumberFormat="1" applyFont="1" applyFill="1" applyBorder="1" applyAlignment="1" applyProtection="1">
      <alignment horizontal="right"/>
      <protection locked="0"/>
    </xf>
    <xf numFmtId="167" fontId="3" fillId="25" borderId="87" xfId="144" applyNumberFormat="1" applyFont="1" applyFill="1" applyBorder="1" applyAlignment="1" applyProtection="1">
      <alignment vertical="center" wrapText="1"/>
      <protection locked="0"/>
    </xf>
    <xf numFmtId="175" fontId="3" fillId="34" borderId="46" xfId="144" applyNumberFormat="1" applyFont="1" applyFill="1" applyBorder="1" applyAlignment="1" applyProtection="1">
      <alignment horizontal="right" vertical="center"/>
    </xf>
    <xf numFmtId="175" fontId="3" fillId="34" borderId="61" xfId="144" applyNumberFormat="1" applyFont="1" applyFill="1" applyBorder="1" applyAlignment="1" applyProtection="1">
      <alignment horizontal="right" vertical="center"/>
    </xf>
    <xf numFmtId="175" fontId="3" fillId="34" borderId="87" xfId="144" applyNumberFormat="1" applyFont="1" applyFill="1" applyBorder="1" applyAlignment="1" applyProtection="1">
      <alignment horizontal="right" vertical="center"/>
    </xf>
    <xf numFmtId="4" fontId="6" fillId="30" borderId="74" xfId="144" applyNumberFormat="1" applyFont="1" applyFill="1" applyBorder="1" applyAlignment="1" applyProtection="1">
      <alignment horizontal="right"/>
      <protection locked="0"/>
    </xf>
    <xf numFmtId="0" fontId="93" fillId="0" borderId="0" xfId="144" applyFont="1" applyFill="1" applyProtection="1"/>
    <xf numFmtId="0" fontId="3" fillId="0" borderId="0" xfId="144" applyFill="1" applyBorder="1" applyProtection="1"/>
    <xf numFmtId="0" fontId="59" fillId="30" borderId="74" xfId="144" applyFont="1" applyFill="1" applyBorder="1"/>
    <xf numFmtId="167" fontId="3" fillId="25" borderId="79" xfId="144" applyNumberFormat="1" applyFont="1" applyFill="1" applyBorder="1" applyAlignment="1" applyProtection="1">
      <alignment vertical="center" wrapText="1"/>
      <protection locked="0"/>
    </xf>
    <xf numFmtId="167" fontId="3" fillId="25" borderId="80" xfId="144" applyNumberFormat="1" applyFont="1" applyFill="1" applyBorder="1" applyAlignment="1" applyProtection="1">
      <alignment vertical="center" wrapText="1"/>
      <protection locked="0"/>
    </xf>
    <xf numFmtId="167" fontId="3" fillId="25" borderId="88" xfId="144" applyNumberFormat="1" applyFont="1" applyFill="1" applyBorder="1" applyAlignment="1" applyProtection="1">
      <alignment vertical="center" wrapText="1"/>
      <protection locked="0"/>
    </xf>
    <xf numFmtId="175" fontId="3" fillId="34" borderId="79" xfId="144" applyNumberFormat="1" applyFont="1" applyFill="1" applyBorder="1" applyAlignment="1" applyProtection="1">
      <alignment horizontal="right" vertical="center"/>
    </xf>
    <xf numFmtId="175" fontId="3" fillId="34" borderId="80" xfId="144" applyNumberFormat="1" applyFont="1" applyFill="1" applyBorder="1" applyAlignment="1" applyProtection="1">
      <alignment horizontal="right" vertical="center"/>
    </xf>
    <xf numFmtId="175" fontId="3" fillId="34" borderId="88" xfId="144" applyNumberFormat="1" applyFont="1" applyFill="1" applyBorder="1" applyAlignment="1" applyProtection="1">
      <alignment horizontal="right" vertical="center"/>
    </xf>
    <xf numFmtId="167" fontId="3" fillId="25" borderId="89" xfId="144" applyNumberFormat="1" applyFont="1" applyFill="1" applyBorder="1" applyAlignment="1" applyProtection="1">
      <alignment vertical="center" wrapText="1"/>
      <protection locked="0"/>
    </xf>
    <xf numFmtId="167" fontId="48" fillId="59" borderId="254" xfId="144" applyNumberFormat="1" applyFont="1" applyFill="1" applyBorder="1" applyAlignment="1" applyProtection="1">
      <alignment vertical="center"/>
    </xf>
    <xf numFmtId="167" fontId="48" fillId="59" borderId="259" xfId="144" applyNumberFormat="1" applyFont="1" applyFill="1" applyBorder="1" applyAlignment="1" applyProtection="1">
      <alignment vertical="center"/>
    </xf>
    <xf numFmtId="167" fontId="48" fillId="59" borderId="92" xfId="144" applyNumberFormat="1" applyFont="1" applyFill="1" applyBorder="1" applyAlignment="1" applyProtection="1">
      <alignment horizontal="right" wrapText="1"/>
    </xf>
    <xf numFmtId="167" fontId="48" fillId="59" borderId="204" xfId="144" applyNumberFormat="1" applyFont="1" applyFill="1" applyBorder="1" applyAlignment="1" applyProtection="1">
      <alignment vertical="center"/>
    </xf>
    <xf numFmtId="0" fontId="48" fillId="59" borderId="92" xfId="144" applyFont="1" applyFill="1" applyBorder="1" applyAlignment="1" applyProtection="1">
      <alignment vertical="center"/>
    </xf>
    <xf numFmtId="167" fontId="48" fillId="59" borderId="52" xfId="144" applyNumberFormat="1" applyFont="1" applyFill="1" applyBorder="1" applyAlignment="1" applyProtection="1">
      <alignment vertical="center"/>
    </xf>
    <xf numFmtId="167" fontId="48" fillId="59" borderId="53" xfId="144" applyNumberFormat="1" applyFont="1" applyFill="1" applyBorder="1" applyAlignment="1" applyProtection="1">
      <alignment vertical="center"/>
    </xf>
    <xf numFmtId="167" fontId="48" fillId="59" borderId="131" xfId="144" applyNumberFormat="1" applyFont="1" applyFill="1" applyBorder="1" applyAlignment="1" applyProtection="1">
      <alignment vertical="center"/>
    </xf>
    <xf numFmtId="167" fontId="48" fillId="59" borderId="45" xfId="144" applyNumberFormat="1" applyFont="1" applyFill="1" applyBorder="1" applyAlignment="1" applyProtection="1">
      <alignment vertical="center"/>
    </xf>
    <xf numFmtId="173" fontId="3" fillId="14" borderId="204" xfId="144" applyNumberFormat="1" applyFont="1" applyFill="1" applyBorder="1" applyAlignment="1" applyProtection="1">
      <alignment horizontal="left"/>
    </xf>
    <xf numFmtId="173" fontId="3" fillId="14" borderId="205" xfId="144" applyNumberFormat="1" applyFont="1" applyFill="1" applyBorder="1" applyAlignment="1" applyProtection="1">
      <alignment horizontal="left"/>
    </xf>
    <xf numFmtId="0" fontId="59" fillId="34" borderId="22" xfId="144" applyFont="1" applyFill="1" applyBorder="1" applyProtection="1"/>
    <xf numFmtId="0" fontId="59" fillId="0" borderId="35" xfId="144" applyFont="1" applyFill="1" applyBorder="1" applyProtection="1"/>
    <xf numFmtId="0" fontId="59" fillId="34" borderId="35" xfId="144" applyFont="1" applyFill="1" applyBorder="1" applyProtection="1"/>
    <xf numFmtId="0" fontId="59" fillId="34" borderId="0" xfId="144" applyFont="1" applyFill="1" applyBorder="1" applyProtection="1"/>
    <xf numFmtId="0" fontId="59" fillId="34" borderId="0" xfId="144" applyFont="1" applyFill="1"/>
    <xf numFmtId="0" fontId="59" fillId="34" borderId="0" xfId="144" applyFont="1" applyFill="1" applyBorder="1" applyProtection="1">
      <protection locked="0"/>
    </xf>
    <xf numFmtId="0" fontId="14" fillId="30" borderId="36" xfId="144" applyFont="1" applyFill="1" applyBorder="1" applyAlignment="1" applyProtection="1">
      <alignment horizontal="left" vertical="center"/>
    </xf>
    <xf numFmtId="0" fontId="6" fillId="30" borderId="35" xfId="144" applyFont="1" applyFill="1" applyBorder="1" applyAlignment="1" applyProtection="1">
      <alignment horizontal="left" vertical="center"/>
    </xf>
    <xf numFmtId="0" fontId="6" fillId="30" borderId="22" xfId="144" applyFont="1" applyFill="1" applyBorder="1" applyAlignment="1" applyProtection="1">
      <alignment horizontal="left" vertical="center"/>
    </xf>
    <xf numFmtId="0" fontId="6" fillId="30" borderId="23" xfId="144" applyFont="1" applyFill="1" applyBorder="1" applyAlignment="1" applyProtection="1">
      <alignment horizontal="left" vertical="center"/>
    </xf>
    <xf numFmtId="0" fontId="6" fillId="32" borderId="251" xfId="144" applyFont="1" applyFill="1" applyBorder="1" applyAlignment="1" applyProtection="1">
      <alignment horizontal="left"/>
    </xf>
    <xf numFmtId="0" fontId="6" fillId="32" borderId="204" xfId="144" applyFont="1" applyFill="1" applyBorder="1" applyAlignment="1" applyProtection="1">
      <alignment horizontal="left"/>
    </xf>
    <xf numFmtId="175" fontId="3" fillId="34" borderId="52" xfId="144" applyNumberFormat="1" applyFont="1" applyFill="1" applyBorder="1" applyAlignment="1" applyProtection="1">
      <alignment horizontal="right" vertical="center"/>
    </xf>
    <xf numFmtId="175" fontId="3" fillId="34" borderId="53" xfId="144" applyNumberFormat="1" applyFont="1" applyFill="1" applyBorder="1" applyAlignment="1" applyProtection="1">
      <alignment horizontal="right" vertical="center"/>
    </xf>
    <xf numFmtId="175" fontId="3" fillId="34" borderId="70" xfId="144" applyNumberFormat="1" applyFont="1" applyFill="1" applyBorder="1" applyAlignment="1" applyProtection="1">
      <alignment horizontal="right" vertical="center"/>
    </xf>
    <xf numFmtId="173" fontId="3" fillId="32" borderId="14" xfId="144" applyNumberFormat="1" applyFont="1" applyFill="1" applyBorder="1" applyAlignment="1" applyProtection="1">
      <alignment horizontal="left"/>
    </xf>
    <xf numFmtId="173" fontId="3" fillId="32" borderId="15" xfId="144" applyNumberFormat="1" applyFont="1" applyFill="1" applyBorder="1" applyAlignment="1" applyProtection="1">
      <alignment horizontal="left"/>
    </xf>
    <xf numFmtId="173" fontId="3" fillId="32" borderId="16" xfId="144" applyNumberFormat="1" applyFont="1" applyFill="1" applyBorder="1" applyAlignment="1" applyProtection="1">
      <alignment horizontal="left"/>
    </xf>
    <xf numFmtId="0" fontId="6" fillId="0" borderId="0" xfId="144" applyFont="1" applyFill="1" applyBorder="1" applyAlignment="1" applyProtection="1">
      <alignment horizontal="left"/>
    </xf>
    <xf numFmtId="0" fontId="6" fillId="0" borderId="0" xfId="144" quotePrefix="1" applyFont="1" applyFill="1" applyBorder="1" applyAlignment="1" applyProtection="1">
      <alignment horizontal="left"/>
    </xf>
    <xf numFmtId="0" fontId="59" fillId="34" borderId="0" xfId="144" applyFont="1" applyFill="1" applyAlignment="1" applyProtection="1">
      <alignment horizontal="right"/>
      <protection locked="0"/>
    </xf>
    <xf numFmtId="0" fontId="14" fillId="30" borderId="21" xfId="144" applyFont="1" applyFill="1" applyBorder="1" applyAlignment="1" applyProtection="1">
      <alignment horizontal="left" vertical="center"/>
    </xf>
    <xf numFmtId="0" fontId="14" fillId="30" borderId="134" xfId="144" applyFont="1" applyFill="1" applyBorder="1" applyAlignment="1" applyProtection="1">
      <alignment horizontal="left" vertical="center"/>
    </xf>
    <xf numFmtId="0" fontId="3" fillId="0" borderId="0" xfId="144" applyFill="1" applyProtection="1">
      <protection locked="0"/>
    </xf>
    <xf numFmtId="0" fontId="3" fillId="30" borderId="73" xfId="144" applyFont="1" applyFill="1" applyBorder="1" applyAlignment="1" applyProtection="1">
      <alignment horizontal="right" indent="2"/>
    </xf>
    <xf numFmtId="175" fontId="3" fillId="34" borderId="35" xfId="144" applyNumberFormat="1" applyFont="1" applyFill="1" applyBorder="1" applyAlignment="1" applyProtection="1">
      <alignment horizontal="right" vertical="center"/>
    </xf>
    <xf numFmtId="175" fontId="3" fillId="34" borderId="75" xfId="144" applyNumberFormat="1" applyFont="1" applyFill="1" applyBorder="1" applyAlignment="1" applyProtection="1">
      <alignment horizontal="right" vertical="center"/>
    </xf>
    <xf numFmtId="175" fontId="3" fillId="34" borderId="114" xfId="144" applyNumberFormat="1" applyFont="1" applyFill="1" applyBorder="1" applyAlignment="1" applyProtection="1">
      <alignment horizontal="right" vertical="center"/>
    </xf>
    <xf numFmtId="175" fontId="3" fillId="14" borderId="22" xfId="144" applyNumberFormat="1" applyFont="1" applyFill="1" applyBorder="1" applyAlignment="1" applyProtection="1">
      <alignment horizontal="right" vertical="center"/>
    </xf>
    <xf numFmtId="175" fontId="3" fillId="14" borderId="23" xfId="144" applyNumberFormat="1" applyFont="1" applyFill="1" applyBorder="1" applyAlignment="1" applyProtection="1">
      <alignment horizontal="right" vertical="center"/>
    </xf>
    <xf numFmtId="175" fontId="3" fillId="14" borderId="74" xfId="144" applyNumberFormat="1" applyFont="1" applyFill="1" applyBorder="1" applyAlignment="1" applyProtection="1">
      <alignment horizontal="right"/>
    </xf>
    <xf numFmtId="0" fontId="3" fillId="30" borderId="19" xfId="144" applyFont="1" applyFill="1" applyBorder="1" applyAlignment="1" applyProtection="1">
      <alignment horizontal="right" indent="2"/>
    </xf>
    <xf numFmtId="175" fontId="3" fillId="14" borderId="0" xfId="144" applyNumberFormat="1" applyFont="1" applyFill="1" applyBorder="1" applyAlignment="1" applyProtection="1">
      <alignment horizontal="left" vertical="center"/>
    </xf>
    <xf numFmtId="175" fontId="3" fillId="34" borderId="210" xfId="144" applyNumberFormat="1" applyFont="1" applyFill="1" applyBorder="1" applyAlignment="1" applyProtection="1">
      <alignment horizontal="right" vertical="center"/>
    </xf>
    <xf numFmtId="175" fontId="3" fillId="34" borderId="77" xfId="144" applyNumberFormat="1" applyFont="1" applyFill="1" applyBorder="1" applyAlignment="1" applyProtection="1">
      <alignment horizontal="right" vertical="center"/>
    </xf>
    <xf numFmtId="175" fontId="3" fillId="34" borderId="72" xfId="144" applyNumberFormat="1" applyFont="1" applyFill="1" applyBorder="1" applyAlignment="1" applyProtection="1">
      <alignment horizontal="right" vertical="center"/>
    </xf>
    <xf numFmtId="175" fontId="3" fillId="14" borderId="0" xfId="144" applyNumberFormat="1" applyFont="1" applyFill="1" applyBorder="1" applyAlignment="1" applyProtection="1">
      <alignment horizontal="right" vertical="center"/>
    </xf>
    <xf numFmtId="175" fontId="3" fillId="14" borderId="24" xfId="144" applyNumberFormat="1" applyFont="1" applyFill="1" applyBorder="1" applyAlignment="1" applyProtection="1">
      <alignment horizontal="right" vertical="center"/>
    </xf>
    <xf numFmtId="175" fontId="3" fillId="34" borderId="69" xfId="144" applyNumberFormat="1" applyFont="1" applyFill="1" applyBorder="1" applyAlignment="1" applyProtection="1">
      <alignment horizontal="right" vertical="center"/>
    </xf>
    <xf numFmtId="175" fontId="3" fillId="14" borderId="205" xfId="144" applyNumberFormat="1" applyFont="1" applyFill="1" applyBorder="1" applyAlignment="1" applyProtection="1">
      <alignment horizontal="right" vertical="center"/>
    </xf>
    <xf numFmtId="0" fontId="59" fillId="0" borderId="0" xfId="144" applyFont="1" applyAlignment="1" applyProtection="1">
      <alignment horizontal="left"/>
    </xf>
    <xf numFmtId="0" fontId="59" fillId="0" borderId="0" xfId="144" applyFont="1" applyAlignment="1" applyProtection="1">
      <alignment horizontal="left" wrapText="1"/>
    </xf>
    <xf numFmtId="0" fontId="3" fillId="30" borderId="251" xfId="144" applyFont="1" applyFill="1" applyBorder="1" applyAlignment="1" applyProtection="1">
      <alignment horizontal="right" indent="2"/>
    </xf>
    <xf numFmtId="175" fontId="3" fillId="14" borderId="204" xfId="144" applyNumberFormat="1" applyFont="1" applyFill="1" applyBorder="1" applyAlignment="1" applyProtection="1">
      <alignment horizontal="right" vertical="center"/>
    </xf>
    <xf numFmtId="175" fontId="3" fillId="14" borderId="204" xfId="144" applyNumberFormat="1" applyFont="1" applyFill="1" applyBorder="1" applyAlignment="1" applyProtection="1">
      <alignment horizontal="left" vertical="center"/>
    </xf>
    <xf numFmtId="175" fontId="3" fillId="34" borderId="65" xfId="144" applyNumberFormat="1" applyFont="1" applyFill="1" applyBorder="1" applyAlignment="1" applyProtection="1">
      <alignment horizontal="right" vertical="center"/>
    </xf>
    <xf numFmtId="175" fontId="3" fillId="34" borderId="118" xfId="144" applyNumberFormat="1" applyFont="1" applyFill="1" applyBorder="1" applyAlignment="1" applyProtection="1">
      <alignment horizontal="right" vertical="center"/>
    </xf>
    <xf numFmtId="175" fontId="3" fillId="34" borderId="89" xfId="144" applyNumberFormat="1" applyFont="1" applyFill="1" applyBorder="1" applyAlignment="1" applyProtection="1">
      <alignment horizontal="right" vertical="center"/>
    </xf>
    <xf numFmtId="175" fontId="3" fillId="34" borderId="54" xfId="144" applyNumberFormat="1" applyFont="1" applyFill="1" applyBorder="1" applyAlignment="1" applyProtection="1">
      <alignment horizontal="right" vertical="center"/>
    </xf>
    <xf numFmtId="175" fontId="3" fillId="14" borderId="92" xfId="144" applyNumberFormat="1" applyFont="1" applyFill="1" applyBorder="1" applyAlignment="1" applyProtection="1">
      <alignment horizontal="right"/>
    </xf>
    <xf numFmtId="0" fontId="48" fillId="59" borderId="251" xfId="144" applyFont="1" applyFill="1" applyBorder="1" applyAlignment="1" applyProtection="1">
      <alignment wrapText="1"/>
    </xf>
    <xf numFmtId="0" fontId="48" fillId="59" borderId="204" xfId="144" applyFont="1" applyFill="1" applyBorder="1" applyAlignment="1" applyProtection="1">
      <alignment wrapText="1"/>
    </xf>
    <xf numFmtId="175" fontId="48" fillId="59" borderId="204" xfId="144" applyNumberFormat="1" applyFont="1" applyFill="1" applyBorder="1" applyAlignment="1" applyProtection="1">
      <alignment horizontal="right"/>
    </xf>
    <xf numFmtId="175" fontId="48" fillId="59" borderId="259" xfId="144" applyNumberFormat="1" applyFont="1" applyFill="1" applyBorder="1" applyAlignment="1" applyProtection="1">
      <alignment horizontal="right"/>
    </xf>
    <xf numFmtId="175" fontId="48" fillId="59" borderId="204" xfId="144" applyNumberFormat="1" applyFont="1" applyFill="1" applyBorder="1" applyAlignment="1" applyProtection="1">
      <alignment horizontal="right" vertical="center"/>
    </xf>
    <xf numFmtId="175" fontId="48" fillId="59" borderId="263" xfId="144" applyNumberFormat="1" applyFont="1" applyFill="1" applyBorder="1" applyAlignment="1" applyProtection="1">
      <alignment horizontal="right" vertical="center"/>
    </xf>
    <xf numFmtId="175" fontId="48" fillId="59" borderId="264" xfId="144" applyNumberFormat="1" applyFont="1" applyFill="1" applyBorder="1" applyAlignment="1" applyProtection="1">
      <alignment horizontal="right" vertical="center"/>
    </xf>
    <xf numFmtId="175" fontId="48" fillId="59" borderId="259" xfId="144" applyNumberFormat="1" applyFont="1" applyFill="1" applyBorder="1" applyAlignment="1" applyProtection="1">
      <alignment horizontal="right" vertical="center"/>
    </xf>
    <xf numFmtId="175" fontId="48" fillId="59" borderId="251" xfId="144" applyNumberFormat="1" applyFont="1" applyFill="1" applyBorder="1" applyAlignment="1" applyProtection="1">
      <alignment horizontal="right" vertical="center"/>
    </xf>
    <xf numFmtId="175" fontId="48" fillId="59" borderId="92" xfId="144" applyNumberFormat="1" applyFont="1" applyFill="1" applyBorder="1" applyAlignment="1" applyProtection="1">
      <alignment horizontal="right"/>
    </xf>
    <xf numFmtId="0" fontId="6" fillId="34" borderId="0" xfId="144" applyFont="1" applyFill="1" applyBorder="1" applyAlignment="1" applyProtection="1">
      <alignment horizontal="left" wrapText="1"/>
    </xf>
    <xf numFmtId="175" fontId="6" fillId="34" borderId="22" xfId="144" applyNumberFormat="1" applyFont="1" applyFill="1" applyBorder="1" applyAlignment="1" applyProtection="1">
      <alignment horizontal="right" vertical="center"/>
    </xf>
    <xf numFmtId="0" fontId="48" fillId="59" borderId="36" xfId="144" applyFont="1" applyFill="1" applyBorder="1" applyAlignment="1" applyProtection="1">
      <alignment vertical="center"/>
    </xf>
    <xf numFmtId="0" fontId="48" fillId="59" borderId="35" xfId="144" applyFont="1" applyFill="1" applyBorder="1" applyAlignment="1" applyProtection="1">
      <alignment vertical="center"/>
    </xf>
    <xf numFmtId="2" fontId="6" fillId="59" borderId="35" xfId="144" applyNumberFormat="1" applyFont="1" applyFill="1" applyBorder="1" applyAlignment="1" applyProtection="1">
      <alignment horizontal="right"/>
    </xf>
    <xf numFmtId="2" fontId="6" fillId="59" borderId="152" xfId="144" applyNumberFormat="1" applyFont="1" applyFill="1" applyBorder="1" applyAlignment="1" applyProtection="1">
      <alignment horizontal="right"/>
    </xf>
    <xf numFmtId="175" fontId="48" fillId="59" borderId="55" xfId="144" applyNumberFormat="1" applyFont="1" applyFill="1" applyBorder="1" applyAlignment="1" applyProtection="1">
      <alignment horizontal="right" vertical="center"/>
    </xf>
    <xf numFmtId="175" fontId="48" fillId="59" borderId="53" xfId="144" applyNumberFormat="1" applyFont="1" applyFill="1" applyBorder="1" applyAlignment="1" applyProtection="1">
      <alignment horizontal="right" vertical="center"/>
    </xf>
    <xf numFmtId="175" fontId="48" fillId="59" borderId="70" xfId="144" applyNumberFormat="1" applyFont="1" applyFill="1" applyBorder="1" applyAlignment="1" applyProtection="1">
      <alignment horizontal="right"/>
    </xf>
    <xf numFmtId="0" fontId="3" fillId="0" borderId="0" xfId="144" applyProtection="1"/>
    <xf numFmtId="0" fontId="3" fillId="0" borderId="0" xfId="144" applyFont="1" applyAlignment="1" applyProtection="1">
      <alignment horizontal="left"/>
    </xf>
    <xf numFmtId="0" fontId="94" fillId="0" borderId="0" xfId="144" applyFont="1" applyFill="1" applyAlignment="1" applyProtection="1">
      <alignment horizontal="center" wrapText="1"/>
    </xf>
    <xf numFmtId="0" fontId="95" fillId="0" borderId="0" xfId="144" applyFont="1" applyProtection="1"/>
    <xf numFmtId="0" fontId="96" fillId="34" borderId="0" xfId="144" applyFont="1" applyFill="1" applyAlignment="1" applyProtection="1">
      <alignment horizontal="left" vertical="center"/>
    </xf>
    <xf numFmtId="0" fontId="87" fillId="34" borderId="0" xfId="144" applyFont="1" applyFill="1" applyAlignment="1" applyProtection="1">
      <alignment horizontal="left" vertical="center"/>
    </xf>
    <xf numFmtId="0" fontId="77" fillId="0" borderId="0" xfId="144" applyFont="1" applyFill="1" applyBorder="1" applyAlignment="1" applyProtection="1">
      <alignment horizontal="left" vertical="center"/>
    </xf>
    <xf numFmtId="0" fontId="77" fillId="34" borderId="0" xfId="144" applyFont="1" applyFill="1" applyBorder="1" applyAlignment="1" applyProtection="1">
      <alignment horizontal="left" vertical="center"/>
    </xf>
    <xf numFmtId="0" fontId="3" fillId="34" borderId="0" xfId="144" applyFill="1" applyAlignment="1" applyProtection="1">
      <alignment horizontal="left" vertical="center"/>
    </xf>
    <xf numFmtId="0" fontId="66" fillId="59" borderId="23" xfId="144" applyFont="1" applyFill="1" applyBorder="1" applyAlignment="1" applyProtection="1">
      <alignment horizontal="right" vertical="center" wrapText="1"/>
    </xf>
    <xf numFmtId="0" fontId="3" fillId="0" borderId="0" xfId="144" applyFont="1" applyAlignment="1" applyProtection="1">
      <protection locked="0"/>
    </xf>
    <xf numFmtId="0" fontId="3" fillId="0" borderId="0" xfId="144" applyAlignment="1" applyProtection="1">
      <alignment horizontal="left"/>
      <protection locked="0"/>
    </xf>
    <xf numFmtId="0" fontId="95" fillId="0" borderId="0" xfId="144" applyFont="1" applyProtection="1">
      <protection locked="0"/>
    </xf>
    <xf numFmtId="0" fontId="3" fillId="0" borderId="0" xfId="144" applyProtection="1">
      <protection locked="0"/>
    </xf>
    <xf numFmtId="0" fontId="96" fillId="34" borderId="0" xfId="144" applyFont="1" applyFill="1" applyAlignment="1" applyProtection="1">
      <alignment vertical="center"/>
    </xf>
    <xf numFmtId="0" fontId="66" fillId="59" borderId="24" xfId="144" applyFont="1" applyFill="1" applyBorder="1" applyAlignment="1">
      <alignment horizontal="right" vertical="center" wrapText="1"/>
    </xf>
    <xf numFmtId="0" fontId="93" fillId="0" borderId="0" xfId="144" applyFont="1" applyProtection="1">
      <protection locked="0"/>
    </xf>
    <xf numFmtId="0" fontId="6" fillId="58" borderId="189" xfId="144" applyFont="1" applyFill="1" applyBorder="1" applyAlignment="1" applyProtection="1">
      <alignment horizontal="right" vertical="center"/>
    </xf>
    <xf numFmtId="0" fontId="6" fillId="58" borderId="182" xfId="144" applyFont="1" applyFill="1" applyBorder="1" applyAlignment="1" applyProtection="1">
      <alignment horizontal="right" vertical="center"/>
    </xf>
    <xf numFmtId="0" fontId="6" fillId="58" borderId="37" xfId="144" applyFont="1" applyFill="1" applyBorder="1" applyAlignment="1" applyProtection="1">
      <alignment horizontal="right" vertical="center"/>
    </xf>
    <xf numFmtId="0" fontId="6" fillId="34" borderId="143" xfId="144" applyFont="1" applyFill="1" applyBorder="1" applyAlignment="1" applyProtection="1">
      <alignment vertical="center" wrapText="1"/>
    </xf>
    <xf numFmtId="2" fontId="6" fillId="18" borderId="190" xfId="144" applyNumberFormat="1" applyFont="1" applyFill="1" applyBorder="1" applyAlignment="1" applyProtection="1">
      <alignment vertical="center" wrapText="1"/>
      <protection locked="0"/>
    </xf>
    <xf numFmtId="167" fontId="48" fillId="59" borderId="191" xfId="144" applyNumberFormat="1" applyFont="1" applyFill="1" applyBorder="1" applyAlignment="1" applyProtection="1">
      <alignment horizontal="right" vertical="center" wrapText="1"/>
    </xf>
    <xf numFmtId="0" fontId="3" fillId="0" borderId="0" xfId="144" applyAlignment="1" applyProtection="1">
      <alignment horizontal="left"/>
    </xf>
    <xf numFmtId="0" fontId="80" fillId="32" borderId="144" xfId="144" applyFont="1" applyFill="1" applyBorder="1" applyAlignment="1" applyProtection="1">
      <alignment horizontal="left" vertical="center" wrapText="1" indent="1"/>
    </xf>
    <xf numFmtId="0" fontId="3" fillId="30" borderId="192" xfId="144" applyFont="1" applyFill="1" applyBorder="1" applyAlignment="1" applyProtection="1">
      <alignment horizontal="right" vertical="center" wrapText="1"/>
    </xf>
    <xf numFmtId="167" fontId="3" fillId="30" borderId="193" xfId="144" applyNumberFormat="1" applyFont="1" applyFill="1" applyBorder="1" applyAlignment="1" applyProtection="1">
      <alignment horizontal="right" vertical="center" wrapText="1"/>
    </xf>
    <xf numFmtId="0" fontId="3" fillId="0" borderId="0" xfId="144" applyFont="1" applyAlignment="1" applyProtection="1"/>
    <xf numFmtId="0" fontId="85" fillId="0" borderId="0" xfId="144" applyFont="1" applyAlignment="1" applyProtection="1">
      <alignment horizontal="left"/>
    </xf>
    <xf numFmtId="2" fontId="3" fillId="18" borderId="144" xfId="144" applyNumberFormat="1" applyFont="1" applyFill="1" applyBorder="1" applyAlignment="1" applyProtection="1">
      <alignment horizontal="left" vertical="top" wrapText="1" indent="1"/>
      <protection locked="0"/>
    </xf>
    <xf numFmtId="2" fontId="3" fillId="25" borderId="192" xfId="144" applyNumberFormat="1" applyFont="1" applyFill="1" applyBorder="1" applyAlignment="1" applyProtection="1">
      <alignment vertical="center" wrapText="1"/>
      <protection locked="0"/>
    </xf>
    <xf numFmtId="167" fontId="48" fillId="59" borderId="193" xfId="144" applyNumberFormat="1" applyFont="1" applyFill="1" applyBorder="1" applyAlignment="1" applyProtection="1">
      <alignment horizontal="right" vertical="center" wrapText="1"/>
    </xf>
    <xf numFmtId="2" fontId="3" fillId="18" borderId="144" xfId="144" applyNumberFormat="1" applyFont="1" applyFill="1" applyBorder="1" applyAlignment="1" applyProtection="1">
      <alignment horizontal="left" vertical="center" wrapText="1" indent="2"/>
      <protection locked="0"/>
    </xf>
    <xf numFmtId="2" fontId="3" fillId="18" borderId="149" xfId="144" applyNumberFormat="1" applyFont="1" applyFill="1" applyBorder="1" applyAlignment="1" applyProtection="1">
      <alignment horizontal="left" vertical="center" wrapText="1" indent="2"/>
      <protection locked="0"/>
    </xf>
    <xf numFmtId="0" fontId="66" fillId="59" borderId="254" xfId="144" applyFont="1" applyFill="1" applyBorder="1" applyAlignment="1" applyProtection="1">
      <alignment vertical="center" wrapText="1"/>
    </xf>
    <xf numFmtId="167" fontId="66" fillId="59" borderId="194" xfId="144" applyNumberFormat="1" applyFont="1" applyFill="1" applyBorder="1" applyAlignment="1" applyProtection="1">
      <alignment horizontal="right" vertical="center" wrapText="1"/>
    </xf>
    <xf numFmtId="167" fontId="66" fillId="59" borderId="195" xfId="144" applyNumberFormat="1" applyFont="1" applyFill="1" applyBorder="1" applyAlignment="1" applyProtection="1">
      <alignment horizontal="right" vertical="center" wrapText="1"/>
    </xf>
    <xf numFmtId="0" fontId="6" fillId="30" borderId="206" xfId="144" applyFont="1" applyFill="1" applyBorder="1" applyAlignment="1" applyProtection="1">
      <alignment horizontal="right" vertical="center"/>
    </xf>
    <xf numFmtId="0" fontId="6" fillId="57" borderId="52" xfId="144" applyFont="1" applyFill="1" applyBorder="1" applyAlignment="1" applyProtection="1">
      <alignment horizontal="right" vertical="center"/>
    </xf>
    <xf numFmtId="0" fontId="6" fillId="57" borderId="34" xfId="144" applyFont="1" applyFill="1" applyBorder="1" applyAlignment="1" applyProtection="1">
      <alignment horizontal="right" vertical="center"/>
    </xf>
    <xf numFmtId="0" fontId="6" fillId="57" borderId="35" xfId="144" applyFont="1" applyFill="1" applyBorder="1" applyAlignment="1" applyProtection="1">
      <alignment horizontal="center" vertical="center"/>
      <protection locked="0"/>
    </xf>
    <xf numFmtId="0" fontId="0" fillId="0" borderId="0" xfId="0" applyAlignment="1">
      <alignment wrapText="1"/>
    </xf>
    <xf numFmtId="0" fontId="35" fillId="34" borderId="22" xfId="0" applyFont="1" applyFill="1" applyBorder="1" applyAlignment="1">
      <alignment horizontal="center" vertical="center" wrapText="1"/>
    </xf>
    <xf numFmtId="0" fontId="3" fillId="20" borderId="0" xfId="0" applyFont="1" applyFill="1" applyBorder="1"/>
    <xf numFmtId="0" fontId="3" fillId="20" borderId="19" xfId="0" applyFont="1" applyFill="1" applyBorder="1"/>
    <xf numFmtId="0" fontId="64" fillId="25" borderId="45" xfId="0" applyFont="1" applyFill="1" applyBorder="1" applyAlignment="1"/>
    <xf numFmtId="0" fontId="3" fillId="32" borderId="35" xfId="0" applyFont="1" applyFill="1" applyBorder="1"/>
    <xf numFmtId="0" fontId="0" fillId="32" borderId="34" xfId="0" applyFill="1" applyBorder="1"/>
    <xf numFmtId="0" fontId="64" fillId="25" borderId="73" xfId="0" applyFont="1" applyFill="1" applyBorder="1" applyAlignment="1"/>
    <xf numFmtId="0" fontId="64" fillId="32" borderId="45" xfId="0" applyFont="1" applyFill="1" applyBorder="1" applyAlignment="1"/>
    <xf numFmtId="0" fontId="3" fillId="0" borderId="0" xfId="275"/>
    <xf numFmtId="0" fontId="3" fillId="0" borderId="0" xfId="275" applyAlignment="1">
      <alignment vertical="center"/>
    </xf>
    <xf numFmtId="0" fontId="1" fillId="0" borderId="0" xfId="305"/>
    <xf numFmtId="49" fontId="60" fillId="74" borderId="0" xfId="275" applyNumberFormat="1" applyFont="1" applyFill="1" applyAlignment="1" applyProtection="1">
      <alignment horizontal="right"/>
    </xf>
    <xf numFmtId="14" fontId="136" fillId="74" borderId="0" xfId="275" applyNumberFormat="1" applyFont="1" applyFill="1" applyAlignment="1">
      <alignment horizontal="left"/>
    </xf>
    <xf numFmtId="0" fontId="3" fillId="74" borderId="0" xfId="212" applyFill="1"/>
    <xf numFmtId="0" fontId="3" fillId="74" borderId="0" xfId="275" applyFill="1"/>
    <xf numFmtId="0" fontId="59" fillId="74" borderId="0" xfId="275" applyFont="1" applyFill="1" applyProtection="1"/>
    <xf numFmtId="0" fontId="59" fillId="74" borderId="0" xfId="275" applyFont="1" applyFill="1" applyAlignment="1" applyProtection="1">
      <alignment horizontal="center"/>
    </xf>
    <xf numFmtId="1" fontId="59" fillId="74" borderId="0" xfId="275" applyNumberFormat="1" applyFont="1" applyFill="1" applyProtection="1"/>
    <xf numFmtId="49" fontId="84" fillId="74" borderId="0" xfId="275" applyNumberFormat="1" applyFont="1" applyFill="1" applyAlignment="1" applyProtection="1">
      <alignment horizontal="right" vertical="center"/>
    </xf>
    <xf numFmtId="0" fontId="3" fillId="74" borderId="0" xfId="275" applyFont="1" applyFill="1" applyAlignment="1">
      <alignment vertical="center"/>
    </xf>
    <xf numFmtId="0" fontId="0" fillId="74" borderId="0" xfId="306" applyFont="1" applyFill="1" applyAlignment="1">
      <alignment vertical="center"/>
    </xf>
    <xf numFmtId="0" fontId="59" fillId="34" borderId="0" xfId="275" applyFont="1" applyFill="1" applyProtection="1"/>
    <xf numFmtId="0" fontId="59" fillId="34" borderId="0" xfId="275" applyFont="1" applyFill="1" applyAlignment="1" applyProtection="1">
      <alignment horizontal="center"/>
    </xf>
    <xf numFmtId="1" fontId="59" fillId="34" borderId="0" xfId="275" applyNumberFormat="1" applyFont="1" applyFill="1" applyProtection="1"/>
    <xf numFmtId="0" fontId="89" fillId="37" borderId="23" xfId="305" applyFont="1" applyFill="1" applyBorder="1" applyAlignment="1">
      <alignment horizontal="center"/>
    </xf>
    <xf numFmtId="0" fontId="78" fillId="75" borderId="73" xfId="305" applyFont="1" applyFill="1" applyBorder="1" applyAlignment="1">
      <alignment horizontal="center"/>
    </xf>
    <xf numFmtId="49" fontId="59" fillId="34" borderId="0" xfId="275" applyNumberFormat="1" applyFont="1" applyFill="1" applyProtection="1"/>
    <xf numFmtId="0" fontId="89" fillId="37" borderId="251" xfId="307" applyFont="1" applyFill="1" applyBorder="1"/>
    <xf numFmtId="0" fontId="89" fillId="37" borderId="125" xfId="307" applyFont="1" applyFill="1" applyBorder="1"/>
    <xf numFmtId="0" fontId="89" fillId="37" borderId="205" xfId="307" applyFont="1" applyFill="1" applyBorder="1" applyAlignment="1">
      <alignment horizontal="center"/>
    </xf>
    <xf numFmtId="0" fontId="78" fillId="75" borderId="74" xfId="307" applyFont="1" applyFill="1" applyBorder="1" applyAlignment="1">
      <alignment horizontal="center"/>
    </xf>
    <xf numFmtId="0" fontId="1" fillId="74" borderId="19" xfId="305" applyFill="1" applyBorder="1"/>
    <xf numFmtId="0" fontId="1" fillId="74" borderId="0" xfId="305" applyFill="1" applyBorder="1"/>
    <xf numFmtId="0" fontId="1" fillId="74" borderId="24" xfId="305" applyFill="1" applyBorder="1"/>
    <xf numFmtId="0" fontId="60" fillId="45" borderId="259" xfId="275" applyFont="1" applyFill="1" applyBorder="1" applyAlignment="1" applyProtection="1">
      <alignment wrapText="1"/>
    </xf>
    <xf numFmtId="0" fontId="60" fillId="45" borderId="264" xfId="306" applyFont="1" applyFill="1" applyBorder="1" applyAlignment="1" applyProtection="1">
      <alignment wrapText="1"/>
    </xf>
    <xf numFmtId="49" fontId="60" fillId="45" borderId="263" xfId="275" applyNumberFormat="1" applyFont="1" applyFill="1" applyBorder="1" applyAlignment="1" applyProtection="1">
      <alignment wrapText="1"/>
    </xf>
    <xf numFmtId="0" fontId="6" fillId="47" borderId="100" xfId="212" applyFont="1" applyFill="1" applyBorder="1" applyAlignment="1">
      <alignment horizontal="center" wrapText="1"/>
    </xf>
    <xf numFmtId="0" fontId="6" fillId="47" borderId="216" xfId="212" applyFont="1" applyFill="1" applyBorder="1" applyAlignment="1">
      <alignment horizontal="center" wrapText="1"/>
    </xf>
    <xf numFmtId="1" fontId="6" fillId="47" borderId="10" xfId="212" applyNumberFormat="1" applyFont="1" applyFill="1" applyBorder="1" applyAlignment="1">
      <alignment horizontal="center" wrapText="1"/>
    </xf>
    <xf numFmtId="0" fontId="6" fillId="46" borderId="267" xfId="212" applyFont="1" applyFill="1" applyBorder="1" applyAlignment="1">
      <alignment horizontal="center" wrapText="1"/>
    </xf>
    <xf numFmtId="0" fontId="6" fillId="46" borderId="268" xfId="212" applyFont="1" applyFill="1" applyBorder="1" applyAlignment="1">
      <alignment horizontal="center" wrapText="1"/>
    </xf>
    <xf numFmtId="0" fontId="6" fillId="40" borderId="178" xfId="306" applyFont="1" applyFill="1" applyBorder="1" applyAlignment="1">
      <alignment vertical="center" wrapText="1"/>
    </xf>
    <xf numFmtId="0" fontId="6" fillId="40" borderId="269" xfId="306" applyFont="1" applyFill="1" applyBorder="1" applyAlignment="1">
      <alignment vertical="center" wrapText="1"/>
    </xf>
    <xf numFmtId="0" fontId="6" fillId="41" borderId="269" xfId="306" applyFont="1" applyFill="1" applyBorder="1" applyAlignment="1">
      <alignment vertical="center" wrapText="1"/>
    </xf>
    <xf numFmtId="0" fontId="6" fillId="41" borderId="270" xfId="306" applyFont="1" applyFill="1" applyBorder="1" applyAlignment="1">
      <alignment vertical="center" wrapText="1"/>
    </xf>
    <xf numFmtId="0" fontId="6" fillId="76" borderId="269" xfId="306" applyFont="1" applyFill="1" applyBorder="1" applyAlignment="1">
      <alignment vertical="center" wrapText="1"/>
    </xf>
    <xf numFmtId="0" fontId="6" fillId="76" borderId="270" xfId="306" applyFont="1" applyFill="1" applyBorder="1" applyAlignment="1">
      <alignment vertical="center" wrapText="1"/>
    </xf>
    <xf numFmtId="0" fontId="6" fillId="0" borderId="21" xfId="306" applyFont="1" applyBorder="1" applyAlignment="1">
      <alignment vertical="center" wrapText="1"/>
    </xf>
    <xf numFmtId="0" fontId="6" fillId="0" borderId="22" xfId="212" applyFont="1" applyBorder="1" applyAlignment="1">
      <alignment vertical="center" wrapText="1"/>
    </xf>
    <xf numFmtId="0" fontId="6" fillId="0" borderId="22" xfId="306" applyFont="1" applyBorder="1" applyAlignment="1">
      <alignment vertical="center" wrapText="1"/>
    </xf>
    <xf numFmtId="0" fontId="6" fillId="0" borderId="23" xfId="306" applyFont="1" applyBorder="1" applyAlignment="1">
      <alignment vertical="center" wrapText="1"/>
    </xf>
    <xf numFmtId="0" fontId="6" fillId="0" borderId="45" xfId="306" applyFont="1" applyBorder="1" applyAlignment="1">
      <alignment horizontal="center" vertical="center" wrapText="1"/>
    </xf>
    <xf numFmtId="0" fontId="6" fillId="0" borderId="19" xfId="306" applyFont="1" applyFill="1" applyBorder="1" applyAlignment="1">
      <alignment vertical="center" wrapText="1"/>
    </xf>
    <xf numFmtId="0" fontId="6" fillId="0" borderId="0" xfId="306" applyFont="1" applyFill="1" applyBorder="1" applyAlignment="1">
      <alignment vertical="center" wrapText="1"/>
    </xf>
    <xf numFmtId="0" fontId="6" fillId="0" borderId="24" xfId="306" applyFont="1" applyFill="1" applyBorder="1" applyAlignment="1">
      <alignment vertical="center" wrapText="1"/>
    </xf>
    <xf numFmtId="0" fontId="59" fillId="34" borderId="59" xfId="275" applyFont="1" applyFill="1" applyBorder="1" applyAlignment="1" applyProtection="1">
      <alignment vertical="top"/>
    </xf>
    <xf numFmtId="0" fontId="59" fillId="34" borderId="56" xfId="306" applyFont="1" applyFill="1" applyBorder="1" applyAlignment="1" applyProtection="1">
      <alignment vertical="top"/>
    </xf>
    <xf numFmtId="179" fontId="3" fillId="34" borderId="136" xfId="275" applyNumberFormat="1" applyFont="1" applyFill="1" applyBorder="1" applyAlignment="1" applyProtection="1">
      <alignment horizontal="left" vertical="top"/>
    </xf>
    <xf numFmtId="0" fontId="3" fillId="0" borderId="166" xfId="212" applyFont="1" applyBorder="1" applyAlignment="1">
      <alignment vertical="top"/>
    </xf>
    <xf numFmtId="0" fontId="3" fillId="0" borderId="121" xfId="275" applyFont="1" applyBorder="1" applyAlignment="1">
      <alignment vertical="top"/>
    </xf>
    <xf numFmtId="0" fontId="46" fillId="34" borderId="121" xfId="275" applyFont="1" applyFill="1" applyBorder="1" applyAlignment="1" applyProtection="1">
      <alignment vertical="top"/>
    </xf>
    <xf numFmtId="0" fontId="46" fillId="34" borderId="121" xfId="275" applyFont="1" applyFill="1" applyBorder="1" applyAlignment="1" applyProtection="1">
      <alignment horizontal="center" vertical="top"/>
    </xf>
    <xf numFmtId="0" fontId="3" fillId="0" borderId="121" xfId="275" applyBorder="1" applyAlignment="1">
      <alignment horizontal="center" vertical="top"/>
    </xf>
    <xf numFmtId="1" fontId="3" fillId="0" borderId="271" xfId="275" applyNumberFormat="1" applyBorder="1" applyAlignment="1">
      <alignment horizontal="center" vertical="top"/>
    </xf>
    <xf numFmtId="0" fontId="3" fillId="0" borderId="126" xfId="212" applyFont="1" applyBorder="1" applyAlignment="1">
      <alignment horizontal="center" vertical="top"/>
    </xf>
    <xf numFmtId="0" fontId="138" fillId="0" borderId="272" xfId="275" applyFont="1" applyBorder="1" applyAlignment="1">
      <alignment vertical="top"/>
    </xf>
    <xf numFmtId="0" fontId="1" fillId="0" borderId="166" xfId="305" applyFont="1" applyBorder="1" applyAlignment="1">
      <alignment horizontal="left" vertical="center"/>
    </xf>
    <xf numFmtId="0" fontId="3" fillId="0" borderId="121" xfId="275" applyBorder="1" applyAlignment="1">
      <alignment vertical="center"/>
    </xf>
    <xf numFmtId="0" fontId="1" fillId="0" borderId="121" xfId="305" applyFont="1" applyBorder="1" applyAlignment="1">
      <alignment vertical="center"/>
    </xf>
    <xf numFmtId="0" fontId="1" fillId="0" borderId="121" xfId="305" applyFont="1" applyBorder="1" applyAlignment="1">
      <alignment horizontal="left" vertical="center"/>
    </xf>
    <xf numFmtId="49" fontId="3" fillId="0" borderId="271" xfId="275" applyNumberFormat="1" applyBorder="1" applyAlignment="1">
      <alignment vertical="center"/>
    </xf>
    <xf numFmtId="0" fontId="3" fillId="0" borderId="166" xfId="275" applyBorder="1" applyAlignment="1">
      <alignment vertical="center"/>
    </xf>
    <xf numFmtId="49" fontId="3" fillId="0" borderId="271" xfId="275" applyNumberFormat="1" applyBorder="1"/>
    <xf numFmtId="0" fontId="3" fillId="0" borderId="273" xfId="275" applyBorder="1" applyAlignment="1">
      <alignment vertical="center"/>
    </xf>
    <xf numFmtId="0" fontId="1" fillId="30" borderId="166" xfId="307" applyFill="1" applyBorder="1"/>
    <xf numFmtId="0" fontId="1" fillId="77" borderId="121" xfId="307" applyFill="1" applyBorder="1"/>
    <xf numFmtId="0" fontId="1" fillId="30" borderId="121" xfId="307" applyFill="1" applyBorder="1"/>
    <xf numFmtId="0" fontId="1" fillId="30" borderId="273" xfId="307" applyFill="1" applyBorder="1"/>
    <xf numFmtId="0" fontId="1" fillId="34" borderId="274" xfId="307" applyFill="1" applyBorder="1"/>
    <xf numFmtId="0" fontId="1" fillId="0" borderId="166" xfId="305" applyBorder="1"/>
    <xf numFmtId="0" fontId="1" fillId="0" borderId="121" xfId="305" applyBorder="1"/>
    <xf numFmtId="0" fontId="3" fillId="0" borderId="121" xfId="305" applyFont="1" applyBorder="1"/>
    <xf numFmtId="0" fontId="1" fillId="0" borderId="273" xfId="305" applyBorder="1"/>
    <xf numFmtId="0" fontId="59" fillId="34" borderId="93" xfId="275" applyFont="1" applyFill="1" applyBorder="1" applyAlignment="1" applyProtection="1">
      <alignment vertical="top"/>
    </xf>
    <xf numFmtId="0" fontId="3" fillId="0" borderId="111" xfId="212" applyFont="1" applyBorder="1" applyAlignment="1">
      <alignment vertical="top"/>
    </xf>
    <xf numFmtId="0" fontId="3" fillId="0" borderId="43" xfId="275" applyFont="1" applyBorder="1" applyAlignment="1">
      <alignment vertical="top"/>
    </xf>
    <xf numFmtId="0" fontId="46" fillId="34" borderId="43" xfId="275" applyFont="1" applyFill="1" applyBorder="1" applyAlignment="1" applyProtection="1">
      <alignment vertical="top"/>
    </xf>
    <xf numFmtId="0" fontId="46" fillId="34" borderId="43" xfId="275" applyFont="1" applyFill="1" applyBorder="1" applyAlignment="1" applyProtection="1">
      <alignment horizontal="center" vertical="top"/>
    </xf>
    <xf numFmtId="0" fontId="3" fillId="0" borderId="43" xfId="275" applyBorder="1" applyAlignment="1">
      <alignment horizontal="center" vertical="top"/>
    </xf>
    <xf numFmtId="1" fontId="59" fillId="34" borderId="275" xfId="275" applyNumberFormat="1" applyFont="1" applyFill="1" applyBorder="1" applyAlignment="1" applyProtection="1">
      <alignment horizontal="center" vertical="top"/>
    </xf>
    <xf numFmtId="0" fontId="3" fillId="0" borderId="111" xfId="212" applyFont="1" applyBorder="1" applyAlignment="1">
      <alignment horizontal="center" vertical="top"/>
    </xf>
    <xf numFmtId="0" fontId="3" fillId="0" borderId="275" xfId="275" applyFont="1" applyBorder="1" applyAlignment="1">
      <alignment vertical="top"/>
    </xf>
    <xf numFmtId="0" fontId="1" fillId="0" borderId="111" xfId="305" applyFont="1" applyBorder="1" applyAlignment="1">
      <alignment horizontal="left" vertical="center"/>
    </xf>
    <xf numFmtId="0" fontId="3" fillId="0" borderId="43" xfId="275" applyBorder="1" applyAlignment="1">
      <alignment vertical="center"/>
    </xf>
    <xf numFmtId="0" fontId="1" fillId="0" borderId="43" xfId="305" applyFont="1" applyBorder="1" applyAlignment="1">
      <alignment vertical="center"/>
    </xf>
    <xf numFmtId="0" fontId="1" fillId="0" borderId="43" xfId="305" applyFont="1" applyBorder="1" applyAlignment="1">
      <alignment horizontal="left" vertical="center"/>
    </xf>
    <xf numFmtId="49" fontId="3" fillId="0" borderId="275" xfId="275" applyNumberFormat="1" applyBorder="1" applyAlignment="1">
      <alignment vertical="center"/>
    </xf>
    <xf numFmtId="0" fontId="3" fillId="0" borderId="111" xfId="275" applyBorder="1" applyAlignment="1">
      <alignment vertical="center"/>
    </xf>
    <xf numFmtId="49" fontId="3" fillId="0" borderId="275" xfId="275" applyNumberFormat="1" applyBorder="1"/>
    <xf numFmtId="0" fontId="3" fillId="0" borderId="276" xfId="275" applyBorder="1" applyAlignment="1">
      <alignment vertical="center"/>
    </xf>
    <xf numFmtId="0" fontId="1" fillId="0" borderId="111" xfId="305" applyBorder="1"/>
    <xf numFmtId="0" fontId="1" fillId="0" borderId="43" xfId="305" applyBorder="1"/>
    <xf numFmtId="0" fontId="1" fillId="0" borderId="276" xfId="305" applyBorder="1"/>
    <xf numFmtId="0" fontId="1" fillId="34" borderId="176" xfId="305" applyFill="1" applyBorder="1"/>
    <xf numFmtId="0" fontId="3" fillId="0" borderId="43" xfId="305" applyFont="1" applyBorder="1"/>
    <xf numFmtId="0" fontId="59" fillId="34" borderId="122" xfId="275" applyFont="1" applyFill="1" applyBorder="1" applyAlignment="1" applyProtection="1">
      <alignment vertical="top"/>
    </xf>
    <xf numFmtId="0" fontId="139" fillId="34" borderId="59" xfId="275" applyFont="1" applyFill="1" applyBorder="1" applyAlignment="1" applyProtection="1">
      <alignment vertical="top"/>
    </xf>
    <xf numFmtId="0" fontId="59" fillId="34" borderId="56" xfId="275" applyFont="1" applyFill="1" applyBorder="1" applyAlignment="1" applyProtection="1">
      <alignment vertical="top"/>
    </xf>
    <xf numFmtId="0" fontId="139" fillId="34" borderId="122" xfId="275" applyFont="1" applyFill="1" applyBorder="1" applyAlignment="1" applyProtection="1">
      <alignment vertical="top"/>
    </xf>
    <xf numFmtId="0" fontId="139" fillId="34" borderId="63" xfId="275" applyFont="1" applyFill="1" applyBorder="1" applyAlignment="1" applyProtection="1">
      <alignment vertical="top"/>
    </xf>
    <xf numFmtId="0" fontId="59" fillId="34" borderId="46" xfId="306" applyFont="1" applyFill="1" applyBorder="1" applyAlignment="1" applyProtection="1">
      <alignment vertical="top"/>
    </xf>
    <xf numFmtId="179" fontId="3" fillId="34" borderId="87" xfId="275" applyNumberFormat="1" applyFont="1" applyFill="1" applyBorder="1" applyAlignment="1" applyProtection="1">
      <alignment horizontal="left" vertical="top"/>
    </xf>
    <xf numFmtId="0" fontId="3" fillId="0" borderId="43" xfId="212" applyFont="1" applyBorder="1" applyAlignment="1">
      <alignment vertical="center"/>
    </xf>
    <xf numFmtId="0" fontId="139" fillId="34" borderId="94" xfId="275" applyFont="1" applyFill="1" applyBorder="1" applyAlignment="1" applyProtection="1">
      <alignment vertical="top"/>
    </xf>
    <xf numFmtId="0" fontId="46" fillId="0" borderId="43" xfId="275" applyFont="1" applyFill="1" applyBorder="1" applyAlignment="1" applyProtection="1">
      <alignment vertical="top"/>
    </xf>
    <xf numFmtId="0" fontId="3" fillId="0" borderId="43" xfId="275" applyFont="1" applyBorder="1" applyAlignment="1">
      <alignment horizontal="center" vertical="top"/>
    </xf>
    <xf numFmtId="0" fontId="138" fillId="0" borderId="275" xfId="275" applyFont="1" applyBorder="1" applyAlignment="1">
      <alignment vertical="top"/>
    </xf>
    <xf numFmtId="0" fontId="1" fillId="30" borderId="111" xfId="307" applyFill="1" applyBorder="1"/>
    <xf numFmtId="0" fontId="1" fillId="77" borderId="43" xfId="307" applyFill="1" applyBorder="1"/>
    <xf numFmtId="0" fontId="1" fillId="30" borderId="276" xfId="307" applyFill="1" applyBorder="1"/>
    <xf numFmtId="0" fontId="0" fillId="34" borderId="176" xfId="307" applyFont="1" applyFill="1" applyBorder="1"/>
    <xf numFmtId="1" fontId="59" fillId="0" borderId="275" xfId="275" applyNumberFormat="1" applyFont="1" applyFill="1" applyBorder="1" applyAlignment="1" applyProtection="1">
      <alignment horizontal="center" vertical="top"/>
    </xf>
    <xf numFmtId="0" fontId="59" fillId="34" borderId="63" xfId="275" applyFont="1" applyFill="1" applyBorder="1" applyAlignment="1" applyProtection="1">
      <alignment vertical="top"/>
    </xf>
    <xf numFmtId="0" fontId="1" fillId="77" borderId="111" xfId="307" applyFill="1" applyBorder="1"/>
    <xf numFmtId="0" fontId="1" fillId="34" borderId="176" xfId="307" applyFill="1" applyBorder="1"/>
    <xf numFmtId="0" fontId="59" fillId="34" borderId="94" xfId="275" applyFont="1" applyFill="1" applyBorder="1" applyAlignment="1" applyProtection="1">
      <alignment vertical="top"/>
    </xf>
    <xf numFmtId="0" fontId="3" fillId="0" borderId="111" xfId="275" applyBorder="1"/>
    <xf numFmtId="0" fontId="3" fillId="0" borderId="43" xfId="275" applyBorder="1"/>
    <xf numFmtId="0" fontId="3" fillId="0" borderId="276" xfId="275" applyBorder="1"/>
    <xf numFmtId="179" fontId="3" fillId="34" borderId="87" xfId="306" applyNumberFormat="1" applyFont="1" applyFill="1" applyBorder="1" applyAlignment="1" applyProtection="1">
      <alignment horizontal="left" vertical="top"/>
    </xf>
    <xf numFmtId="1" fontId="3" fillId="0" borderId="275" xfId="275" applyNumberFormat="1" applyBorder="1" applyAlignment="1">
      <alignment horizontal="center" vertical="top"/>
    </xf>
    <xf numFmtId="0" fontId="59" fillId="30" borderId="63" xfId="275" applyFont="1" applyFill="1" applyBorder="1" applyAlignment="1" applyProtection="1">
      <alignment vertical="top"/>
    </xf>
    <xf numFmtId="0" fontId="59" fillId="30" borderId="46" xfId="306" applyFont="1" applyFill="1" applyBorder="1" applyAlignment="1" applyProtection="1">
      <alignment vertical="top"/>
    </xf>
    <xf numFmtId="179" fontId="3" fillId="30" borderId="87" xfId="275" applyNumberFormat="1" applyFont="1" applyFill="1" applyBorder="1" applyAlignment="1" applyProtection="1">
      <alignment horizontal="left" vertical="top"/>
    </xf>
    <xf numFmtId="0" fontId="0" fillId="30" borderId="111" xfId="212" applyFont="1" applyFill="1" applyBorder="1" applyAlignment="1">
      <alignment vertical="top"/>
    </xf>
    <xf numFmtId="0" fontId="3" fillId="30" borderId="43" xfId="275" applyFont="1" applyFill="1" applyBorder="1" applyAlignment="1">
      <alignment vertical="top"/>
    </xf>
    <xf numFmtId="0" fontId="3" fillId="30" borderId="43" xfId="275" applyFont="1" applyFill="1" applyBorder="1" applyAlignment="1">
      <alignment horizontal="center" vertical="top"/>
    </xf>
    <xf numFmtId="0" fontId="85" fillId="30" borderId="43" xfId="275" applyFont="1" applyFill="1" applyBorder="1" applyAlignment="1">
      <alignment horizontal="center" vertical="top"/>
    </xf>
    <xf numFmtId="1" fontId="59" fillId="30" borderId="275" xfId="275" applyNumberFormat="1" applyFont="1" applyFill="1" applyBorder="1" applyAlignment="1" applyProtection="1">
      <alignment horizontal="center" vertical="top"/>
    </xf>
    <xf numFmtId="0" fontId="3" fillId="30" borderId="111" xfId="212" applyFont="1" applyFill="1" applyBorder="1" applyAlignment="1">
      <alignment horizontal="center" vertical="top"/>
    </xf>
    <xf numFmtId="0" fontId="3" fillId="30" borderId="275" xfId="275" applyFont="1" applyFill="1" applyBorder="1" applyAlignment="1">
      <alignment vertical="top"/>
    </xf>
    <xf numFmtId="0" fontId="3" fillId="30" borderId="111" xfId="275" applyFill="1" applyBorder="1" applyAlignment="1">
      <alignment vertical="center"/>
    </xf>
    <xf numFmtId="0" fontId="3" fillId="30" borderId="43" xfId="275" applyFill="1" applyBorder="1" applyAlignment="1">
      <alignment vertical="center"/>
    </xf>
    <xf numFmtId="0" fontId="3" fillId="30" borderId="43" xfId="212" applyFont="1" applyFill="1" applyBorder="1" applyAlignment="1">
      <alignment vertical="center"/>
    </xf>
    <xf numFmtId="49" fontId="3" fillId="30" borderId="275" xfId="275" applyNumberFormat="1" applyFill="1" applyBorder="1" applyAlignment="1">
      <alignment vertical="center"/>
    </xf>
    <xf numFmtId="0" fontId="3" fillId="30" borderId="276" xfId="275" applyFill="1" applyBorder="1" applyAlignment="1">
      <alignment vertical="center"/>
    </xf>
    <xf numFmtId="0" fontId="59" fillId="30" borderId="94" xfId="275" applyFont="1" applyFill="1" applyBorder="1" applyAlignment="1" applyProtection="1">
      <alignment vertical="top"/>
    </xf>
    <xf numFmtId="0" fontId="46" fillId="30" borderId="43" xfId="275" applyFont="1" applyFill="1" applyBorder="1" applyAlignment="1" applyProtection="1">
      <alignment vertical="top"/>
    </xf>
    <xf numFmtId="0" fontId="46" fillId="30" borderId="43" xfId="275" applyFont="1" applyFill="1" applyBorder="1" applyAlignment="1" applyProtection="1">
      <alignment horizontal="center" vertical="top"/>
    </xf>
    <xf numFmtId="0" fontId="3" fillId="30" borderId="43" xfId="275" applyFill="1" applyBorder="1" applyAlignment="1">
      <alignment horizontal="center" vertical="top"/>
    </xf>
    <xf numFmtId="1" fontId="3" fillId="30" borderId="275" xfId="275" applyNumberFormat="1" applyFill="1" applyBorder="1" applyAlignment="1">
      <alignment horizontal="center" vertical="top"/>
    </xf>
    <xf numFmtId="0" fontId="1" fillId="30" borderId="43" xfId="307" applyFill="1" applyBorder="1"/>
    <xf numFmtId="0" fontId="0" fillId="0" borderId="43" xfId="212" applyFont="1" applyBorder="1" applyAlignment="1">
      <alignment vertical="center"/>
    </xf>
    <xf numFmtId="0" fontId="59" fillId="34" borderId="46" xfId="306" applyFont="1" applyFill="1" applyBorder="1" applyAlignment="1" applyProtection="1">
      <alignment vertical="top" wrapText="1"/>
    </xf>
    <xf numFmtId="179" fontId="3" fillId="34" borderId="87" xfId="275" quotePrefix="1" applyNumberFormat="1" applyFont="1" applyFill="1" applyBorder="1" applyAlignment="1" applyProtection="1">
      <alignment horizontal="right" vertical="top" indent="1"/>
    </xf>
    <xf numFmtId="49" fontId="3" fillId="0" borderId="275" xfId="212" applyNumberFormat="1" applyFont="1" applyBorder="1" applyAlignment="1">
      <alignment vertical="center"/>
    </xf>
    <xf numFmtId="0" fontId="59" fillId="34" borderId="46" xfId="275" applyFont="1" applyFill="1" applyBorder="1" applyAlignment="1" applyProtection="1">
      <alignment vertical="top"/>
    </xf>
    <xf numFmtId="0" fontId="1" fillId="77" borderId="276" xfId="307" applyFill="1" applyBorder="1"/>
    <xf numFmtId="0" fontId="140" fillId="0" borderId="111" xfId="305" applyFont="1" applyFill="1" applyBorder="1" applyAlignment="1" applyProtection="1">
      <alignment vertical="center" wrapText="1"/>
    </xf>
    <xf numFmtId="0" fontId="140" fillId="0" borderId="43" xfId="305" applyFont="1" applyFill="1" applyBorder="1" applyAlignment="1" applyProtection="1">
      <alignment vertical="center" wrapText="1"/>
    </xf>
    <xf numFmtId="0" fontId="140" fillId="0" borderId="276" xfId="305" applyFont="1" applyFill="1" applyBorder="1" applyAlignment="1" applyProtection="1">
      <alignment vertical="center" wrapText="1"/>
    </xf>
    <xf numFmtId="0" fontId="141" fillId="0" borderId="276" xfId="305" applyFont="1" applyBorder="1"/>
    <xf numFmtId="0" fontId="1" fillId="30" borderId="176" xfId="307" applyFill="1" applyBorder="1"/>
    <xf numFmtId="0" fontId="59" fillId="34" borderId="82" xfId="275" applyFont="1" applyFill="1" applyBorder="1" applyAlignment="1" applyProtection="1">
      <alignment vertical="top"/>
    </xf>
    <xf numFmtId="0" fontId="59" fillId="34" borderId="79" xfId="306" applyFont="1" applyFill="1" applyBorder="1" applyAlignment="1" applyProtection="1">
      <alignment vertical="top"/>
    </xf>
    <xf numFmtId="179" fontId="3" fillId="34" borderId="88" xfId="275" applyNumberFormat="1" applyFont="1" applyFill="1" applyBorder="1" applyAlignment="1" applyProtection="1">
      <alignment horizontal="left" vertical="top"/>
    </xf>
    <xf numFmtId="0" fontId="3" fillId="0" borderId="277" xfId="212" applyFont="1" applyBorder="1" applyAlignment="1">
      <alignment vertical="top"/>
    </xf>
    <xf numFmtId="0" fontId="3" fillId="0" borderId="278" xfId="275" applyFont="1" applyBorder="1" applyAlignment="1">
      <alignment vertical="top"/>
    </xf>
    <xf numFmtId="0" fontId="46" fillId="34" borderId="278" xfId="275" applyFont="1" applyFill="1" applyBorder="1" applyAlignment="1" applyProtection="1">
      <alignment vertical="top"/>
    </xf>
    <xf numFmtId="0" fontId="46" fillId="34" borderId="278" xfId="275" applyFont="1" applyFill="1" applyBorder="1" applyAlignment="1" applyProtection="1">
      <alignment horizontal="center" vertical="top"/>
    </xf>
    <xf numFmtId="0" fontId="3" fillId="0" borderId="278" xfId="275" applyBorder="1" applyAlignment="1">
      <alignment horizontal="center" vertical="top"/>
    </xf>
    <xf numFmtId="1" fontId="3" fillId="0" borderId="279" xfId="275" applyNumberFormat="1" applyBorder="1" applyAlignment="1">
      <alignment horizontal="center" vertical="top"/>
    </xf>
    <xf numFmtId="0" fontId="3" fillId="0" borderId="277" xfId="212" applyFont="1" applyBorder="1" applyAlignment="1">
      <alignment horizontal="center" vertical="top"/>
    </xf>
    <xf numFmtId="0" fontId="3" fillId="0" borderId="279" xfId="275" applyFont="1" applyBorder="1" applyAlignment="1">
      <alignment vertical="top"/>
    </xf>
    <xf numFmtId="0" fontId="3" fillId="0" borderId="277" xfId="275" applyBorder="1" applyAlignment="1">
      <alignment vertical="center"/>
    </xf>
    <xf numFmtId="0" fontId="3" fillId="0" borderId="278" xfId="275" applyBorder="1" applyAlignment="1">
      <alignment vertical="center"/>
    </xf>
    <xf numFmtId="0" fontId="3" fillId="0" borderId="278" xfId="212" applyFont="1" applyBorder="1" applyAlignment="1">
      <alignment vertical="center"/>
    </xf>
    <xf numFmtId="49" fontId="3" fillId="0" borderId="279" xfId="275" applyNumberFormat="1" applyBorder="1" applyAlignment="1">
      <alignment vertical="center"/>
    </xf>
    <xf numFmtId="0" fontId="3" fillId="0" borderId="278" xfId="275" applyBorder="1"/>
    <xf numFmtId="0" fontId="3" fillId="0" borderId="280" xfId="275" applyBorder="1"/>
    <xf numFmtId="0" fontId="1" fillId="30" borderId="112" xfId="307" applyFill="1" applyBorder="1"/>
    <xf numFmtId="0" fontId="1" fillId="77" borderId="106" xfId="307" applyFill="1" applyBorder="1"/>
    <xf numFmtId="0" fontId="1" fillId="30" borderId="281" xfId="307" applyFill="1" applyBorder="1"/>
    <xf numFmtId="0" fontId="1" fillId="34" borderId="177" xfId="305" applyFill="1" applyBorder="1"/>
    <xf numFmtId="0" fontId="1" fillId="0" borderId="112" xfId="305" applyBorder="1"/>
    <xf numFmtId="0" fontId="1" fillId="0" borderId="106" xfId="305" applyBorder="1"/>
    <xf numFmtId="0" fontId="3" fillId="0" borderId="106" xfId="305" applyFont="1" applyBorder="1"/>
    <xf numFmtId="0" fontId="1" fillId="0" borderId="281" xfId="305" applyBorder="1"/>
    <xf numFmtId="0" fontId="59" fillId="34" borderId="95" xfId="275" applyFont="1" applyFill="1" applyBorder="1" applyAlignment="1" applyProtection="1">
      <alignment vertical="top"/>
    </xf>
    <xf numFmtId="0" fontId="3" fillId="41" borderId="0" xfId="275" applyFill="1" applyAlignment="1">
      <alignment vertical="center" wrapText="1"/>
    </xf>
    <xf numFmtId="0" fontId="6" fillId="34" borderId="14" xfId="308" applyFont="1" applyFill="1" applyBorder="1" applyAlignment="1" applyProtection="1">
      <alignment horizontal="center" vertical="center" wrapText="1"/>
    </xf>
    <xf numFmtId="0" fontId="6" fillId="32" borderId="36" xfId="308" applyFont="1" applyFill="1" applyBorder="1" applyAlignment="1" applyProtection="1">
      <alignment horizontal="center" vertical="center" wrapText="1"/>
    </xf>
    <xf numFmtId="0" fontId="60" fillId="32" borderId="45" xfId="275" applyFont="1" applyFill="1" applyBorder="1" applyAlignment="1" applyProtection="1">
      <alignment horizontal="center" vertical="center" wrapText="1"/>
    </xf>
    <xf numFmtId="0" fontId="60" fillId="57" borderId="251" xfId="275" applyFont="1" applyFill="1" applyBorder="1" applyAlignment="1" applyProtection="1">
      <alignment vertical="center"/>
    </xf>
    <xf numFmtId="0" fontId="6" fillId="57" borderId="0" xfId="275" applyFont="1" applyFill="1" applyBorder="1" applyAlignment="1">
      <alignment vertical="center" wrapText="1"/>
    </xf>
    <xf numFmtId="0" fontId="3" fillId="57" borderId="0" xfId="275" applyFill="1" applyAlignment="1">
      <alignment vertical="center"/>
    </xf>
    <xf numFmtId="0" fontId="59" fillId="57" borderId="0" xfId="275" applyFont="1" applyFill="1" applyAlignment="1" applyProtection="1">
      <alignment vertical="center"/>
    </xf>
    <xf numFmtId="0" fontId="59" fillId="34" borderId="0" xfId="275" applyFont="1" applyFill="1" applyAlignment="1" applyProtection="1">
      <alignment horizontal="center" vertical="center"/>
    </xf>
    <xf numFmtId="0" fontId="59" fillId="34" borderId="0" xfId="275" applyFont="1" applyFill="1" applyAlignment="1" applyProtection="1">
      <alignment vertical="center"/>
    </xf>
    <xf numFmtId="1" fontId="59" fillId="34" borderId="0" xfId="275" applyNumberFormat="1" applyFont="1" applyFill="1" applyAlignment="1" applyProtection="1">
      <alignment vertical="center"/>
    </xf>
    <xf numFmtId="0" fontId="89" fillId="79" borderId="45" xfId="309" applyFont="1" applyFill="1" applyBorder="1" applyAlignment="1">
      <alignment vertical="center"/>
    </xf>
    <xf numFmtId="0" fontId="6" fillId="0" borderId="285" xfId="275" applyFont="1" applyFill="1" applyBorder="1" applyAlignment="1">
      <alignment vertical="center" wrapText="1"/>
    </xf>
    <xf numFmtId="0" fontId="6" fillId="0" borderId="286" xfId="275" applyFont="1" applyFill="1" applyBorder="1" applyAlignment="1">
      <alignment vertical="center" wrapText="1"/>
    </xf>
    <xf numFmtId="0" fontId="6" fillId="0" borderId="287" xfId="275" applyFont="1" applyFill="1" applyBorder="1" applyAlignment="1">
      <alignment vertical="center" wrapText="1"/>
    </xf>
    <xf numFmtId="0" fontId="6" fillId="33" borderId="288" xfId="275" applyFont="1" applyFill="1" applyBorder="1" applyAlignment="1">
      <alignment vertical="center" wrapText="1"/>
    </xf>
    <xf numFmtId="0" fontId="6" fillId="33" borderId="289" xfId="275" applyFont="1" applyFill="1" applyBorder="1" applyAlignment="1">
      <alignment vertical="center" wrapText="1"/>
    </xf>
    <xf numFmtId="0" fontId="6" fillId="33" borderId="290" xfId="275" applyFont="1" applyFill="1" applyBorder="1" applyAlignment="1">
      <alignment vertical="center" wrapText="1"/>
    </xf>
    <xf numFmtId="0" fontId="1" fillId="0" borderId="0" xfId="305" applyAlignment="1">
      <alignment vertical="center"/>
    </xf>
    <xf numFmtId="0" fontId="3" fillId="0" borderId="291" xfId="306" applyBorder="1" applyAlignment="1" applyProtection="1">
      <alignment horizontal="left" vertical="center"/>
    </xf>
    <xf numFmtId="0" fontId="96" fillId="0" borderId="291" xfId="305" applyFont="1" applyBorder="1"/>
    <xf numFmtId="49" fontId="59" fillId="57" borderId="21" xfId="275" applyNumberFormat="1" applyFont="1" applyFill="1" applyBorder="1" applyProtection="1"/>
    <xf numFmtId="49" fontId="46" fillId="57" borderId="21" xfId="275" applyNumberFormat="1" applyFont="1" applyFill="1" applyBorder="1" applyProtection="1"/>
    <xf numFmtId="0" fontId="3" fillId="57" borderId="22" xfId="275" applyFill="1" applyBorder="1"/>
    <xf numFmtId="0" fontId="59" fillId="57" borderId="166" xfId="275" quotePrefix="1" applyFont="1" applyFill="1" applyBorder="1" applyAlignment="1" applyProtection="1">
      <alignment vertical="center"/>
    </xf>
    <xf numFmtId="0" fontId="143" fillId="57" borderId="273" xfId="275" quotePrefix="1" applyFont="1" applyFill="1" applyBorder="1" applyAlignment="1" applyProtection="1">
      <alignment vertical="center"/>
    </xf>
    <xf numFmtId="0" fontId="3" fillId="57" borderId="0" xfId="275" applyFill="1"/>
    <xf numFmtId="0" fontId="85" fillId="57" borderId="0" xfId="275" applyFont="1" applyFill="1"/>
    <xf numFmtId="0" fontId="3" fillId="0" borderId="0" xfId="275" applyAlignment="1">
      <alignment horizontal="center"/>
    </xf>
    <xf numFmtId="0" fontId="3" fillId="79" borderId="291" xfId="275" applyFont="1" applyFill="1" applyBorder="1" applyAlignment="1"/>
    <xf numFmtId="0" fontId="144" fillId="80" borderId="292" xfId="310" applyFont="1" applyFill="1" applyBorder="1" applyAlignment="1" applyProtection="1">
      <alignment horizontal="center" wrapText="1"/>
    </xf>
    <xf numFmtId="0" fontId="3" fillId="80" borderId="293" xfId="275" applyFont="1" applyFill="1" applyBorder="1" applyAlignment="1" applyProtection="1">
      <alignment horizontal="center" wrapText="1"/>
    </xf>
    <xf numFmtId="0" fontId="145" fillId="80" borderId="293" xfId="275" applyFont="1" applyFill="1" applyBorder="1" applyAlignment="1" applyProtection="1">
      <alignment horizontal="center" vertical="center"/>
    </xf>
    <xf numFmtId="0" fontId="134" fillId="80" borderId="293" xfId="305" applyFont="1" applyFill="1" applyBorder="1" applyAlignment="1" applyProtection="1">
      <alignment horizontal="center" vertical="center" wrapText="1"/>
    </xf>
    <xf numFmtId="0" fontId="134" fillId="80" borderId="294" xfId="305" applyFont="1" applyFill="1" applyBorder="1" applyAlignment="1" applyProtection="1">
      <alignment horizontal="center" vertical="center" wrapText="1"/>
    </xf>
    <xf numFmtId="0" fontId="3" fillId="48" borderId="295" xfId="276" applyFill="1" applyBorder="1" applyAlignment="1">
      <alignment horizontal="center"/>
    </xf>
    <xf numFmtId="0" fontId="3" fillId="48" borderId="0" xfId="276" applyFill="1" applyBorder="1" applyAlignment="1">
      <alignment horizontal="center"/>
    </xf>
    <xf numFmtId="0" fontId="3" fillId="48" borderId="119" xfId="276" applyFill="1" applyBorder="1" applyAlignment="1">
      <alignment horizontal="center" vertical="center" wrapText="1"/>
    </xf>
    <xf numFmtId="0" fontId="3" fillId="48" borderId="296" xfId="276" applyFill="1" applyBorder="1" applyAlignment="1">
      <alignment horizontal="center" vertical="center" wrapText="1"/>
    </xf>
    <xf numFmtId="0" fontId="3" fillId="0" borderId="123" xfId="306" applyBorder="1" applyAlignment="1" applyProtection="1">
      <alignment horizontal="left" vertical="center"/>
    </xf>
    <xf numFmtId="0" fontId="96" fillId="0" borderId="123" xfId="305" applyFont="1" applyBorder="1"/>
    <xf numFmtId="49" fontId="59" fillId="57" borderId="19" xfId="275" applyNumberFormat="1" applyFont="1" applyFill="1" applyBorder="1" applyProtection="1"/>
    <xf numFmtId="49" fontId="46" fillId="57" borderId="19" xfId="275" applyNumberFormat="1" applyFont="1" applyFill="1" applyBorder="1" applyProtection="1"/>
    <xf numFmtId="0" fontId="3" fillId="57" borderId="0" xfId="275" applyFill="1" applyBorder="1"/>
    <xf numFmtId="0" fontId="59" fillId="57" borderId="111" xfId="275" quotePrefix="1" applyFont="1" applyFill="1" applyBorder="1" applyAlignment="1" applyProtection="1">
      <alignment vertical="center"/>
    </xf>
    <xf numFmtId="0" fontId="143" fillId="57" borderId="276" xfId="275" quotePrefix="1" applyFont="1" applyFill="1" applyBorder="1" applyAlignment="1" applyProtection="1">
      <alignment vertical="center"/>
    </xf>
    <xf numFmtId="0" fontId="3" fillId="79" borderId="123" xfId="275" applyFont="1" applyFill="1" applyBorder="1" applyAlignment="1"/>
    <xf numFmtId="0" fontId="144" fillId="80" borderId="297" xfId="310" applyFont="1" applyFill="1" applyBorder="1" applyAlignment="1" applyProtection="1">
      <alignment horizontal="center" wrapText="1"/>
    </xf>
    <xf numFmtId="0" fontId="3" fillId="80" borderId="298" xfId="275" applyFont="1" applyFill="1" applyBorder="1" applyAlignment="1" applyProtection="1">
      <alignment horizontal="center" wrapText="1"/>
    </xf>
    <xf numFmtId="0" fontId="145" fillId="80" borderId="298" xfId="305" applyFont="1" applyFill="1" applyBorder="1" applyAlignment="1" applyProtection="1">
      <alignment horizontal="center" vertical="center"/>
    </xf>
    <xf numFmtId="0" fontId="134" fillId="80" borderId="298" xfId="305" applyFont="1" applyFill="1" applyBorder="1" applyAlignment="1" applyProtection="1">
      <alignment horizontal="center" vertical="center" wrapText="1"/>
    </xf>
    <xf numFmtId="0" fontId="134" fillId="80" borderId="299" xfId="305" applyFont="1" applyFill="1" applyBorder="1" applyAlignment="1" applyProtection="1">
      <alignment horizontal="center" vertical="center" wrapText="1"/>
    </xf>
    <xf numFmtId="0" fontId="3" fillId="48" borderId="43" xfId="276" applyFill="1" applyBorder="1" applyAlignment="1">
      <alignment horizontal="center" vertical="center" wrapText="1"/>
    </xf>
    <xf numFmtId="0" fontId="3" fillId="0" borderId="300" xfId="275" applyBorder="1"/>
    <xf numFmtId="0" fontId="3" fillId="0" borderId="302" xfId="306" applyBorder="1" applyProtection="1"/>
    <xf numFmtId="0" fontId="3" fillId="57" borderId="111" xfId="275" applyFill="1" applyBorder="1"/>
    <xf numFmtId="0" fontId="146" fillId="57" borderId="276" xfId="275" applyFont="1" applyFill="1" applyBorder="1"/>
    <xf numFmtId="0" fontId="3" fillId="0" borderId="291" xfId="306" applyBorder="1" applyProtection="1"/>
    <xf numFmtId="0" fontId="3" fillId="48" borderId="125" xfId="276" applyFill="1" applyBorder="1" applyAlignment="1">
      <alignment horizontal="center"/>
    </xf>
    <xf numFmtId="49" fontId="46" fillId="57" borderId="19" xfId="275" quotePrefix="1" applyNumberFormat="1" applyFont="1" applyFill="1" applyBorder="1" applyProtection="1"/>
    <xf numFmtId="0" fontId="144" fillId="80" borderId="297" xfId="310" applyNumberFormat="1" applyFont="1" applyFill="1" applyBorder="1" applyAlignment="1" applyProtection="1">
      <alignment horizontal="center" wrapText="1"/>
    </xf>
    <xf numFmtId="0" fontId="3" fillId="0" borderId="298" xfId="275" applyFont="1" applyFill="1" applyBorder="1"/>
    <xf numFmtId="0" fontId="3" fillId="0" borderId="299" xfId="275" applyFont="1" applyFill="1" applyBorder="1"/>
    <xf numFmtId="0" fontId="3" fillId="0" borderId="303" xfId="275" applyBorder="1" applyAlignment="1">
      <alignment vertical="center"/>
    </xf>
    <xf numFmtId="0" fontId="3" fillId="0" borderId="298" xfId="275" applyFont="1" applyFill="1" applyBorder="1" applyAlignment="1">
      <alignment vertical="center"/>
    </xf>
    <xf numFmtId="0" fontId="3" fillId="0" borderId="304" xfId="306" applyBorder="1" applyProtection="1"/>
    <xf numFmtId="49" fontId="59" fillId="57" borderId="251" xfId="275" applyNumberFormat="1" applyFont="1" applyFill="1" applyBorder="1" applyProtection="1"/>
    <xf numFmtId="49" fontId="46" fillId="57" borderId="251" xfId="275" applyNumberFormat="1" applyFont="1" applyFill="1" applyBorder="1" applyProtection="1"/>
    <xf numFmtId="0" fontId="3" fillId="57" borderId="125" xfId="275" applyFill="1" applyBorder="1"/>
    <xf numFmtId="0" fontId="59" fillId="57" borderId="112" xfId="275" quotePrefix="1" applyFont="1" applyFill="1" applyBorder="1" applyAlignment="1" applyProtection="1">
      <alignment vertical="center"/>
    </xf>
    <xf numFmtId="0" fontId="143" fillId="57" borderId="281" xfId="275" quotePrefix="1" applyFont="1" applyFill="1" applyBorder="1" applyAlignment="1" applyProtection="1">
      <alignment vertical="center"/>
    </xf>
    <xf numFmtId="0" fontId="3" fillId="79" borderId="304" xfId="275" applyFont="1" applyFill="1" applyBorder="1" applyAlignment="1"/>
    <xf numFmtId="0" fontId="3" fillId="0" borderId="297" xfId="275" applyFont="1" applyFill="1" applyBorder="1" applyAlignment="1">
      <alignment vertical="center"/>
    </xf>
    <xf numFmtId="0" fontId="3" fillId="20" borderId="303" xfId="276" applyBorder="1"/>
    <xf numFmtId="0" fontId="3" fillId="34" borderId="215" xfId="306" applyFill="1" applyBorder="1" applyAlignment="1" applyProtection="1">
      <alignment vertical="center"/>
    </xf>
    <xf numFmtId="0" fontId="3" fillId="0" borderId="208" xfId="306" applyBorder="1" applyAlignment="1" applyProtection="1">
      <alignment horizontal="left" vertical="center"/>
    </xf>
    <xf numFmtId="0" fontId="3" fillId="28" borderId="305" xfId="306" applyFill="1" applyBorder="1" applyAlignment="1" applyProtection="1">
      <alignment horizontal="center" vertical="center"/>
    </xf>
    <xf numFmtId="0" fontId="3" fillId="28" borderId="245" xfId="306" applyFill="1" applyBorder="1" applyAlignment="1" applyProtection="1">
      <alignment horizontal="center" vertical="center"/>
    </xf>
    <xf numFmtId="0" fontId="3" fillId="34" borderId="291" xfId="306" applyFill="1" applyBorder="1" applyAlignment="1" applyProtection="1">
      <alignment horizontal="left" vertical="center"/>
    </xf>
    <xf numFmtId="0" fontId="3" fillId="34" borderId="302" xfId="306" applyFill="1" applyBorder="1" applyAlignment="1" applyProtection="1">
      <alignment horizontal="left" vertical="center"/>
    </xf>
    <xf numFmtId="0" fontId="3" fillId="0" borderId="306" xfId="275" applyFont="1" applyFill="1" applyBorder="1" applyAlignment="1">
      <alignment vertical="center"/>
    </xf>
    <xf numFmtId="0" fontId="3" fillId="80" borderId="307" xfId="275" applyFont="1" applyFill="1" applyBorder="1" applyAlignment="1" applyProtection="1">
      <alignment horizontal="center" wrapText="1"/>
    </xf>
    <xf numFmtId="0" fontId="3" fillId="0" borderId="307" xfId="275" applyFont="1" applyFill="1" applyBorder="1" applyAlignment="1">
      <alignment vertical="center"/>
    </xf>
    <xf numFmtId="0" fontId="3" fillId="0" borderId="307" xfId="275" applyFont="1" applyFill="1" applyBorder="1"/>
    <xf numFmtId="0" fontId="3" fillId="0" borderId="308" xfId="275" applyFont="1" applyFill="1" applyBorder="1"/>
    <xf numFmtId="0" fontId="3" fillId="34" borderId="155" xfId="306" applyFill="1" applyBorder="1" applyAlignment="1" applyProtection="1">
      <alignment vertical="center"/>
    </xf>
    <xf numFmtId="0" fontId="1" fillId="0" borderId="0" xfId="305" applyFont="1" applyAlignment="1">
      <alignment horizontal="left" indent="2"/>
    </xf>
    <xf numFmtId="0" fontId="3" fillId="20" borderId="309" xfId="276" applyBorder="1"/>
    <xf numFmtId="0" fontId="3" fillId="0" borderId="106" xfId="275" applyBorder="1"/>
    <xf numFmtId="0" fontId="3" fillId="48" borderId="106" xfId="276" applyFill="1" applyBorder="1" applyAlignment="1">
      <alignment horizontal="center" vertical="center" wrapText="1"/>
    </xf>
    <xf numFmtId="0" fontId="3" fillId="0" borderId="310" xfId="275" applyBorder="1"/>
    <xf numFmtId="0" fontId="3" fillId="34" borderId="19" xfId="306" applyFill="1" applyBorder="1" applyAlignment="1" applyProtection="1">
      <alignment vertical="center"/>
    </xf>
    <xf numFmtId="0" fontId="3" fillId="34" borderId="123" xfId="306" applyFill="1" applyBorder="1" applyAlignment="1" applyProtection="1">
      <alignment horizontal="left" vertical="center"/>
    </xf>
    <xf numFmtId="0" fontId="1" fillId="0" borderId="0" xfId="305" applyFont="1" applyAlignment="1">
      <alignment horizontal="left" indent="3"/>
    </xf>
    <xf numFmtId="0" fontId="3" fillId="0" borderId="295" xfId="275" applyBorder="1" applyAlignment="1">
      <alignment vertical="center"/>
    </xf>
    <xf numFmtId="0" fontId="3" fillId="0" borderId="0" xfId="275" applyBorder="1"/>
    <xf numFmtId="0" fontId="3" fillId="0" borderId="311" xfId="275" applyBorder="1"/>
    <xf numFmtId="0" fontId="96" fillId="0" borderId="304" xfId="305" applyFont="1" applyBorder="1"/>
    <xf numFmtId="0" fontId="1" fillId="0" borderId="0" xfId="305" applyFont="1" applyAlignment="1">
      <alignment horizontal="left" indent="4"/>
    </xf>
    <xf numFmtId="0" fontId="96" fillId="0" borderId="0" xfId="305" applyFont="1"/>
    <xf numFmtId="0" fontId="59" fillId="48" borderId="45" xfId="275" applyFont="1" applyFill="1" applyBorder="1" applyAlignment="1" applyProtection="1">
      <alignment horizontal="left" vertical="top" wrapText="1"/>
    </xf>
    <xf numFmtId="0" fontId="1" fillId="0" borderId="0" xfId="305" applyFont="1" applyAlignment="1">
      <alignment horizontal="left" indent="5"/>
    </xf>
    <xf numFmtId="0" fontId="3" fillId="34" borderId="301" xfId="306" applyFill="1" applyBorder="1" applyAlignment="1" applyProtection="1">
      <alignment vertical="center"/>
    </xf>
    <xf numFmtId="0" fontId="3" fillId="34" borderId="304" xfId="306" applyFill="1" applyBorder="1" applyAlignment="1" applyProtection="1">
      <alignment horizontal="left" vertical="center"/>
    </xf>
    <xf numFmtId="0" fontId="60" fillId="48" borderId="73" xfId="275" applyFont="1" applyFill="1" applyBorder="1" applyProtection="1"/>
    <xf numFmtId="0" fontId="83" fillId="81" borderId="313" xfId="306" applyFont="1" applyFill="1" applyBorder="1" applyAlignment="1" applyProtection="1">
      <alignment vertical="center" wrapText="1"/>
    </xf>
    <xf numFmtId="0" fontId="83" fillId="81" borderId="314" xfId="306" applyFont="1" applyFill="1" applyBorder="1" applyAlignment="1" applyProtection="1">
      <alignment vertical="center" wrapText="1"/>
    </xf>
    <xf numFmtId="0" fontId="147" fillId="82" borderId="285" xfId="275" applyFont="1" applyFill="1" applyBorder="1" applyAlignment="1" applyProtection="1">
      <alignment horizontal="center" wrapText="1"/>
    </xf>
    <xf numFmtId="0" fontId="3" fillId="82" borderId="286" xfId="212" applyFont="1" applyFill="1" applyBorder="1"/>
    <xf numFmtId="0" fontId="147" fillId="82" borderId="286" xfId="275" applyFont="1" applyFill="1" applyBorder="1" applyAlignment="1" applyProtection="1">
      <alignment wrapText="1"/>
    </xf>
    <xf numFmtId="0" fontId="147" fillId="82" borderId="315" xfId="275" applyFont="1" applyFill="1" applyBorder="1" applyAlignment="1" applyProtection="1">
      <alignment wrapText="1"/>
    </xf>
    <xf numFmtId="0" fontId="1" fillId="0" borderId="0" xfId="305" applyFont="1" applyAlignment="1">
      <alignment horizontal="left" indent="6"/>
    </xf>
    <xf numFmtId="0" fontId="6" fillId="33" borderId="316" xfId="275" applyFont="1" applyFill="1" applyBorder="1" applyAlignment="1">
      <alignment vertical="center" wrapText="1"/>
    </xf>
    <xf numFmtId="0" fontId="3" fillId="0" borderId="22" xfId="275" applyBorder="1"/>
    <xf numFmtId="0" fontId="6" fillId="33" borderId="317" xfId="275" applyFont="1" applyFill="1" applyBorder="1" applyAlignment="1">
      <alignment vertical="center" wrapText="1"/>
    </xf>
    <xf numFmtId="0" fontId="6" fillId="33" borderId="318" xfId="275" applyFont="1" applyFill="1" applyBorder="1" applyAlignment="1">
      <alignment vertical="center" wrapText="1"/>
    </xf>
    <xf numFmtId="0" fontId="3" fillId="34" borderId="74" xfId="306" applyFill="1" applyBorder="1" applyAlignment="1" applyProtection="1">
      <alignment horizontal="left" vertical="center"/>
    </xf>
    <xf numFmtId="0" fontId="59" fillId="48" borderId="93" xfId="275" applyFont="1" applyFill="1" applyBorder="1" applyProtection="1"/>
    <xf numFmtId="0" fontId="59" fillId="48" borderId="76" xfId="275" applyFont="1" applyFill="1" applyBorder="1" applyProtection="1"/>
    <xf numFmtId="0" fontId="148" fillId="81" borderId="319" xfId="306" applyFont="1" applyFill="1" applyBorder="1" applyAlignment="1" applyProtection="1">
      <alignment horizontal="center" vertical="center"/>
    </xf>
    <xf numFmtId="49" fontId="148" fillId="81" borderId="320" xfId="306" applyNumberFormat="1" applyFont="1" applyFill="1" applyBorder="1" applyProtection="1"/>
    <xf numFmtId="0" fontId="142" fillId="83" borderId="292" xfId="275" applyFont="1" applyFill="1" applyBorder="1" applyAlignment="1" applyProtection="1">
      <alignment horizontal="center"/>
    </xf>
    <xf numFmtId="0" fontId="149" fillId="84" borderId="293" xfId="275" quotePrefix="1" applyFont="1" applyFill="1" applyBorder="1"/>
    <xf numFmtId="0" fontId="148" fillId="85" borderId="293" xfId="275" applyFont="1" applyFill="1" applyBorder="1" applyAlignment="1" applyProtection="1">
      <alignment horizontal="center"/>
    </xf>
    <xf numFmtId="0" fontId="150" fillId="84" borderId="293" xfId="275" quotePrefix="1" applyFont="1" applyFill="1" applyBorder="1" applyAlignment="1" applyProtection="1">
      <alignment horizontal="left"/>
    </xf>
    <xf numFmtId="0" fontId="148" fillId="85" borderId="321" xfId="275" applyFont="1" applyFill="1" applyBorder="1" applyAlignment="1" applyProtection="1">
      <alignment horizontal="center"/>
    </xf>
    <xf numFmtId="0" fontId="3" fillId="48" borderId="322" xfId="276" applyFill="1" applyBorder="1" applyAlignment="1">
      <alignment horizontal="center"/>
    </xf>
    <xf numFmtId="0" fontId="3" fillId="0" borderId="121" xfId="275" applyBorder="1"/>
    <xf numFmtId="0" fontId="3" fillId="48" borderId="121" xfId="276" applyFill="1" applyBorder="1" applyAlignment="1">
      <alignment horizontal="center" vertical="center" wrapText="1"/>
    </xf>
    <xf numFmtId="0" fontId="3" fillId="48" borderId="273" xfId="276" applyFill="1" applyBorder="1" applyAlignment="1">
      <alignment horizontal="center" vertical="center" wrapText="1"/>
    </xf>
    <xf numFmtId="0" fontId="3" fillId="34" borderId="155" xfId="306" applyFill="1" applyBorder="1" applyAlignment="1" applyProtection="1">
      <alignment vertical="top"/>
    </xf>
    <xf numFmtId="0" fontId="59" fillId="48" borderId="94" xfId="275" applyFont="1" applyFill="1" applyBorder="1" applyProtection="1"/>
    <xf numFmtId="0" fontId="59" fillId="48" borderId="78" xfId="275" applyFont="1" applyFill="1" applyBorder="1" applyProtection="1"/>
    <xf numFmtId="0" fontId="148" fillId="81" borderId="323" xfId="306" applyFont="1" applyFill="1" applyBorder="1" applyAlignment="1" applyProtection="1">
      <alignment horizontal="center" vertical="center"/>
    </xf>
    <xf numFmtId="49" fontId="148" fillId="81" borderId="324" xfId="306" applyNumberFormat="1" applyFont="1" applyFill="1" applyBorder="1" applyProtection="1"/>
    <xf numFmtId="0" fontId="148" fillId="83" borderId="297" xfId="275" applyFont="1" applyFill="1" applyBorder="1" applyAlignment="1" applyProtection="1">
      <alignment horizontal="center"/>
    </xf>
    <xf numFmtId="0" fontId="149" fillId="84" borderId="298" xfId="275" quotePrefix="1" applyFont="1" applyFill="1" applyBorder="1"/>
    <xf numFmtId="0" fontId="148" fillId="85" borderId="298" xfId="275" applyFont="1" applyFill="1" applyBorder="1" applyAlignment="1" applyProtection="1">
      <alignment horizontal="center"/>
    </xf>
    <xf numFmtId="0" fontId="150" fillId="84" borderId="298" xfId="275" quotePrefix="1" applyFont="1" applyFill="1" applyBorder="1" applyAlignment="1" applyProtection="1">
      <alignment horizontal="left"/>
    </xf>
    <xf numFmtId="0" fontId="148" fillId="85" borderId="325" xfId="275" applyFont="1" applyFill="1" applyBorder="1" applyAlignment="1" applyProtection="1">
      <alignment horizontal="center"/>
    </xf>
    <xf numFmtId="0" fontId="3" fillId="48" borderId="303" xfId="276" applyFill="1" applyBorder="1" applyAlignment="1">
      <alignment horizontal="center"/>
    </xf>
    <xf numFmtId="0" fontId="3" fillId="48" borderId="276" xfId="276" applyFill="1" applyBorder="1" applyAlignment="1">
      <alignment horizontal="center" vertical="center" wrapText="1"/>
    </xf>
    <xf numFmtId="0" fontId="3" fillId="34" borderId="19" xfId="306" applyFill="1" applyBorder="1" applyAlignment="1" applyProtection="1">
      <alignment vertical="top"/>
    </xf>
    <xf numFmtId="0" fontId="59" fillId="48" borderId="150" xfId="275" applyFont="1" applyFill="1" applyBorder="1" applyProtection="1"/>
    <xf numFmtId="0" fontId="3" fillId="34" borderId="326" xfId="306" applyFill="1" applyBorder="1" applyAlignment="1" applyProtection="1">
      <alignment vertical="center"/>
    </xf>
    <xf numFmtId="0" fontId="3" fillId="34" borderId="327" xfId="306" applyFill="1" applyBorder="1" applyAlignment="1" applyProtection="1">
      <alignment vertical="center"/>
    </xf>
    <xf numFmtId="0" fontId="3" fillId="34" borderId="328" xfId="306" applyFill="1" applyBorder="1" applyAlignment="1" applyProtection="1">
      <alignment vertical="center"/>
    </xf>
    <xf numFmtId="0" fontId="148" fillId="81" borderId="329" xfId="306" applyFont="1" applyFill="1" applyBorder="1" applyAlignment="1" applyProtection="1">
      <alignment horizontal="center" vertical="center"/>
    </xf>
    <xf numFmtId="49" fontId="148" fillId="81" borderId="330" xfId="306" applyNumberFormat="1" applyFont="1" applyFill="1" applyBorder="1" applyProtection="1"/>
    <xf numFmtId="0" fontId="3" fillId="34" borderId="331" xfId="306" applyFill="1" applyBorder="1" applyAlignment="1" applyProtection="1">
      <alignment vertical="center"/>
    </xf>
    <xf numFmtId="0" fontId="59" fillId="48" borderId="74" xfId="275" applyFont="1" applyFill="1" applyBorder="1" applyProtection="1"/>
    <xf numFmtId="0" fontId="59" fillId="48" borderId="95" xfId="275" applyFont="1" applyFill="1" applyBorder="1" applyProtection="1"/>
    <xf numFmtId="0" fontId="3" fillId="48" borderId="332" xfId="276" applyFill="1" applyBorder="1" applyAlignment="1">
      <alignment horizontal="center"/>
    </xf>
    <xf numFmtId="0" fontId="3" fillId="0" borderId="333" xfId="275" applyBorder="1"/>
    <xf numFmtId="0" fontId="3" fillId="0" borderId="334" xfId="275" applyBorder="1"/>
    <xf numFmtId="0" fontId="3" fillId="0" borderId="335" xfId="275" applyBorder="1"/>
    <xf numFmtId="0" fontId="3" fillId="0" borderId="0" xfId="212" applyFont="1" applyFill="1" applyBorder="1"/>
    <xf numFmtId="0" fontId="3" fillId="0" borderId="0" xfId="275" applyFont="1" applyFill="1" applyBorder="1"/>
    <xf numFmtId="0" fontId="148" fillId="86" borderId="0" xfId="275" applyFont="1" applyFill="1" applyBorder="1" applyProtection="1"/>
    <xf numFmtId="0" fontId="148" fillId="86" borderId="0" xfId="275" applyFont="1" applyFill="1" applyBorder="1" applyAlignment="1" applyProtection="1">
      <alignment horizontal="center"/>
    </xf>
    <xf numFmtId="1" fontId="148" fillId="86" borderId="0" xfId="275" applyNumberFormat="1" applyFont="1" applyFill="1" applyBorder="1" applyProtection="1"/>
    <xf numFmtId="0" fontId="60" fillId="48" borderId="45" xfId="275" applyFont="1" applyFill="1" applyBorder="1" applyProtection="1"/>
    <xf numFmtId="0" fontId="147" fillId="87" borderId="45" xfId="275" applyFont="1" applyFill="1" applyBorder="1" applyAlignment="1" applyProtection="1">
      <alignment horizontal="center" vertical="top" wrapText="1"/>
    </xf>
    <xf numFmtId="0" fontId="147" fillId="87" borderId="45" xfId="275" applyFont="1" applyFill="1" applyBorder="1" applyAlignment="1" applyProtection="1">
      <alignment vertical="top" wrapText="1"/>
    </xf>
    <xf numFmtId="0" fontId="147" fillId="88" borderId="45" xfId="275" applyFont="1" applyFill="1" applyBorder="1" applyAlignment="1" applyProtection="1">
      <alignment horizontal="center" vertical="top" wrapText="1"/>
    </xf>
    <xf numFmtId="0" fontId="147" fillId="88" borderId="73" xfId="275" applyFont="1" applyFill="1" applyBorder="1" applyAlignment="1" applyProtection="1">
      <alignment vertical="top" wrapText="1"/>
    </xf>
    <xf numFmtId="0" fontId="147" fillId="88" borderId="45" xfId="275" applyFont="1" applyFill="1" applyBorder="1" applyAlignment="1" applyProtection="1">
      <alignment vertical="top" wrapText="1"/>
    </xf>
    <xf numFmtId="0" fontId="59" fillId="48" borderId="327" xfId="275" applyFont="1" applyFill="1" applyBorder="1" applyProtection="1"/>
    <xf numFmtId="49" fontId="3" fillId="89" borderId="336" xfId="275" applyNumberFormat="1" applyFont="1" applyFill="1" applyBorder="1" applyAlignment="1">
      <alignment horizontal="right" indent="1"/>
    </xf>
    <xf numFmtId="49" fontId="3" fillId="87" borderId="337" xfId="275" applyNumberFormat="1" applyFont="1" applyFill="1" applyBorder="1"/>
    <xf numFmtId="49" fontId="3" fillId="87" borderId="338" xfId="275" applyNumberFormat="1" applyFont="1" applyFill="1" applyBorder="1" applyAlignment="1" applyProtection="1">
      <alignment horizontal="right" indent="1"/>
    </xf>
    <xf numFmtId="49" fontId="3" fillId="89" borderId="339" xfId="275" applyNumberFormat="1" applyFont="1" applyFill="1" applyBorder="1"/>
    <xf numFmtId="49" fontId="3" fillId="90" borderId="340" xfId="275" applyNumberFormat="1" applyFont="1" applyFill="1" applyBorder="1" applyAlignment="1">
      <alignment horizontal="right" indent="1"/>
    </xf>
    <xf numFmtId="49" fontId="3" fillId="88" borderId="341" xfId="275" applyNumberFormat="1" applyFont="1" applyFill="1" applyBorder="1"/>
    <xf numFmtId="49" fontId="3" fillId="91" borderId="342" xfId="275" applyNumberFormat="1" applyFont="1" applyFill="1" applyBorder="1" applyAlignment="1" applyProtection="1">
      <alignment horizontal="right" indent="1"/>
    </xf>
    <xf numFmtId="49" fontId="3" fillId="92" borderId="339" xfId="275" applyNumberFormat="1" applyFont="1" applyFill="1" applyBorder="1"/>
    <xf numFmtId="0" fontId="59" fillId="48" borderId="328" xfId="275" applyFont="1" applyFill="1" applyBorder="1" applyProtection="1"/>
    <xf numFmtId="49" fontId="3" fillId="89" borderId="338" xfId="275" applyNumberFormat="1" applyFont="1" applyFill="1" applyBorder="1" applyAlignment="1">
      <alignment horizontal="right" indent="1"/>
    </xf>
    <xf numFmtId="49" fontId="3" fillId="89" borderId="338" xfId="275" applyNumberFormat="1" applyFont="1" applyFill="1" applyBorder="1"/>
    <xf numFmtId="49" fontId="3" fillId="90" borderId="343" xfId="275" applyNumberFormat="1" applyFont="1" applyFill="1" applyBorder="1" applyAlignment="1">
      <alignment horizontal="right" indent="1"/>
    </xf>
    <xf numFmtId="49" fontId="3" fillId="88" borderId="337" xfId="275" applyNumberFormat="1" applyFont="1" applyFill="1" applyBorder="1"/>
    <xf numFmtId="49" fontId="3" fillId="92" borderId="338" xfId="275" applyNumberFormat="1" applyFont="1" applyFill="1" applyBorder="1"/>
    <xf numFmtId="49" fontId="3" fillId="89" borderId="339" xfId="275" applyNumberFormat="1" applyFont="1" applyFill="1" applyBorder="1" applyAlignment="1">
      <alignment horizontal="right" indent="1"/>
    </xf>
    <xf numFmtId="49" fontId="3" fillId="90" borderId="344" xfId="275" applyNumberFormat="1" applyFont="1" applyFill="1" applyBorder="1" applyAlignment="1">
      <alignment horizontal="right" indent="1"/>
    </xf>
    <xf numFmtId="0" fontId="59" fillId="48" borderId="331" xfId="275" applyFont="1" applyFill="1" applyBorder="1" applyProtection="1"/>
    <xf numFmtId="49" fontId="3" fillId="89" borderId="92" xfId="275" applyNumberFormat="1" applyFont="1" applyFill="1" applyBorder="1" applyAlignment="1">
      <alignment horizontal="right" indent="1"/>
    </xf>
    <xf numFmtId="49" fontId="3" fillId="87" borderId="345" xfId="275" applyNumberFormat="1" applyFont="1" applyFill="1" applyBorder="1"/>
    <xf numFmtId="49" fontId="3" fillId="87" borderId="346" xfId="275" applyNumberFormat="1" applyFont="1" applyFill="1" applyBorder="1" applyAlignment="1" applyProtection="1">
      <alignment horizontal="right" indent="1"/>
    </xf>
    <xf numFmtId="49" fontId="3" fillId="89" borderId="92" xfId="275" applyNumberFormat="1" applyFont="1" applyFill="1" applyBorder="1"/>
    <xf numFmtId="49" fontId="3" fillId="90" borderId="251" xfId="275" applyNumberFormat="1" applyFont="1" applyFill="1" applyBorder="1" applyAlignment="1">
      <alignment horizontal="right" indent="1"/>
    </xf>
    <xf numFmtId="49" fontId="3" fillId="88" borderId="345" xfId="275" applyNumberFormat="1" applyFont="1" applyFill="1" applyBorder="1"/>
    <xf numFmtId="49" fontId="3" fillId="91" borderId="347" xfId="275" applyNumberFormat="1" applyFont="1" applyFill="1" applyBorder="1" applyAlignment="1" applyProtection="1">
      <alignment horizontal="right" indent="1"/>
    </xf>
    <xf numFmtId="49" fontId="3" fillId="92" borderId="92" xfId="275" applyNumberFormat="1" applyFont="1" applyFill="1" applyBorder="1"/>
    <xf numFmtId="0" fontId="144" fillId="0" borderId="0" xfId="305" applyFont="1" applyFill="1" applyBorder="1"/>
    <xf numFmtId="0" fontId="15" fillId="19" borderId="22" xfId="306" applyFont="1" applyFill="1" applyBorder="1" applyAlignment="1" applyProtection="1">
      <alignment vertical="center"/>
      <protection locked="0"/>
    </xf>
    <xf numFmtId="0" fontId="59" fillId="28" borderId="0" xfId="306" applyFont="1" applyFill="1" applyBorder="1" applyProtection="1"/>
    <xf numFmtId="0" fontId="3" fillId="0" borderId="0" xfId="306"/>
    <xf numFmtId="0" fontId="59" fillId="34" borderId="0" xfId="306" applyFont="1" applyFill="1" applyProtection="1"/>
    <xf numFmtId="0" fontId="15" fillId="19" borderId="0" xfId="306" applyFont="1" applyFill="1" applyBorder="1" applyAlignment="1" applyProtection="1">
      <alignment horizontal="left" vertical="center"/>
    </xf>
    <xf numFmtId="0" fontId="58" fillId="19" borderId="0" xfId="306" applyFont="1" applyFill="1" applyBorder="1" applyAlignment="1" applyProtection="1">
      <alignment vertical="center"/>
    </xf>
    <xf numFmtId="0" fontId="15" fillId="19" borderId="0" xfId="306" applyFont="1" applyFill="1" applyBorder="1" applyAlignment="1" applyProtection="1">
      <alignment vertical="center"/>
    </xf>
    <xf numFmtId="0" fontId="82" fillId="31" borderId="0" xfId="306" applyFont="1" applyFill="1" applyAlignment="1">
      <alignment vertical="center"/>
    </xf>
    <xf numFmtId="0" fontId="59" fillId="34" borderId="0" xfId="306" applyFont="1" applyFill="1" applyProtection="1">
      <protection locked="0"/>
    </xf>
    <xf numFmtId="0" fontId="6" fillId="14" borderId="0" xfId="306" applyFont="1" applyFill="1" applyBorder="1" applyAlignment="1" applyProtection="1">
      <alignment vertical="center"/>
    </xf>
    <xf numFmtId="0" fontId="3" fillId="14" borderId="0" xfId="306" applyFont="1" applyFill="1" applyBorder="1" applyAlignment="1" applyProtection="1">
      <alignment vertical="center"/>
    </xf>
    <xf numFmtId="0" fontId="61" fillId="34" borderId="0" xfId="306" applyFont="1" applyFill="1" applyAlignment="1" applyProtection="1">
      <alignment horizontal="left" vertical="top" wrapText="1"/>
    </xf>
    <xf numFmtId="0" fontId="3" fillId="34" borderId="0" xfId="306" applyFont="1" applyFill="1" applyAlignment="1" applyProtection="1">
      <alignment horizontal="left" vertical="top" wrapText="1"/>
    </xf>
    <xf numFmtId="0" fontId="76" fillId="28" borderId="0" xfId="306" applyFont="1" applyFill="1"/>
    <xf numFmtId="0" fontId="3" fillId="34" borderId="0" xfId="306" applyFont="1" applyFill="1" applyProtection="1"/>
    <xf numFmtId="0" fontId="38" fillId="36" borderId="19" xfId="306" applyFont="1" applyFill="1" applyBorder="1" applyAlignment="1" applyProtection="1">
      <alignment horizontal="center"/>
    </xf>
    <xf numFmtId="0" fontId="33" fillId="36" borderId="0" xfId="306" applyFont="1" applyFill="1" applyBorder="1" applyProtection="1"/>
    <xf numFmtId="0" fontId="3" fillId="36" borderId="0" xfId="306" applyFont="1" applyFill="1" applyBorder="1" applyProtection="1"/>
    <xf numFmtId="0" fontId="3" fillId="36" borderId="24" xfId="306" applyFont="1" applyFill="1" applyBorder="1" applyProtection="1"/>
    <xf numFmtId="0" fontId="158" fillId="36" borderId="19" xfId="306" applyFont="1" applyFill="1" applyBorder="1" applyAlignment="1" applyProtection="1">
      <alignment horizontal="left" indent="1"/>
    </xf>
    <xf numFmtId="0" fontId="159" fillId="36" borderId="0" xfId="306" applyFont="1" applyFill="1" applyBorder="1" applyProtection="1"/>
    <xf numFmtId="0" fontId="158" fillId="36" borderId="19" xfId="306" quotePrefix="1" applyFont="1" applyFill="1" applyBorder="1" applyAlignment="1" applyProtection="1">
      <alignment horizontal="left" indent="1"/>
    </xf>
    <xf numFmtId="0" fontId="3" fillId="36" borderId="0" xfId="306" applyFont="1" applyFill="1" applyBorder="1" applyAlignment="1" applyProtection="1">
      <alignment horizontal="left"/>
    </xf>
    <xf numFmtId="0" fontId="33" fillId="36" borderId="251" xfId="306" applyFont="1" applyFill="1" applyBorder="1" applyAlignment="1" applyProtection="1">
      <alignment horizontal="left" indent="1"/>
    </xf>
    <xf numFmtId="0" fontId="3" fillId="36" borderId="349" xfId="306" applyFont="1" applyFill="1" applyBorder="1" applyAlignment="1" applyProtection="1"/>
    <xf numFmtId="0" fontId="3" fillId="36" borderId="349" xfId="306" applyFont="1" applyFill="1" applyBorder="1" applyProtection="1"/>
    <xf numFmtId="0" fontId="3" fillId="36" borderId="205" xfId="306" applyFont="1" applyFill="1" applyBorder="1" applyProtection="1"/>
    <xf numFmtId="0" fontId="33" fillId="36" borderId="21" xfId="306" applyFont="1" applyFill="1" applyBorder="1" applyAlignment="1" applyProtection="1">
      <alignment horizontal="left" indent="1"/>
    </xf>
    <xf numFmtId="0" fontId="3" fillId="36" borderId="22" xfId="306" applyFont="1" applyFill="1" applyBorder="1" applyAlignment="1" applyProtection="1"/>
    <xf numFmtId="0" fontId="3" fillId="36" borderId="22" xfId="306" applyFont="1" applyFill="1" applyBorder="1" applyProtection="1"/>
    <xf numFmtId="0" fontId="3" fillId="36" borderId="23" xfId="306" applyFont="1" applyFill="1" applyBorder="1" applyProtection="1"/>
    <xf numFmtId="0" fontId="13" fillId="36" borderId="24" xfId="306" applyFont="1" applyFill="1" applyBorder="1" applyAlignment="1" applyProtection="1"/>
    <xf numFmtId="0" fontId="35" fillId="36" borderId="19" xfId="306" applyFont="1" applyFill="1" applyBorder="1" applyAlignment="1" applyProtection="1">
      <alignment horizontal="left" indent="1"/>
    </xf>
    <xf numFmtId="0" fontId="13" fillId="36" borderId="0" xfId="306" applyFont="1" applyFill="1" applyBorder="1" applyAlignment="1" applyProtection="1">
      <alignment horizontal="right" indent="1"/>
    </xf>
    <xf numFmtId="0" fontId="13" fillId="36" borderId="0" xfId="306" applyFont="1" applyFill="1" applyBorder="1" applyProtection="1"/>
    <xf numFmtId="0" fontId="3" fillId="30" borderId="12" xfId="306" applyFont="1" applyFill="1" applyBorder="1" applyAlignment="1" applyProtection="1">
      <alignment horizontal="left"/>
      <protection locked="0"/>
    </xf>
    <xf numFmtId="0" fontId="3" fillId="25" borderId="12" xfId="306" applyFont="1" applyFill="1" applyBorder="1" applyAlignment="1" applyProtection="1">
      <alignment horizontal="left"/>
      <protection locked="0"/>
    </xf>
    <xf numFmtId="0" fontId="3" fillId="36" borderId="24" xfId="306" applyFont="1" applyFill="1" applyBorder="1" applyAlignment="1" applyProtection="1"/>
    <xf numFmtId="0" fontId="33" fillId="36" borderId="19" xfId="306" applyFont="1" applyFill="1" applyBorder="1" applyAlignment="1" applyProtection="1">
      <alignment horizontal="left" indent="1"/>
    </xf>
    <xf numFmtId="0" fontId="33" fillId="36" borderId="301" xfId="306" applyFont="1" applyFill="1" applyBorder="1" applyAlignment="1" applyProtection="1">
      <alignment horizontal="left" indent="1"/>
    </xf>
    <xf numFmtId="0" fontId="3" fillId="36" borderId="217" xfId="306" applyFont="1" applyFill="1" applyBorder="1" applyAlignment="1" applyProtection="1"/>
    <xf numFmtId="0" fontId="3" fillId="36" borderId="217" xfId="306" applyFont="1" applyFill="1" applyBorder="1" applyProtection="1"/>
    <xf numFmtId="0" fontId="3" fillId="36" borderId="351" xfId="306" applyFont="1" applyFill="1" applyBorder="1" applyProtection="1"/>
    <xf numFmtId="0" fontId="3" fillId="36" borderId="0" xfId="306" applyFont="1" applyFill="1" applyBorder="1" applyAlignment="1" applyProtection="1"/>
    <xf numFmtId="0" fontId="158" fillId="36" borderId="19" xfId="306" applyFont="1" applyFill="1" applyBorder="1" applyAlignment="1" applyProtection="1">
      <alignment horizontal="left" vertical="top"/>
    </xf>
    <xf numFmtId="0" fontId="3" fillId="25" borderId="14" xfId="306" applyFont="1" applyFill="1" applyBorder="1" applyAlignment="1" applyProtection="1">
      <alignment horizontal="left" vertical="center"/>
      <protection locked="0"/>
    </xf>
    <xf numFmtId="0" fontId="3" fillId="25" borderId="16" xfId="306" applyFont="1" applyFill="1" applyBorder="1" applyAlignment="1" applyProtection="1">
      <alignment horizontal="left" vertical="center" wrapText="1"/>
      <protection locked="0"/>
    </xf>
    <xf numFmtId="0" fontId="3" fillId="36" borderId="0" xfId="306" applyFont="1" applyFill="1" applyBorder="1" applyAlignment="1" applyProtection="1">
      <alignment horizontal="center" vertical="top"/>
    </xf>
    <xf numFmtId="0" fontId="3" fillId="36" borderId="0" xfId="306" applyFont="1" applyFill="1" applyBorder="1" applyAlignment="1" applyProtection="1">
      <alignment vertical="top"/>
    </xf>
    <xf numFmtId="0" fontId="3" fillId="36" borderId="24" xfId="306" applyFont="1" applyFill="1" applyBorder="1" applyAlignment="1" applyProtection="1">
      <alignment vertical="top"/>
    </xf>
    <xf numFmtId="180" fontId="3" fillId="25" borderId="16" xfId="306" applyNumberFormat="1" applyFont="1" applyFill="1" applyBorder="1" applyAlignment="1" applyProtection="1">
      <alignment horizontal="left" vertical="center"/>
      <protection locked="0"/>
    </xf>
    <xf numFmtId="0" fontId="3" fillId="36" borderId="0" xfId="306" applyFont="1" applyFill="1" applyBorder="1" applyAlignment="1" applyProtection="1">
      <alignment horizontal="center"/>
    </xf>
    <xf numFmtId="180" fontId="3" fillId="25" borderId="14" xfId="306" applyNumberFormat="1" applyFont="1" applyFill="1" applyBorder="1" applyAlignment="1" applyProtection="1">
      <alignment horizontal="left" vertical="center"/>
      <protection locked="0"/>
    </xf>
    <xf numFmtId="0" fontId="3" fillId="25" borderId="14" xfId="306" applyFill="1" applyBorder="1" applyAlignment="1" applyProtection="1">
      <alignment horizontal="left" vertical="center"/>
      <protection locked="0"/>
    </xf>
    <xf numFmtId="0" fontId="13" fillId="36" borderId="19" xfId="305" applyFont="1" applyFill="1" applyBorder="1" applyProtection="1">
      <protection locked="0"/>
    </xf>
    <xf numFmtId="0" fontId="13" fillId="36" borderId="0" xfId="305" applyFont="1" applyFill="1" applyBorder="1" applyProtection="1">
      <protection locked="0"/>
    </xf>
    <xf numFmtId="0" fontId="3" fillId="36" borderId="0" xfId="305" applyFont="1" applyFill="1" applyBorder="1" applyProtection="1">
      <protection locked="0"/>
    </xf>
    <xf numFmtId="0" fontId="3" fillId="36" borderId="24" xfId="305" applyFont="1" applyFill="1" applyBorder="1" applyProtection="1">
      <protection locked="0"/>
    </xf>
    <xf numFmtId="0" fontId="158" fillId="36" borderId="19" xfId="305" applyFont="1" applyFill="1" applyBorder="1" applyAlignment="1" applyProtection="1">
      <alignment horizontal="left" indent="1"/>
      <protection locked="0"/>
    </xf>
    <xf numFmtId="0" fontId="51" fillId="25" borderId="45" xfId="305" applyNumberFormat="1" applyFont="1" applyFill="1" applyBorder="1" applyAlignment="1" applyProtection="1">
      <alignment horizontal="center" vertical="center" wrapText="1"/>
      <protection locked="0"/>
    </xf>
    <xf numFmtId="0" fontId="3" fillId="31" borderId="19" xfId="305" applyFont="1" applyFill="1" applyBorder="1" applyAlignment="1" applyProtection="1">
      <alignment horizontal="center" vertical="center"/>
    </xf>
    <xf numFmtId="0" fontId="3" fillId="31" borderId="0" xfId="305" applyFont="1" applyFill="1" applyBorder="1" applyAlignment="1" applyProtection="1">
      <alignment horizontal="center" vertical="center"/>
    </xf>
    <xf numFmtId="0" fontId="156" fillId="36" borderId="24" xfId="306" applyFont="1" applyFill="1" applyBorder="1" applyProtection="1"/>
    <xf numFmtId="0" fontId="160" fillId="0" borderId="0" xfId="306" applyFont="1"/>
    <xf numFmtId="0" fontId="33" fillId="36" borderId="251" xfId="305" applyFont="1" applyFill="1" applyBorder="1" applyAlignment="1" applyProtection="1">
      <alignment horizontal="left" indent="1"/>
      <protection locked="0"/>
    </xf>
    <xf numFmtId="0" fontId="3" fillId="36" borderId="349" xfId="305" applyFont="1" applyFill="1" applyBorder="1" applyAlignment="1" applyProtection="1">
      <protection locked="0"/>
    </xf>
    <xf numFmtId="0" fontId="3" fillId="36" borderId="349" xfId="305" applyFont="1" applyFill="1" applyBorder="1" applyProtection="1">
      <protection locked="0"/>
    </xf>
    <xf numFmtId="0" fontId="3" fillId="36" borderId="205" xfId="305" applyFont="1" applyFill="1" applyBorder="1" applyProtection="1">
      <protection locked="0"/>
    </xf>
    <xf numFmtId="0" fontId="33" fillId="36" borderId="21" xfId="305" applyFont="1" applyFill="1" applyBorder="1" applyAlignment="1" applyProtection="1">
      <alignment horizontal="left" indent="1"/>
      <protection locked="0"/>
    </xf>
    <xf numFmtId="0" fontId="3" fillId="36" borderId="22" xfId="305" applyFont="1" applyFill="1" applyBorder="1" applyAlignment="1" applyProtection="1">
      <protection locked="0"/>
    </xf>
    <xf numFmtId="0" fontId="3" fillId="36" borderId="22" xfId="305" applyFont="1" applyFill="1" applyBorder="1" applyProtection="1">
      <protection locked="0"/>
    </xf>
    <xf numFmtId="0" fontId="3" fillId="36" borderId="23" xfId="305" applyFont="1" applyFill="1" applyBorder="1" applyProtection="1">
      <protection locked="0"/>
    </xf>
    <xf numFmtId="0" fontId="3" fillId="31" borderId="0" xfId="305" quotePrefix="1" applyFont="1" applyFill="1" applyBorder="1" applyAlignment="1" applyProtection="1">
      <alignment horizontal="center" vertical="center"/>
    </xf>
    <xf numFmtId="0" fontId="156" fillId="36" borderId="24" xfId="305" applyFont="1" applyFill="1" applyBorder="1" applyAlignment="1" applyProtection="1">
      <protection locked="0"/>
    </xf>
    <xf numFmtId="0" fontId="13" fillId="36" borderId="24" xfId="305" applyFont="1" applyFill="1" applyBorder="1" applyAlignment="1" applyProtection="1">
      <protection locked="0"/>
    </xf>
    <xf numFmtId="0" fontId="13" fillId="36" borderId="251" xfId="305" applyFont="1" applyFill="1" applyBorder="1" applyAlignment="1" applyProtection="1">
      <alignment horizontal="left" indent="1"/>
      <protection locked="0"/>
    </xf>
    <xf numFmtId="0" fontId="13" fillId="36" borderId="349" xfId="305" applyFont="1" applyFill="1" applyBorder="1" applyProtection="1">
      <protection locked="0"/>
    </xf>
    <xf numFmtId="0" fontId="13" fillId="36" borderId="349" xfId="305" applyFont="1" applyFill="1" applyBorder="1" applyAlignment="1" applyProtection="1">
      <protection locked="0"/>
    </xf>
    <xf numFmtId="0" fontId="13" fillId="36" borderId="205" xfId="305" applyFont="1" applyFill="1" applyBorder="1" applyAlignment="1" applyProtection="1">
      <protection locked="0"/>
    </xf>
    <xf numFmtId="0" fontId="47" fillId="97" borderId="21" xfId="418" applyFont="1" applyFill="1" applyBorder="1" applyAlignment="1" applyProtection="1">
      <alignment horizontal="left" indent="1"/>
    </xf>
    <xf numFmtId="0" fontId="3" fillId="97" borderId="22" xfId="418" applyFont="1" applyFill="1" applyBorder="1" applyAlignment="1" applyProtection="1"/>
    <xf numFmtId="0" fontId="3" fillId="97" borderId="22" xfId="418" applyFont="1" applyFill="1" applyBorder="1" applyProtection="1"/>
    <xf numFmtId="0" fontId="3" fillId="97" borderId="23" xfId="418" applyFont="1" applyFill="1" applyBorder="1" applyProtection="1"/>
    <xf numFmtId="0" fontId="158" fillId="97" borderId="19" xfId="418" applyFont="1" applyFill="1" applyBorder="1" applyAlignment="1" applyProtection="1">
      <alignment horizontal="left" indent="1"/>
    </xf>
    <xf numFmtId="0" fontId="6" fillId="29" borderId="45" xfId="533" applyFont="1" applyFill="1" applyBorder="1" applyAlignment="1" applyProtection="1">
      <alignment horizontal="center" vertical="center"/>
      <protection locked="0"/>
    </xf>
    <xf numFmtId="0" fontId="156" fillId="97" borderId="0" xfId="418" applyFont="1" applyFill="1" applyBorder="1" applyAlignment="1" applyProtection="1">
      <alignment horizontal="right"/>
    </xf>
    <xf numFmtId="0" fontId="161" fillId="97" borderId="0" xfId="418" applyFont="1" applyFill="1" applyBorder="1" applyAlignment="1" applyProtection="1">
      <alignment horizontal="center"/>
    </xf>
    <xf numFmtId="0" fontId="3" fillId="97" borderId="0" xfId="418" applyFont="1" applyFill="1" applyBorder="1" applyProtection="1"/>
    <xf numFmtId="0" fontId="3" fillId="97" borderId="24" xfId="418" applyFont="1" applyFill="1" applyBorder="1" applyProtection="1"/>
    <xf numFmtId="0" fontId="162" fillId="97" borderId="19" xfId="418" applyFont="1" applyFill="1" applyBorder="1" applyAlignment="1" applyProtection="1">
      <alignment horizontal="left" indent="1"/>
    </xf>
    <xf numFmtId="0" fontId="55" fillId="97" borderId="0" xfId="418" applyFont="1" applyFill="1" applyBorder="1" applyProtection="1"/>
    <xf numFmtId="0" fontId="47" fillId="97" borderId="251" xfId="418" applyFont="1" applyFill="1" applyBorder="1" applyAlignment="1" applyProtection="1">
      <alignment horizontal="left" indent="1"/>
    </xf>
    <xf numFmtId="0" fontId="3" fillId="97" borderId="349" xfId="418" applyFont="1" applyFill="1" applyBorder="1" applyAlignment="1" applyProtection="1"/>
    <xf numFmtId="0" fontId="3" fillId="97" borderId="349" xfId="418" applyFont="1" applyFill="1" applyBorder="1" applyProtection="1"/>
    <xf numFmtId="0" fontId="3" fillId="97" borderId="205" xfId="418" applyFont="1" applyFill="1" applyBorder="1" applyProtection="1"/>
    <xf numFmtId="0" fontId="3" fillId="0" borderId="0" xfId="306" applyAlignment="1">
      <alignment horizontal="left"/>
    </xf>
    <xf numFmtId="0" fontId="161" fillId="0" borderId="0" xfId="418" applyFont="1" applyFill="1" applyBorder="1" applyAlignment="1" applyProtection="1">
      <alignment horizontal="left"/>
    </xf>
    <xf numFmtId="0" fontId="3" fillId="0" borderId="0" xfId="306" applyFill="1"/>
    <xf numFmtId="0" fontId="59" fillId="34" borderId="349" xfId="306" applyFont="1" applyFill="1" applyBorder="1" applyProtection="1"/>
    <xf numFmtId="0" fontId="3" fillId="37" borderId="50" xfId="306" applyFont="1" applyFill="1" applyBorder="1" applyAlignment="1" applyProtection="1"/>
    <xf numFmtId="0" fontId="163" fillId="37" borderId="178" xfId="306" applyFont="1" applyFill="1" applyBorder="1" applyAlignment="1" applyProtection="1">
      <alignment vertical="top"/>
    </xf>
    <xf numFmtId="0" fontId="59" fillId="37" borderId="22" xfId="306" applyFont="1" applyFill="1" applyBorder="1" applyProtection="1"/>
    <xf numFmtId="0" fontId="59" fillId="37" borderId="23" xfId="306" applyFont="1" applyFill="1" applyBorder="1" applyProtection="1"/>
    <xf numFmtId="0" fontId="3" fillId="37" borderId="51" xfId="306" applyFont="1" applyFill="1" applyBorder="1" applyProtection="1"/>
    <xf numFmtId="0" fontId="6" fillId="25" borderId="45" xfId="306" applyFont="1" applyFill="1" applyBorder="1" applyProtection="1">
      <protection locked="0"/>
    </xf>
    <xf numFmtId="0" fontId="59" fillId="37" borderId="0" xfId="306" applyFont="1" applyFill="1" applyBorder="1" applyProtection="1"/>
    <xf numFmtId="0" fontId="59" fillId="37" borderId="24" xfId="306" applyFont="1" applyFill="1" applyBorder="1" applyProtection="1"/>
    <xf numFmtId="0" fontId="3" fillId="37" borderId="84" xfId="306" applyFont="1" applyFill="1" applyBorder="1" applyAlignment="1" applyProtection="1">
      <alignment vertical="center"/>
    </xf>
    <xf numFmtId="0" fontId="3" fillId="37" borderId="352" xfId="306" applyFont="1" applyFill="1" applyBorder="1" applyAlignment="1" applyProtection="1">
      <alignment vertical="top"/>
    </xf>
    <xf numFmtId="14" fontId="3" fillId="25" borderId="258" xfId="306" quotePrefix="1" applyNumberFormat="1" applyFont="1" applyFill="1" applyBorder="1" applyAlignment="1" applyProtection="1">
      <alignment horizontal="center" vertical="top"/>
      <protection locked="0"/>
    </xf>
    <xf numFmtId="0" fontId="164" fillId="37" borderId="0" xfId="278" applyFont="1" applyFill="1" applyBorder="1" applyProtection="1"/>
    <xf numFmtId="0" fontId="165" fillId="37" borderId="0" xfId="306" applyFont="1" applyFill="1" applyBorder="1" applyAlignment="1" applyProtection="1">
      <alignment vertical="top"/>
    </xf>
    <xf numFmtId="0" fontId="165" fillId="37" borderId="24" xfId="306" applyFont="1" applyFill="1" applyBorder="1" applyAlignment="1" applyProtection="1">
      <alignment vertical="top"/>
    </xf>
    <xf numFmtId="0" fontId="3" fillId="37" borderId="251" xfId="306" applyFont="1" applyFill="1" applyBorder="1" applyProtection="1"/>
    <xf numFmtId="0" fontId="3" fillId="25" borderId="92" xfId="306" applyFont="1" applyFill="1" applyBorder="1" applyAlignment="1" applyProtection="1">
      <alignment horizontal="center"/>
      <protection locked="0"/>
    </xf>
    <xf numFmtId="0" fontId="59" fillId="37" borderId="349" xfId="306" applyFont="1" applyFill="1" applyBorder="1" applyProtection="1"/>
    <xf numFmtId="0" fontId="59" fillId="37" borderId="205" xfId="306" applyFont="1" applyFill="1" applyBorder="1" applyProtection="1"/>
    <xf numFmtId="0" fontId="3" fillId="37" borderId="166" xfId="306" applyFont="1" applyFill="1" applyBorder="1" applyAlignment="1" applyProtection="1">
      <alignment vertical="top"/>
    </xf>
    <xf numFmtId="0" fontId="3" fillId="37" borderId="121" xfId="306" applyFont="1" applyFill="1" applyBorder="1" applyAlignment="1" applyProtection="1">
      <alignment horizontal="center" vertical="top"/>
    </xf>
    <xf numFmtId="0" fontId="166" fillId="37" borderId="121" xfId="306" quotePrefix="1" applyFont="1" applyFill="1" applyBorder="1" applyAlignment="1" applyProtection="1">
      <alignment vertical="top"/>
    </xf>
    <xf numFmtId="0" fontId="165" fillId="37" borderId="271" xfId="306" quotePrefix="1" applyFont="1" applyFill="1" applyBorder="1" applyAlignment="1" applyProtection="1">
      <alignment vertical="top"/>
    </xf>
    <xf numFmtId="0" fontId="165" fillId="37" borderId="159" xfId="306" applyFont="1" applyFill="1" applyBorder="1" applyAlignment="1" applyProtection="1">
      <alignment vertical="top"/>
    </xf>
    <xf numFmtId="0" fontId="165" fillId="37" borderId="274" xfId="306" applyFont="1" applyFill="1" applyBorder="1" applyAlignment="1" applyProtection="1">
      <alignment vertical="top"/>
    </xf>
    <xf numFmtId="0" fontId="3" fillId="0" borderId="0" xfId="306" applyAlignment="1">
      <alignment vertical="center"/>
    </xf>
    <xf numFmtId="0" fontId="59" fillId="34" borderId="0" xfId="306" applyFont="1" applyFill="1" applyAlignment="1" applyProtection="1">
      <alignment vertical="center"/>
    </xf>
    <xf numFmtId="0" fontId="3" fillId="37" borderId="111" xfId="306" applyFont="1" applyFill="1" applyBorder="1" applyAlignment="1" applyProtection="1">
      <alignment vertical="top"/>
    </xf>
    <xf numFmtId="0" fontId="3" fillId="37" borderId="43" xfId="306" applyFont="1" applyFill="1" applyBorder="1" applyAlignment="1" applyProtection="1">
      <alignment horizontal="center" vertical="top"/>
    </xf>
    <xf numFmtId="0" fontId="166" fillId="37" borderId="43" xfId="306" quotePrefix="1" applyFont="1" applyFill="1" applyBorder="1" applyAlignment="1" applyProtection="1">
      <alignment vertical="top"/>
    </xf>
    <xf numFmtId="0" fontId="165" fillId="37" borderId="275" xfId="306" quotePrefix="1" applyFont="1" applyFill="1" applyBorder="1" applyAlignment="1" applyProtection="1">
      <alignment vertical="top"/>
    </xf>
    <xf numFmtId="0" fontId="165" fillId="37" borderId="113" xfId="306" applyFont="1" applyFill="1" applyBorder="1" applyAlignment="1" applyProtection="1">
      <alignment vertical="top"/>
    </xf>
    <xf numFmtId="0" fontId="165" fillId="37" borderId="176" xfId="306" applyFont="1" applyFill="1" applyBorder="1" applyAlignment="1" applyProtection="1">
      <alignment vertical="top"/>
    </xf>
    <xf numFmtId="0" fontId="6" fillId="37" borderId="43" xfId="306" applyFont="1" applyFill="1" applyBorder="1" applyAlignment="1" applyProtection="1">
      <alignment horizontal="center" vertical="top"/>
    </xf>
    <xf numFmtId="0" fontId="6" fillId="25" borderId="43" xfId="306" applyFont="1" applyFill="1" applyBorder="1" applyAlignment="1" applyProtection="1">
      <alignment horizontal="center" vertical="top"/>
    </xf>
    <xf numFmtId="0" fontId="166" fillId="37" borderId="43" xfId="306" applyFont="1" applyFill="1" applyBorder="1" applyAlignment="1" applyProtection="1">
      <alignment vertical="top"/>
    </xf>
    <xf numFmtId="0" fontId="165" fillId="37" borderId="275" xfId="306" applyFont="1" applyFill="1" applyBorder="1" applyAlignment="1" applyProtection="1">
      <alignment vertical="top"/>
    </xf>
    <xf numFmtId="0" fontId="85" fillId="37" borderId="111" xfId="306" applyFont="1" applyFill="1" applyBorder="1" applyAlignment="1" applyProtection="1">
      <alignment vertical="top"/>
    </xf>
    <xf numFmtId="0" fontId="85" fillId="37" borderId="43" xfId="306" applyFont="1" applyFill="1" applyBorder="1" applyAlignment="1" applyProtection="1">
      <alignment horizontal="center" vertical="top"/>
    </xf>
    <xf numFmtId="0" fontId="85" fillId="37" borderId="43" xfId="306" applyFont="1" applyFill="1" applyBorder="1" applyAlignment="1" applyProtection="1">
      <alignment vertical="top"/>
    </xf>
    <xf numFmtId="0" fontId="85" fillId="37" borderId="275" xfId="306" applyFont="1" applyFill="1" applyBorder="1" applyAlignment="1" applyProtection="1">
      <alignment vertical="top"/>
    </xf>
    <xf numFmtId="0" fontId="85" fillId="37" borderId="113" xfId="306" applyFont="1" applyFill="1" applyBorder="1" applyAlignment="1" applyProtection="1">
      <alignment vertical="top"/>
    </xf>
    <xf numFmtId="0" fontId="85" fillId="37" borderId="176" xfId="306" applyFont="1" applyFill="1" applyBorder="1" applyAlignment="1" applyProtection="1">
      <alignment vertical="top"/>
    </xf>
    <xf numFmtId="0" fontId="3" fillId="37" borderId="43" xfId="306" quotePrefix="1" applyFont="1" applyFill="1" applyBorder="1" applyAlignment="1" applyProtection="1">
      <alignment horizontal="center" vertical="top"/>
    </xf>
    <xf numFmtId="0" fontId="3" fillId="37" borderId="112" xfId="306" applyFont="1" applyFill="1" applyBorder="1" applyAlignment="1" applyProtection="1">
      <alignment vertical="top"/>
    </xf>
    <xf numFmtId="0" fontId="3" fillId="37" borderId="106" xfId="306" applyFont="1" applyFill="1" applyBorder="1" applyAlignment="1" applyProtection="1">
      <alignment horizontal="center" vertical="top"/>
    </xf>
    <xf numFmtId="0" fontId="166" fillId="37" borderId="106" xfId="306" quotePrefix="1" applyFont="1" applyFill="1" applyBorder="1" applyAlignment="1" applyProtection="1">
      <alignment vertical="top"/>
    </xf>
    <xf numFmtId="0" fontId="165" fillId="37" borderId="350" xfId="306" quotePrefix="1" applyFont="1" applyFill="1" applyBorder="1" applyAlignment="1" applyProtection="1">
      <alignment vertical="top"/>
    </xf>
    <xf numFmtId="0" fontId="165" fillId="37" borderId="175" xfId="306" applyFont="1" applyFill="1" applyBorder="1" applyAlignment="1" applyProtection="1">
      <alignment vertical="top"/>
    </xf>
    <xf numFmtId="0" fontId="165" fillId="37" borderId="177" xfId="306" applyFont="1" applyFill="1" applyBorder="1" applyAlignment="1" applyProtection="1">
      <alignment vertical="top"/>
    </xf>
    <xf numFmtId="0" fontId="3" fillId="37" borderId="317" xfId="306" applyFont="1" applyFill="1" applyBorder="1" applyAlignment="1" applyProtection="1">
      <alignment horizontal="left" vertical="top" indent="2"/>
    </xf>
    <xf numFmtId="0" fontId="3" fillId="48" borderId="22" xfId="306" applyFont="1" applyFill="1" applyBorder="1" applyAlignment="1">
      <alignment horizontal="center"/>
    </xf>
    <xf numFmtId="0" fontId="3" fillId="37" borderId="353" xfId="306" applyFont="1" applyFill="1" applyBorder="1" applyAlignment="1" applyProtection="1">
      <alignment horizontal="left" vertical="top" indent="2"/>
    </xf>
    <xf numFmtId="0" fontId="3" fillId="48" borderId="217" xfId="306" applyFont="1" applyFill="1" applyBorder="1" applyAlignment="1">
      <alignment horizontal="center"/>
    </xf>
    <xf numFmtId="0" fontId="166" fillId="37" borderId="354" xfId="306" quotePrefix="1" applyFont="1" applyFill="1" applyBorder="1" applyAlignment="1" applyProtection="1">
      <alignment vertical="top"/>
    </xf>
    <xf numFmtId="0" fontId="165" fillId="37" borderId="355" xfId="306" quotePrefix="1" applyFont="1" applyFill="1" applyBorder="1" applyAlignment="1" applyProtection="1">
      <alignment vertical="top"/>
    </xf>
    <xf numFmtId="0" fontId="165" fillId="37" borderId="217" xfId="306" applyFont="1" applyFill="1" applyBorder="1" applyAlignment="1" applyProtection="1">
      <alignment vertical="top"/>
    </xf>
    <xf numFmtId="0" fontId="165" fillId="37" borderId="351" xfId="306" applyFont="1" applyFill="1" applyBorder="1" applyAlignment="1" applyProtection="1">
      <alignment vertical="top"/>
    </xf>
    <xf numFmtId="0" fontId="3" fillId="37" borderId="356" xfId="306" applyFont="1" applyFill="1" applyBorder="1" applyAlignment="1" applyProtection="1">
      <alignment horizontal="left" vertical="top" indent="2"/>
    </xf>
    <xf numFmtId="0" fontId="3" fillId="48" borderId="0" xfId="306" applyFont="1" applyFill="1" applyBorder="1" applyAlignment="1">
      <alignment horizontal="center"/>
    </xf>
    <xf numFmtId="0" fontId="166" fillId="37" borderId="119" xfId="306" quotePrefix="1" applyFont="1" applyFill="1" applyBorder="1" applyAlignment="1" applyProtection="1">
      <alignment vertical="top"/>
    </xf>
    <xf numFmtId="0" fontId="165" fillId="37" borderId="272" xfId="306" quotePrefix="1" applyFont="1" applyFill="1" applyBorder="1" applyAlignment="1" applyProtection="1">
      <alignment vertical="top"/>
    </xf>
    <xf numFmtId="0" fontId="165" fillId="37" borderId="115" xfId="306" applyFont="1" applyFill="1" applyBorder="1" applyAlignment="1" applyProtection="1">
      <alignment vertical="top"/>
    </xf>
    <xf numFmtId="0" fontId="165" fillId="37" borderId="172" xfId="306" applyFont="1" applyFill="1" applyBorder="1" applyAlignment="1" applyProtection="1">
      <alignment vertical="top"/>
    </xf>
    <xf numFmtId="0" fontId="3" fillId="37" borderId="126" xfId="306" applyFont="1" applyFill="1" applyBorder="1" applyAlignment="1" applyProtection="1">
      <alignment horizontal="left" vertical="top" indent="2"/>
    </xf>
    <xf numFmtId="0" fontId="59" fillId="37" borderId="19" xfId="306" applyFont="1" applyFill="1" applyBorder="1" applyAlignment="1" applyProtection="1">
      <alignment horizontal="left" indent="2"/>
    </xf>
    <xf numFmtId="0" fontId="46" fillId="37" borderId="0" xfId="306" applyFont="1" applyFill="1" applyBorder="1" applyAlignment="1" applyProtection="1">
      <alignment horizontal="center"/>
    </xf>
    <xf numFmtId="0" fontId="51" fillId="37" borderId="19" xfId="306" applyFont="1" applyFill="1" applyBorder="1" applyAlignment="1" applyProtection="1">
      <alignment horizontal="left"/>
    </xf>
    <xf numFmtId="0" fontId="51" fillId="37" borderId="0" xfId="306" applyFont="1" applyFill="1" applyBorder="1" applyAlignment="1" applyProtection="1">
      <alignment horizontal="center"/>
    </xf>
    <xf numFmtId="0" fontId="142" fillId="37" borderId="24" xfId="306" applyFont="1" applyFill="1" applyBorder="1" applyAlignment="1" applyProtection="1">
      <alignment horizontal="right"/>
    </xf>
    <xf numFmtId="0" fontId="3" fillId="37" borderId="111" xfId="306" applyFont="1" applyFill="1" applyBorder="1" applyAlignment="1" applyProtection="1">
      <alignment horizontal="left" vertical="top" indent="2"/>
    </xf>
    <xf numFmtId="0" fontId="166" fillId="37" borderId="43" xfId="306" quotePrefix="1" applyFont="1" applyFill="1" applyBorder="1" applyAlignment="1" applyProtection="1">
      <alignment horizontal="left" vertical="top"/>
    </xf>
    <xf numFmtId="0" fontId="165" fillId="37" borderId="275" xfId="306" quotePrefix="1" applyFont="1" applyFill="1" applyBorder="1" applyAlignment="1" applyProtection="1">
      <alignment horizontal="left" vertical="top"/>
    </xf>
    <xf numFmtId="0" fontId="3" fillId="0" borderId="0" xfId="306" applyAlignment="1">
      <alignment vertical="top"/>
    </xf>
    <xf numFmtId="0" fontId="3" fillId="0" borderId="0" xfId="306" applyAlignment="1">
      <alignment horizontal="left" vertical="top"/>
    </xf>
    <xf numFmtId="0" fontId="59" fillId="34" borderId="0" xfId="306" applyFont="1" applyFill="1" applyAlignment="1" applyProtection="1">
      <alignment vertical="top"/>
    </xf>
    <xf numFmtId="0" fontId="3" fillId="37" borderId="277" xfId="306" applyFont="1" applyFill="1" applyBorder="1" applyAlignment="1" applyProtection="1">
      <alignment horizontal="left" vertical="top" indent="2"/>
    </xf>
    <xf numFmtId="0" fontId="166" fillId="37" borderId="278" xfId="306" quotePrefix="1" applyFont="1" applyFill="1" applyBorder="1" applyAlignment="1" applyProtection="1">
      <alignment horizontal="left" vertical="top"/>
    </xf>
    <xf numFmtId="0" fontId="165" fillId="37" borderId="357" xfId="306" applyFont="1" applyFill="1" applyBorder="1" applyAlignment="1" applyProtection="1">
      <alignment vertical="top"/>
    </xf>
    <xf numFmtId="0" fontId="6" fillId="37" borderId="112" xfId="306" applyFont="1" applyFill="1" applyBorder="1" applyAlignment="1" applyProtection="1">
      <alignment vertical="top"/>
    </xf>
    <xf numFmtId="0" fontId="51" fillId="37" borderId="349" xfId="306" applyFont="1" applyFill="1" applyBorder="1" applyAlignment="1" applyProtection="1">
      <alignment horizontal="center"/>
    </xf>
    <xf numFmtId="0" fontId="166" fillId="37" borderId="106" xfId="306" quotePrefix="1" applyFont="1" applyFill="1" applyBorder="1" applyAlignment="1" applyProtection="1">
      <alignment horizontal="left" vertical="top"/>
    </xf>
    <xf numFmtId="0" fontId="165" fillId="37" borderId="350" xfId="306" quotePrefix="1" applyFont="1" applyFill="1" applyBorder="1" applyAlignment="1" applyProtection="1">
      <alignment horizontal="left" vertical="top"/>
    </xf>
    <xf numFmtId="0" fontId="142" fillId="37" borderId="205" xfId="306" applyFont="1" applyFill="1" applyBorder="1" applyAlignment="1" applyProtection="1">
      <alignment horizontal="right"/>
    </xf>
    <xf numFmtId="0" fontId="3" fillId="37" borderId="126" xfId="306" applyFont="1" applyFill="1" applyBorder="1" applyAlignment="1" applyProtection="1">
      <alignment vertical="top"/>
    </xf>
    <xf numFmtId="0" fontId="3" fillId="37" borderId="119" xfId="306" applyFont="1" applyFill="1" applyBorder="1" applyAlignment="1" applyProtection="1">
      <alignment horizontal="center" vertical="top"/>
    </xf>
    <xf numFmtId="0" fontId="59" fillId="37" borderId="272" xfId="306" applyFont="1" applyFill="1" applyBorder="1" applyAlignment="1" applyProtection="1">
      <alignment vertical="top"/>
    </xf>
    <xf numFmtId="0" fontId="59" fillId="37" borderId="115" xfId="306" applyFont="1" applyFill="1" applyBorder="1" applyAlignment="1" applyProtection="1">
      <alignment vertical="top"/>
    </xf>
    <xf numFmtId="0" fontId="59" fillId="37" borderId="172" xfId="306" applyFont="1" applyFill="1" applyBorder="1" applyAlignment="1" applyProtection="1">
      <alignment vertical="top"/>
    </xf>
    <xf numFmtId="0" fontId="3" fillId="37" borderId="277" xfId="306" applyFont="1" applyFill="1" applyBorder="1" applyAlignment="1" applyProtection="1">
      <alignment vertical="top"/>
    </xf>
    <xf numFmtId="0" fontId="3" fillId="37" borderId="106" xfId="306" applyFont="1" applyFill="1" applyBorder="1" applyAlignment="1" applyProtection="1">
      <alignment horizontal="left" vertical="top"/>
    </xf>
    <xf numFmtId="0" fontId="51" fillId="37" borderId="278" xfId="306" applyFont="1" applyFill="1" applyBorder="1" applyAlignment="1" applyProtection="1">
      <alignment vertical="top"/>
    </xf>
    <xf numFmtId="0" fontId="59" fillId="37" borderId="279" xfId="306" applyFont="1" applyFill="1" applyBorder="1" applyAlignment="1" applyProtection="1">
      <alignment vertical="top"/>
    </xf>
    <xf numFmtId="0" fontId="59" fillId="37" borderId="357" xfId="306" applyFont="1" applyFill="1" applyBorder="1" applyAlignment="1" applyProtection="1">
      <alignment vertical="top"/>
    </xf>
    <xf numFmtId="0" fontId="59" fillId="37" borderId="358" xfId="306" applyFont="1" applyFill="1" applyBorder="1" applyAlignment="1" applyProtection="1">
      <alignment vertical="top"/>
    </xf>
    <xf numFmtId="0" fontId="46" fillId="37" borderId="119" xfId="306" quotePrefix="1" applyFont="1" applyFill="1" applyBorder="1" applyAlignment="1" applyProtection="1">
      <alignment horizontal="center" vertical="center"/>
    </xf>
    <xf numFmtId="0" fontId="166" fillId="37" borderId="121" xfId="306" quotePrefix="1" applyFont="1" applyFill="1" applyBorder="1" applyAlignment="1" applyProtection="1">
      <alignment horizontal="left" vertical="top"/>
    </xf>
    <xf numFmtId="0" fontId="46" fillId="37" borderId="43" xfId="306" quotePrefix="1" applyFont="1" applyFill="1" applyBorder="1" applyAlignment="1" applyProtection="1">
      <alignment horizontal="center" vertical="center"/>
    </xf>
    <xf numFmtId="0" fontId="167" fillId="37" borderId="275" xfId="306" quotePrefix="1" applyFont="1" applyFill="1" applyBorder="1" applyAlignment="1" applyProtection="1">
      <alignment vertical="top"/>
    </xf>
    <xf numFmtId="0" fontId="167" fillId="37" borderId="113" xfId="306" applyFont="1" applyFill="1" applyBorder="1" applyAlignment="1" applyProtection="1">
      <alignment vertical="top"/>
    </xf>
    <xf numFmtId="0" fontId="167" fillId="37" borderId="176" xfId="306" applyFont="1" applyFill="1" applyBorder="1" applyAlignment="1" applyProtection="1">
      <alignment vertical="top"/>
    </xf>
    <xf numFmtId="0" fontId="46" fillId="37" borderId="106" xfId="306" quotePrefix="1" applyFont="1" applyFill="1" applyBorder="1" applyAlignment="1" applyProtection="1">
      <alignment horizontal="center" vertical="center"/>
    </xf>
    <xf numFmtId="0" fontId="167" fillId="37" borderId="350" xfId="306" quotePrefix="1" applyFont="1" applyFill="1" applyBorder="1" applyAlignment="1" applyProtection="1">
      <alignment vertical="top"/>
    </xf>
    <xf numFmtId="0" fontId="167" fillId="37" borderId="175" xfId="306" applyFont="1" applyFill="1" applyBorder="1" applyAlignment="1" applyProtection="1">
      <alignment vertical="top"/>
    </xf>
    <xf numFmtId="0" fontId="167" fillId="37" borderId="177" xfId="306" applyFont="1" applyFill="1" applyBorder="1" applyAlignment="1" applyProtection="1">
      <alignment vertical="top"/>
    </xf>
    <xf numFmtId="0" fontId="169" fillId="74" borderId="0" xfId="275" applyFont="1" applyFill="1" applyProtection="1"/>
    <xf numFmtId="0" fontId="169" fillId="74" borderId="0" xfId="275" applyFont="1" applyFill="1" applyAlignment="1" applyProtection="1">
      <alignment horizontal="center"/>
    </xf>
    <xf numFmtId="0" fontId="170" fillId="74" borderId="0" xfId="275" quotePrefix="1" applyFont="1" applyFill="1"/>
    <xf numFmtId="0" fontId="59" fillId="74" borderId="0" xfId="306" applyFont="1" applyFill="1" applyProtection="1"/>
    <xf numFmtId="0" fontId="3" fillId="34" borderId="214" xfId="0" applyFont="1" applyFill="1" applyBorder="1" applyAlignment="1">
      <alignment horizontal="left" vertical="center" wrapText="1" indent="1"/>
    </xf>
    <xf numFmtId="0" fontId="3" fillId="18" borderId="79" xfId="0" applyFont="1" applyFill="1" applyBorder="1" applyAlignment="1" applyProtection="1">
      <alignment horizontal="right" vertical="center" wrapText="1"/>
      <protection locked="0"/>
    </xf>
    <xf numFmtId="0" fontId="3" fillId="18" borderId="80" xfId="0" applyFont="1" applyFill="1" applyBorder="1" applyAlignment="1" applyProtection="1">
      <alignment horizontal="right" vertical="center" wrapText="1"/>
      <protection locked="0"/>
    </xf>
    <xf numFmtId="0" fontId="3" fillId="18" borderId="81" xfId="0" applyFont="1" applyFill="1" applyBorder="1" applyAlignment="1" applyProtection="1">
      <alignment horizontal="right" vertical="center" wrapText="1"/>
      <protection locked="0"/>
    </xf>
    <xf numFmtId="0" fontId="43" fillId="18" borderId="79" xfId="0" applyFont="1" applyFill="1" applyBorder="1" applyAlignment="1" applyProtection="1">
      <alignment horizontal="right" vertical="center" wrapText="1"/>
      <protection locked="0"/>
    </xf>
    <xf numFmtId="0" fontId="43" fillId="18" borderId="80" xfId="0" applyFont="1" applyFill="1" applyBorder="1" applyAlignment="1" applyProtection="1">
      <alignment horizontal="right" vertical="center" wrapText="1"/>
      <protection locked="0"/>
    </xf>
    <xf numFmtId="0" fontId="43" fillId="18" borderId="81" xfId="0" applyFont="1" applyFill="1" applyBorder="1" applyAlignment="1" applyProtection="1">
      <alignment horizontal="right" vertical="center" wrapText="1"/>
      <protection locked="0"/>
    </xf>
    <xf numFmtId="0" fontId="3" fillId="18" borderId="82" xfId="0" applyFont="1" applyFill="1" applyBorder="1" applyAlignment="1" applyProtection="1">
      <alignment horizontal="right" vertical="center" wrapText="1"/>
      <protection locked="0"/>
    </xf>
    <xf numFmtId="0" fontId="3" fillId="18" borderId="88" xfId="0" applyFont="1" applyFill="1" applyBorder="1" applyAlignment="1" applyProtection="1">
      <alignment horizontal="right" vertical="center" wrapText="1"/>
      <protection locked="0"/>
    </xf>
    <xf numFmtId="0" fontId="3" fillId="18" borderId="85" xfId="0" applyFont="1" applyFill="1" applyBorder="1" applyAlignment="1" applyProtection="1">
      <alignment horizontal="right" vertical="center" wrapText="1"/>
      <protection locked="0"/>
    </xf>
    <xf numFmtId="0" fontId="3" fillId="34" borderId="36" xfId="0" applyFont="1" applyFill="1" applyBorder="1" applyAlignment="1" applyProtection="1">
      <alignment horizontal="right" vertical="center" wrapText="1"/>
      <protection locked="0"/>
    </xf>
    <xf numFmtId="0" fontId="6" fillId="32" borderId="92" xfId="0" applyFont="1" applyFill="1" applyBorder="1" applyAlignment="1">
      <alignment horizontal="left" vertical="center" wrapText="1"/>
    </xf>
    <xf numFmtId="0" fontId="6" fillId="32" borderId="51" xfId="0" applyFont="1" applyFill="1" applyBorder="1" applyAlignment="1">
      <alignment horizontal="left" vertical="center" wrapText="1" indent="1"/>
    </xf>
    <xf numFmtId="0" fontId="3" fillId="32" borderId="56" xfId="0" applyFont="1" applyFill="1" applyBorder="1" applyAlignment="1" applyProtection="1">
      <alignment horizontal="right" vertical="center" wrapText="1"/>
      <protection locked="0"/>
    </xf>
    <xf numFmtId="0" fontId="3" fillId="32" borderId="57" xfId="0" applyFont="1" applyFill="1" applyBorder="1" applyAlignment="1" applyProtection="1">
      <alignment horizontal="right" vertical="center" wrapText="1"/>
      <protection locked="0"/>
    </xf>
    <xf numFmtId="0" fontId="3" fillId="32" borderId="60" xfId="0" applyFont="1" applyFill="1" applyBorder="1" applyAlignment="1" applyProtection="1">
      <alignment horizontal="right" vertical="center" wrapText="1"/>
      <protection locked="0"/>
    </xf>
    <xf numFmtId="0" fontId="46" fillId="32" borderId="51" xfId="0" applyFont="1" applyFill="1" applyBorder="1" applyAlignment="1">
      <alignment horizontal="left" vertical="center" wrapText="1" indent="3"/>
    </xf>
    <xf numFmtId="0" fontId="3" fillId="32" borderId="61" xfId="0" applyFont="1" applyFill="1" applyBorder="1" applyAlignment="1" applyProtection="1">
      <alignment horizontal="right" vertical="center" wrapText="1"/>
      <protection locked="0"/>
    </xf>
    <xf numFmtId="0" fontId="46" fillId="32" borderId="71" xfId="0" applyFont="1" applyFill="1" applyBorder="1" applyAlignment="1">
      <alignment horizontal="left" vertical="center" wrapText="1" indent="3"/>
    </xf>
    <xf numFmtId="0" fontId="6" fillId="30" borderId="129" xfId="0" applyFont="1" applyFill="1" applyBorder="1" applyAlignment="1">
      <alignment horizontal="left" vertical="center" wrapText="1" indent="1"/>
    </xf>
    <xf numFmtId="0" fontId="11" fillId="30" borderId="133" xfId="0" applyFont="1" applyFill="1" applyBorder="1" applyAlignment="1">
      <alignment vertical="center"/>
    </xf>
    <xf numFmtId="0" fontId="11" fillId="30" borderId="134" xfId="0" applyFont="1" applyFill="1" applyBorder="1" applyAlignment="1">
      <alignment vertical="center"/>
    </xf>
    <xf numFmtId="43" fontId="3" fillId="32" borderId="51" xfId="0" applyNumberFormat="1" applyFont="1" applyFill="1" applyBorder="1" applyAlignment="1">
      <alignment horizontal="left" vertical="center" wrapText="1"/>
    </xf>
    <xf numFmtId="168" fontId="6" fillId="32" borderId="52" xfId="0" applyNumberFormat="1" applyFont="1" applyFill="1" applyBorder="1" applyAlignment="1">
      <alignment horizontal="right" vertical="center" wrapText="1"/>
    </xf>
    <xf numFmtId="168" fontId="6" fillId="32" borderId="53" xfId="0" applyNumberFormat="1" applyFont="1" applyFill="1" applyBorder="1" applyAlignment="1">
      <alignment horizontal="right" vertical="center" wrapText="1"/>
    </xf>
    <xf numFmtId="168" fontId="6" fillId="32" borderId="54" xfId="0" applyNumberFormat="1" applyFont="1" applyFill="1" applyBorder="1" applyAlignment="1">
      <alignment horizontal="right" vertical="center" wrapText="1"/>
    </xf>
    <xf numFmtId="0" fontId="3" fillId="18" borderId="97" xfId="0" applyFont="1" applyFill="1" applyBorder="1" applyAlignment="1" applyProtection="1">
      <alignment horizontal="right" vertical="center" wrapText="1"/>
      <protection locked="0"/>
    </xf>
    <xf numFmtId="43" fontId="6" fillId="32" borderId="79" xfId="0" applyNumberFormat="1" applyFont="1" applyFill="1" applyBorder="1" applyAlignment="1">
      <alignment horizontal="right" vertical="center" wrapText="1"/>
    </xf>
    <xf numFmtId="43" fontId="6" fillId="32" borderId="80" xfId="0" applyNumberFormat="1" applyFont="1" applyFill="1" applyBorder="1" applyAlignment="1">
      <alignment horizontal="right" vertical="center" wrapText="1"/>
    </xf>
    <xf numFmtId="43" fontId="6" fillId="32" borderId="81" xfId="0" applyNumberFormat="1" applyFont="1" applyFill="1" applyBorder="1" applyAlignment="1">
      <alignment horizontal="right" vertical="center" wrapText="1"/>
    </xf>
    <xf numFmtId="43" fontId="3" fillId="32" borderId="84" xfId="0" applyNumberFormat="1" applyFont="1" applyFill="1" applyBorder="1" applyAlignment="1">
      <alignment horizontal="left" vertical="center" wrapText="1" indent="1"/>
    </xf>
    <xf numFmtId="168" fontId="6" fillId="32" borderId="55" xfId="0" applyNumberFormat="1" applyFont="1" applyFill="1" applyBorder="1" applyAlignment="1">
      <alignment horizontal="right" vertical="center" wrapText="1"/>
    </xf>
    <xf numFmtId="0" fontId="0" fillId="0" borderId="0" xfId="0" applyAlignment="1">
      <alignment wrapText="1"/>
    </xf>
    <xf numFmtId="0" fontId="3" fillId="32" borderId="22" xfId="144" applyFill="1" applyBorder="1"/>
    <xf numFmtId="0" fontId="3" fillId="32" borderId="23" xfId="144" applyFill="1" applyBorder="1"/>
    <xf numFmtId="0" fontId="3" fillId="0" borderId="51" xfId="144" applyFont="1" applyBorder="1" applyAlignment="1" applyProtection="1">
      <alignment horizontal="left" vertical="center" wrapText="1" indent="3"/>
    </xf>
    <xf numFmtId="0" fontId="171" fillId="0" borderId="0" xfId="0" applyFont="1"/>
    <xf numFmtId="0" fontId="172" fillId="0" borderId="0" xfId="0" applyFont="1"/>
    <xf numFmtId="0" fontId="9" fillId="0" borderId="0" xfId="38" quotePrefix="1" applyAlignment="1" applyProtection="1"/>
    <xf numFmtId="0" fontId="3" fillId="34" borderId="44" xfId="0" applyFont="1" applyFill="1" applyBorder="1" applyAlignment="1">
      <alignment horizontal="left" vertical="center" wrapText="1"/>
    </xf>
    <xf numFmtId="0" fontId="11" fillId="31" borderId="36" xfId="0" applyFont="1" applyFill="1" applyBorder="1" applyAlignment="1">
      <alignment vertical="center"/>
    </xf>
    <xf numFmtId="0" fontId="3" fillId="34" borderId="145" xfId="0" applyFont="1" applyFill="1" applyBorder="1" applyAlignment="1">
      <alignment horizontal="left" vertical="center" wrapText="1"/>
    </xf>
    <xf numFmtId="0" fontId="34" fillId="18" borderId="359" xfId="0" applyFont="1" applyFill="1" applyBorder="1" applyAlignment="1" applyProtection="1">
      <alignment horizontal="right" vertical="center"/>
      <protection locked="0"/>
    </xf>
    <xf numFmtId="168" fontId="3" fillId="32" borderId="67" xfId="30" applyNumberFormat="1" applyFont="1" applyFill="1" applyBorder="1" applyAlignment="1" applyProtection="1">
      <alignment horizontal="right" vertical="center" wrapText="1"/>
      <protection locked="0"/>
    </xf>
    <xf numFmtId="168" fontId="3" fillId="32" borderId="66" xfId="30" applyNumberFormat="1" applyFont="1" applyFill="1" applyBorder="1" applyAlignment="1" applyProtection="1">
      <alignment horizontal="right" vertical="center" wrapText="1"/>
      <protection locked="0"/>
    </xf>
    <xf numFmtId="0" fontId="3" fillId="34" borderId="46" xfId="0" applyFont="1" applyFill="1" applyBorder="1" applyAlignment="1">
      <alignment horizontal="left" vertical="center" wrapText="1"/>
    </xf>
    <xf numFmtId="0" fontId="3" fillId="34" borderId="56" xfId="0" applyFont="1" applyFill="1" applyBorder="1" applyAlignment="1">
      <alignment horizontal="left" vertical="center" wrapText="1"/>
    </xf>
    <xf numFmtId="0" fontId="7" fillId="18" borderId="58" xfId="0" applyFont="1" applyFill="1" applyBorder="1" applyAlignment="1" applyProtection="1">
      <alignment horizontal="right" vertical="center"/>
      <protection locked="0"/>
    </xf>
    <xf numFmtId="0" fontId="3" fillId="34" borderId="79" xfId="0" applyFont="1" applyFill="1" applyBorder="1" applyAlignment="1">
      <alignment horizontal="left" vertical="center" wrapText="1"/>
    </xf>
    <xf numFmtId="0" fontId="7" fillId="18" borderId="85" xfId="0" applyFont="1" applyFill="1" applyBorder="1" applyAlignment="1" applyProtection="1">
      <alignment horizontal="right" vertical="center"/>
      <protection locked="0"/>
    </xf>
    <xf numFmtId="0" fontId="15" fillId="19" borderId="0" xfId="306" applyFont="1" applyFill="1" applyBorder="1" applyAlignment="1" applyProtection="1">
      <alignment vertical="center"/>
      <protection locked="0"/>
    </xf>
    <xf numFmtId="0" fontId="82" fillId="31" borderId="0" xfId="306" applyFont="1" applyFill="1"/>
    <xf numFmtId="0" fontId="3" fillId="34" borderId="0" xfId="306" applyFill="1"/>
    <xf numFmtId="0" fontId="74" fillId="34" borderId="0" xfId="306" applyFont="1" applyFill="1" applyBorder="1" applyAlignment="1">
      <alignment vertical="center"/>
    </xf>
    <xf numFmtId="0" fontId="6" fillId="14" borderId="0" xfId="306" applyFont="1" applyFill="1" applyBorder="1" applyAlignment="1">
      <alignment vertical="center"/>
    </xf>
    <xf numFmtId="0" fontId="3" fillId="34" borderId="0" xfId="306" applyFill="1" applyAlignment="1">
      <alignment vertical="top"/>
    </xf>
    <xf numFmtId="0" fontId="3" fillId="14" borderId="0" xfId="306" applyFont="1" applyFill="1" applyBorder="1" applyAlignment="1">
      <alignment vertical="top" wrapText="1"/>
    </xf>
    <xf numFmtId="0" fontId="74" fillId="34" borderId="0" xfId="306" applyFont="1" applyFill="1" applyBorder="1" applyAlignment="1">
      <alignment vertical="top"/>
    </xf>
    <xf numFmtId="0" fontId="3" fillId="0" borderId="0" xfId="306" applyFill="1" applyAlignment="1">
      <alignment vertical="top"/>
    </xf>
    <xf numFmtId="0" fontId="3" fillId="34" borderId="0" xfId="306" applyFill="1" applyBorder="1" applyAlignment="1">
      <alignment vertical="top"/>
    </xf>
    <xf numFmtId="0" fontId="3" fillId="34" borderId="0" xfId="306" applyFill="1" applyBorder="1"/>
    <xf numFmtId="0" fontId="76" fillId="28" borderId="21" xfId="306" applyFont="1" applyFill="1" applyBorder="1" applyAlignment="1">
      <alignment vertical="center"/>
    </xf>
    <xf numFmtId="0" fontId="76" fillId="28" borderId="22" xfId="306" applyFont="1" applyFill="1" applyBorder="1" applyAlignment="1">
      <alignment vertical="center"/>
    </xf>
    <xf numFmtId="0" fontId="76" fillId="28" borderId="23" xfId="306" applyFont="1" applyFill="1" applyBorder="1" applyAlignment="1">
      <alignment vertical="center"/>
    </xf>
    <xf numFmtId="0" fontId="64" fillId="30" borderId="36" xfId="306" applyFont="1" applyFill="1" applyBorder="1" applyAlignment="1">
      <alignment vertical="center"/>
    </xf>
    <xf numFmtId="0" fontId="64" fillId="30" borderId="35" xfId="306" applyFont="1" applyFill="1" applyBorder="1" applyAlignment="1">
      <alignment vertical="center"/>
    </xf>
    <xf numFmtId="0" fontId="64" fillId="30" borderId="34" xfId="306" applyFont="1" applyFill="1" applyBorder="1" applyAlignment="1">
      <alignment vertical="center"/>
    </xf>
    <xf numFmtId="0" fontId="6" fillId="42" borderId="69" xfId="306" applyFont="1" applyFill="1" applyBorder="1" applyAlignment="1">
      <alignment horizontal="center" vertical="center" wrapText="1"/>
    </xf>
    <xf numFmtId="0" fontId="6" fillId="42" borderId="67" xfId="306" applyFont="1" applyFill="1" applyBorder="1" applyAlignment="1">
      <alignment horizontal="center" vertical="center" wrapText="1"/>
    </xf>
    <xf numFmtId="0" fontId="6" fillId="37" borderId="65" xfId="306" applyFont="1" applyFill="1" applyBorder="1" applyAlignment="1">
      <alignment horizontal="center" vertical="center" wrapText="1"/>
    </xf>
    <xf numFmtId="0" fontId="6" fillId="37" borderId="68" xfId="306" applyFont="1" applyFill="1" applyBorder="1" applyAlignment="1">
      <alignment horizontal="center" vertical="center" wrapText="1"/>
    </xf>
    <xf numFmtId="0" fontId="3" fillId="34" borderId="51" xfId="306" applyFont="1" applyFill="1" applyBorder="1" applyAlignment="1">
      <alignment horizontal="right" vertical="center" wrapText="1"/>
    </xf>
    <xf numFmtId="41" fontId="3" fillId="25" borderId="209" xfId="306" applyNumberFormat="1" applyFont="1" applyFill="1" applyBorder="1"/>
    <xf numFmtId="41" fontId="3" fillId="25" borderId="83" xfId="306" applyNumberFormat="1" applyFont="1" applyFill="1" applyBorder="1"/>
    <xf numFmtId="41" fontId="3" fillId="25" borderId="91" xfId="306" applyNumberFormat="1" applyFont="1" applyFill="1" applyBorder="1"/>
    <xf numFmtId="41" fontId="3" fillId="25" borderId="46" xfId="306" applyNumberFormat="1" applyFont="1" applyFill="1" applyBorder="1"/>
    <xf numFmtId="41" fontId="3" fillId="25" borderId="61" xfId="306" applyNumberFormat="1" applyFont="1" applyFill="1" applyBorder="1"/>
    <xf numFmtId="41" fontId="3" fillId="25" borderId="64" xfId="306" applyNumberFormat="1" applyFont="1" applyFill="1" applyBorder="1"/>
    <xf numFmtId="41" fontId="3" fillId="25" borderId="79" xfId="306" applyNumberFormat="1" applyFont="1" applyFill="1" applyBorder="1"/>
    <xf numFmtId="41" fontId="3" fillId="25" borderId="80" xfId="306" applyNumberFormat="1" applyFont="1" applyFill="1" applyBorder="1"/>
    <xf numFmtId="41" fontId="3" fillId="25" borderId="81" xfId="306" applyNumberFormat="1" applyFont="1" applyFill="1" applyBorder="1"/>
    <xf numFmtId="4" fontId="3" fillId="25" borderId="79" xfId="306" applyNumberFormat="1" applyFont="1" applyFill="1" applyBorder="1" applyAlignment="1" applyProtection="1">
      <alignment horizontal="right" vertical="center"/>
      <protection locked="0"/>
    </xf>
    <xf numFmtId="4" fontId="3" fillId="25" borderId="80" xfId="306" applyNumberFormat="1" applyFont="1" applyFill="1" applyBorder="1" applyAlignment="1" applyProtection="1">
      <alignment horizontal="right" vertical="center"/>
      <protection locked="0"/>
    </xf>
    <xf numFmtId="4" fontId="3" fillId="25" borderId="81" xfId="306" applyNumberFormat="1" applyFont="1" applyFill="1" applyBorder="1" applyAlignment="1" applyProtection="1">
      <alignment horizontal="right" vertical="center"/>
      <protection locked="0"/>
    </xf>
    <xf numFmtId="0" fontId="6" fillId="30" borderId="69" xfId="306" applyFont="1" applyFill="1" applyBorder="1" applyAlignment="1">
      <alignment horizontal="right" vertical="center" wrapText="1"/>
    </xf>
    <xf numFmtId="41" fontId="6" fillId="30" borderId="53" xfId="306" applyNumberFormat="1" applyFont="1" applyFill="1" applyBorder="1"/>
    <xf numFmtId="41" fontId="6" fillId="30" borderId="54" xfId="306" applyNumberFormat="1" applyFont="1" applyFill="1" applyBorder="1"/>
    <xf numFmtId="0" fontId="13" fillId="0" borderId="0" xfId="306" applyFont="1"/>
    <xf numFmtId="0" fontId="11" fillId="30" borderId="35" xfId="306" applyFont="1" applyFill="1" applyBorder="1" applyAlignment="1">
      <alignment vertical="center"/>
    </xf>
    <xf numFmtId="0" fontId="11" fillId="30" borderId="34" xfId="306" applyFont="1" applyFill="1" applyBorder="1" applyAlignment="1">
      <alignment vertical="center"/>
    </xf>
    <xf numFmtId="0" fontId="38" fillId="34" borderId="79" xfId="306" applyFont="1" applyFill="1" applyBorder="1" applyAlignment="1">
      <alignment vertical="center" wrapText="1"/>
    </xf>
    <xf numFmtId="0" fontId="12" fillId="34" borderId="88" xfId="306" applyFont="1" applyFill="1" applyBorder="1" applyAlignment="1">
      <alignment horizontal="left"/>
    </xf>
    <xf numFmtId="0" fontId="12" fillId="0" borderId="88" xfId="306" applyFont="1" applyFill="1" applyBorder="1" applyAlignment="1">
      <alignment horizontal="left"/>
    </xf>
    <xf numFmtId="43" fontId="13" fillId="34" borderId="0" xfId="306" applyNumberFormat="1" applyFont="1" applyFill="1" applyBorder="1" applyAlignment="1">
      <alignment horizontal="center"/>
    </xf>
    <xf numFmtId="0" fontId="3" fillId="34" borderId="145" xfId="306" applyFill="1" applyBorder="1"/>
    <xf numFmtId="0" fontId="12" fillId="34" borderId="47" xfId="306" applyFont="1" applyFill="1" applyBorder="1" applyAlignment="1">
      <alignment horizontal="left"/>
    </xf>
    <xf numFmtId="0" fontId="12" fillId="0" borderId="47" xfId="306" applyFont="1" applyFill="1" applyBorder="1" applyAlignment="1">
      <alignment horizontal="left"/>
    </xf>
    <xf numFmtId="0" fontId="38" fillId="34" borderId="56" xfId="306" applyFont="1" applyFill="1" applyBorder="1" applyAlignment="1">
      <alignment horizontal="left" vertical="center" wrapText="1"/>
    </xf>
    <xf numFmtId="0" fontId="38" fillId="34" borderId="136" xfId="306" applyFont="1" applyFill="1" applyBorder="1" applyAlignment="1">
      <alignment horizontal="left" vertical="center" wrapText="1"/>
    </xf>
    <xf numFmtId="0" fontId="38" fillId="0" borderId="136" xfId="306" applyFont="1" applyFill="1" applyBorder="1" applyAlignment="1">
      <alignment horizontal="left" vertical="center" wrapText="1"/>
    </xf>
    <xf numFmtId="0" fontId="64" fillId="37" borderId="210" xfId="306" applyFont="1" applyFill="1" applyBorder="1" applyAlignment="1">
      <alignment horizontal="center" vertical="center" wrapText="1"/>
    </xf>
    <xf numFmtId="0" fontId="64" fillId="37" borderId="65" xfId="306" applyFont="1" applyFill="1" applyBorder="1" applyAlignment="1">
      <alignment horizontal="center" vertical="center" wrapText="1"/>
    </xf>
    <xf numFmtId="0" fontId="64" fillId="37" borderId="68" xfId="306" applyFont="1" applyFill="1" applyBorder="1" applyAlignment="1">
      <alignment horizontal="center" vertical="center" wrapText="1"/>
    </xf>
    <xf numFmtId="0" fontId="6" fillId="30" borderId="46" xfId="306" applyFont="1" applyFill="1" applyBorder="1" applyAlignment="1">
      <alignment horizontal="left" vertical="center" wrapText="1"/>
    </xf>
    <xf numFmtId="0" fontId="6" fillId="30" borderId="87" xfId="306" applyFont="1" applyFill="1" applyBorder="1" applyAlignment="1">
      <alignment horizontal="left" vertical="center" wrapText="1"/>
    </xf>
    <xf numFmtId="0" fontId="3" fillId="30" borderId="46" xfId="306" applyFont="1" applyFill="1" applyBorder="1" applyAlignment="1">
      <alignment horizontal="right" vertical="center" wrapText="1"/>
    </xf>
    <xf numFmtId="0" fontId="3" fillId="30" borderId="61" xfId="306" applyFont="1" applyFill="1" applyBorder="1" applyAlignment="1">
      <alignment horizontal="right" vertical="center" wrapText="1"/>
    </xf>
    <xf numFmtId="0" fontId="3" fillId="30" borderId="64" xfId="306" applyFont="1" applyFill="1" applyBorder="1" applyAlignment="1">
      <alignment horizontal="right" vertical="center" wrapText="1"/>
    </xf>
    <xf numFmtId="0" fontId="46" fillId="18" borderId="46" xfId="306" applyFont="1" applyFill="1" applyBorder="1"/>
    <xf numFmtId="0" fontId="3" fillId="18" borderId="87" xfId="306" applyFont="1" applyFill="1" applyBorder="1" applyProtection="1">
      <protection locked="0"/>
    </xf>
    <xf numFmtId="0" fontId="3" fillId="30" borderId="87" xfId="306" applyFont="1" applyFill="1" applyBorder="1" applyProtection="1">
      <protection locked="0"/>
    </xf>
    <xf numFmtId="0" fontId="13" fillId="18" borderId="46" xfId="306" applyFont="1" applyFill="1" applyBorder="1"/>
    <xf numFmtId="0" fontId="13" fillId="18" borderId="61" xfId="306" applyFont="1" applyFill="1" applyBorder="1"/>
    <xf numFmtId="0" fontId="13" fillId="18" borderId="64" xfId="306" applyFont="1" applyFill="1" applyBorder="1"/>
    <xf numFmtId="0" fontId="3" fillId="30" borderId="79" xfId="306" applyFont="1" applyFill="1" applyBorder="1"/>
    <xf numFmtId="43" fontId="6" fillId="30" borderId="88" xfId="306" applyNumberFormat="1" applyFont="1" applyFill="1" applyBorder="1" applyAlignment="1">
      <alignment horizontal="right" vertical="center" wrapText="1"/>
    </xf>
    <xf numFmtId="43" fontId="6" fillId="30" borderId="210" xfId="306" applyNumberFormat="1" applyFont="1" applyFill="1" applyBorder="1" applyAlignment="1">
      <alignment horizontal="right" vertical="center" wrapText="1"/>
    </xf>
    <xf numFmtId="43" fontId="6" fillId="30" borderId="65" xfId="306" applyNumberFormat="1" applyFont="1" applyFill="1" applyBorder="1" applyAlignment="1">
      <alignment horizontal="right" vertical="center" wrapText="1"/>
    </xf>
    <xf numFmtId="43" fontId="6" fillId="30" borderId="68" xfId="306" applyNumberFormat="1" applyFont="1" applyFill="1" applyBorder="1" applyAlignment="1">
      <alignment horizontal="right" vertical="center" wrapText="1"/>
    </xf>
    <xf numFmtId="0" fontId="3" fillId="34" borderId="52" xfId="306" applyFont="1" applyFill="1" applyBorder="1" applyAlignment="1" applyProtection="1">
      <alignment horizontal="right" vertical="center" wrapText="1"/>
      <protection locked="0"/>
    </xf>
    <xf numFmtId="0" fontId="3" fillId="34" borderId="70" xfId="306" applyFont="1" applyFill="1" applyBorder="1" applyAlignment="1" applyProtection="1">
      <alignment vertical="center" wrapText="1"/>
      <protection locked="0"/>
    </xf>
    <xf numFmtId="0" fontId="3" fillId="25" borderId="51" xfId="306" applyFont="1" applyFill="1" applyBorder="1" applyAlignment="1">
      <alignment horizontal="right" vertical="center" wrapText="1"/>
    </xf>
    <xf numFmtId="0" fontId="3" fillId="25" borderId="84" xfId="306" applyFont="1" applyFill="1" applyBorder="1" applyAlignment="1">
      <alignment horizontal="right" vertical="center" wrapText="1"/>
    </xf>
    <xf numFmtId="4" fontId="3" fillId="25" borderId="76" xfId="306" applyNumberFormat="1" applyFont="1" applyFill="1" applyBorder="1" applyAlignment="1" applyProtection="1">
      <alignment horizontal="right" vertical="center"/>
      <protection locked="0"/>
    </xf>
    <xf numFmtId="41" fontId="3" fillId="25" borderId="78" xfId="306" applyNumberFormat="1" applyFont="1" applyFill="1" applyBorder="1"/>
    <xf numFmtId="41" fontId="3" fillId="25" borderId="169" xfId="306" applyNumberFormat="1" applyFont="1" applyFill="1" applyBorder="1"/>
    <xf numFmtId="4" fontId="3" fillId="25" borderId="169" xfId="306" applyNumberFormat="1" applyFont="1" applyFill="1" applyBorder="1" applyAlignment="1" applyProtection="1">
      <alignment horizontal="right" vertical="center"/>
      <protection locked="0"/>
    </xf>
    <xf numFmtId="41" fontId="6" fillId="30" borderId="55" xfId="306" applyNumberFormat="1" applyFont="1" applyFill="1" applyBorder="1"/>
    <xf numFmtId="0" fontId="3" fillId="25" borderId="50" xfId="306" applyFont="1" applyFill="1" applyBorder="1" applyAlignment="1">
      <alignment horizontal="right" vertical="center" wrapText="1"/>
    </xf>
    <xf numFmtId="41" fontId="6" fillId="30" borderId="36" xfId="306" applyNumberFormat="1" applyFont="1" applyFill="1" applyBorder="1"/>
    <xf numFmtId="0" fontId="46" fillId="18" borderId="51" xfId="306" applyFont="1" applyFill="1" applyBorder="1"/>
    <xf numFmtId="0" fontId="3" fillId="30" borderId="84" xfId="306" applyFont="1" applyFill="1" applyBorder="1"/>
    <xf numFmtId="0" fontId="46" fillId="30" borderId="63" xfId="306" applyFont="1" applyFill="1" applyBorder="1"/>
    <xf numFmtId="0" fontId="46" fillId="30" borderId="77" xfId="306" applyFont="1" applyFill="1" applyBorder="1"/>
    <xf numFmtId="0" fontId="46" fillId="30" borderId="118" xfId="306" applyFont="1" applyFill="1" applyBorder="1"/>
    <xf numFmtId="0" fontId="3" fillId="34" borderId="84" xfId="0" applyFont="1" applyFill="1" applyBorder="1" applyAlignment="1">
      <alignment horizontal="right" vertical="center" wrapText="1"/>
    </xf>
    <xf numFmtId="0" fontId="3" fillId="34" borderId="137" xfId="0" applyFont="1" applyFill="1" applyBorder="1" applyAlignment="1">
      <alignment horizontal="right" vertical="center" wrapText="1"/>
    </xf>
    <xf numFmtId="0" fontId="3" fillId="34" borderId="169" xfId="0" applyFont="1" applyFill="1" applyBorder="1" applyAlignment="1">
      <alignment horizontal="right" vertical="center" wrapText="1"/>
    </xf>
    <xf numFmtId="0" fontId="3" fillId="34" borderId="34" xfId="0" applyFont="1" applyFill="1" applyBorder="1" applyAlignment="1" applyProtection="1">
      <alignment horizontal="right" vertical="center" wrapText="1"/>
      <protection locked="0"/>
    </xf>
    <xf numFmtId="0" fontId="3" fillId="14" borderId="0" xfId="0" applyFont="1" applyFill="1" applyBorder="1" applyAlignment="1">
      <alignment horizontal="left" vertical="top" wrapText="1"/>
    </xf>
    <xf numFmtId="0" fontId="3" fillId="34" borderId="50" xfId="0" applyFont="1" applyFill="1" applyBorder="1" applyAlignment="1">
      <alignment horizontal="left" vertical="center" wrapText="1" indent="2"/>
    </xf>
    <xf numFmtId="0" fontId="3" fillId="34" borderId="51" xfId="0" applyFont="1" applyFill="1" applyBorder="1" applyAlignment="1">
      <alignment horizontal="left" vertical="center" wrapText="1" indent="2"/>
    </xf>
    <xf numFmtId="0" fontId="6" fillId="0" borderId="22"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4" fillId="30" borderId="45" xfId="0" applyFont="1" applyFill="1" applyBorder="1" applyAlignment="1">
      <alignment vertical="center"/>
    </xf>
    <xf numFmtId="0" fontId="3" fillId="20" borderId="251" xfId="0" applyFont="1" applyFill="1" applyBorder="1"/>
    <xf numFmtId="0" fontId="3" fillId="20" borderId="349" xfId="0" applyFont="1" applyFill="1" applyBorder="1"/>
    <xf numFmtId="0" fontId="0" fillId="0" borderId="361" xfId="0" applyBorder="1"/>
    <xf numFmtId="168" fontId="3" fillId="0" borderId="349" xfId="30" applyNumberFormat="1" applyFont="1" applyFill="1" applyBorder="1"/>
    <xf numFmtId="168" fontId="3" fillId="25" borderId="68" xfId="30" applyNumberFormat="1" applyFont="1" applyFill="1" applyBorder="1"/>
    <xf numFmtId="0" fontId="6" fillId="40" borderId="210" xfId="0" applyFont="1" applyFill="1" applyBorder="1" applyAlignment="1">
      <alignment horizontal="center" vertical="center" wrapText="1"/>
    </xf>
    <xf numFmtId="0" fontId="3" fillId="0" borderId="19" xfId="0" applyFont="1" applyFill="1" applyBorder="1"/>
    <xf numFmtId="168" fontId="3" fillId="0" borderId="361" xfId="30" applyNumberFormat="1" applyFont="1" applyFill="1" applyBorder="1"/>
    <xf numFmtId="0" fontId="3" fillId="20" borderId="24" xfId="0" applyFont="1" applyFill="1" applyBorder="1"/>
    <xf numFmtId="0" fontId="64" fillId="0" borderId="21" xfId="0" applyFont="1" applyFill="1" applyBorder="1" applyAlignment="1">
      <alignment vertical="center"/>
    </xf>
    <xf numFmtId="0" fontId="64" fillId="0" borderId="22" xfId="0" applyFont="1" applyFill="1" applyBorder="1" applyAlignment="1">
      <alignment vertical="center"/>
    </xf>
    <xf numFmtId="0" fontId="64" fillId="0" borderId="23" xfId="0" applyFont="1" applyFill="1" applyBorder="1" applyAlignment="1">
      <alignment vertical="center"/>
    </xf>
    <xf numFmtId="0" fontId="64" fillId="0" borderId="251" xfId="0" applyFont="1" applyFill="1" applyBorder="1" applyAlignment="1">
      <alignment vertical="center"/>
    </xf>
    <xf numFmtId="0" fontId="64" fillId="0" borderId="349" xfId="0" applyFont="1" applyFill="1" applyBorder="1" applyAlignment="1">
      <alignment vertical="center"/>
    </xf>
    <xf numFmtId="0" fontId="64" fillId="0" borderId="361" xfId="0" applyFont="1" applyFill="1" applyBorder="1" applyAlignment="1">
      <alignment vertical="center"/>
    </xf>
    <xf numFmtId="0" fontId="3" fillId="25" borderId="84" xfId="0" applyFont="1" applyFill="1" applyBorder="1" applyAlignment="1">
      <alignment horizontal="left" vertical="center" wrapText="1" indent="2"/>
    </xf>
    <xf numFmtId="43" fontId="3" fillId="18" borderId="61" xfId="30" applyFont="1" applyFill="1" applyBorder="1"/>
    <xf numFmtId="168" fontId="3" fillId="18" borderId="88" xfId="30" applyNumberFormat="1" applyFont="1" applyFill="1" applyBorder="1"/>
    <xf numFmtId="43" fontId="3" fillId="18" borderId="62" xfId="30" applyFont="1" applyFill="1" applyBorder="1"/>
    <xf numFmtId="168" fontId="3" fillId="18" borderId="85" xfId="30" applyNumberFormat="1" applyFont="1" applyFill="1" applyBorder="1"/>
    <xf numFmtId="168" fontId="3" fillId="0" borderId="0" xfId="0" applyNumberFormat="1" applyFont="1"/>
    <xf numFmtId="168" fontId="3" fillId="18" borderId="89" xfId="30" applyNumberFormat="1" applyFont="1" applyFill="1" applyBorder="1"/>
    <xf numFmtId="168" fontId="3" fillId="39" borderId="59" xfId="30" applyNumberFormat="1" applyFont="1" applyFill="1" applyBorder="1" applyAlignment="1">
      <alignment horizontal="center"/>
    </xf>
    <xf numFmtId="168" fontId="3" fillId="39" borderId="57" xfId="30" applyNumberFormat="1" applyFont="1" applyFill="1" applyBorder="1" applyAlignment="1">
      <alignment horizontal="center"/>
    </xf>
    <xf numFmtId="168" fontId="3" fillId="39" borderId="160" xfId="30" applyNumberFormat="1" applyFont="1" applyFill="1" applyBorder="1" applyAlignment="1">
      <alignment horizontal="center"/>
    </xf>
    <xf numFmtId="168" fontId="3" fillId="39" borderId="58" xfId="30" applyNumberFormat="1" applyFont="1" applyFill="1" applyBorder="1" applyAlignment="1">
      <alignment horizontal="center"/>
    </xf>
    <xf numFmtId="168" fontId="3" fillId="39" borderId="60" xfId="30" applyNumberFormat="1" applyFont="1" applyFill="1" applyBorder="1" applyAlignment="1">
      <alignment horizontal="center"/>
    </xf>
    <xf numFmtId="168" fontId="3" fillId="30" borderId="151" xfId="30" applyNumberFormat="1" applyFont="1" applyFill="1" applyBorder="1"/>
    <xf numFmtId="168" fontId="3" fillId="30" borderId="66" xfId="30" applyNumberFormat="1" applyFont="1" applyFill="1" applyBorder="1"/>
    <xf numFmtId="168" fontId="3" fillId="30" borderId="153" xfId="30" applyNumberFormat="1" applyFont="1" applyFill="1" applyBorder="1"/>
    <xf numFmtId="168" fontId="0" fillId="0" borderId="0" xfId="0" applyNumberFormat="1"/>
    <xf numFmtId="43" fontId="0" fillId="0" borderId="0" xfId="0" applyNumberFormat="1"/>
    <xf numFmtId="168" fontId="3" fillId="30" borderId="163" xfId="30" applyNumberFormat="1" applyFont="1" applyFill="1" applyBorder="1"/>
    <xf numFmtId="168" fontId="3" fillId="30" borderId="154" xfId="30" applyNumberFormat="1" applyFont="1" applyFill="1" applyBorder="1"/>
    <xf numFmtId="168" fontId="3" fillId="30" borderId="164" xfId="30" applyNumberFormat="1" applyFont="1" applyFill="1" applyBorder="1"/>
    <xf numFmtId="43" fontId="3" fillId="18" borderId="158" xfId="30" applyFont="1" applyFill="1" applyBorder="1"/>
    <xf numFmtId="168" fontId="3" fillId="20" borderId="0" xfId="0" applyNumberFormat="1" applyFont="1" applyFill="1"/>
    <xf numFmtId="168" fontId="3" fillId="20" borderId="0" xfId="0" applyNumberFormat="1" applyFont="1" applyFill="1" applyBorder="1"/>
    <xf numFmtId="164" fontId="3" fillId="20" borderId="0" xfId="0" applyNumberFormat="1" applyFont="1" applyFill="1"/>
    <xf numFmtId="168" fontId="3" fillId="32" borderId="210" xfId="30" applyNumberFormat="1" applyFont="1" applyFill="1" applyBorder="1"/>
    <xf numFmtId="168" fontId="3" fillId="98" borderId="64" xfId="30" applyNumberFormat="1" applyFont="1" applyFill="1" applyBorder="1"/>
    <xf numFmtId="168" fontId="3" fillId="98" borderId="46" xfId="30" applyNumberFormat="1" applyFont="1" applyFill="1" applyBorder="1"/>
    <xf numFmtId="168" fontId="3" fillId="98" borderId="61" xfId="30" applyNumberFormat="1" applyFont="1" applyFill="1" applyBorder="1"/>
    <xf numFmtId="168" fontId="3" fillId="32" borderId="35" xfId="0" applyNumberFormat="1" applyFont="1" applyFill="1" applyBorder="1"/>
    <xf numFmtId="0" fontId="3" fillId="0" borderId="125" xfId="212" applyFont="1" applyFill="1" applyBorder="1" applyAlignment="1">
      <alignment horizontal="left" vertical="top" wrapText="1"/>
    </xf>
    <xf numFmtId="0" fontId="135" fillId="74" borderId="0" xfId="275" applyFont="1" applyFill="1" applyAlignment="1" applyProtection="1">
      <alignment horizontal="center" vertical="center" wrapText="1"/>
    </xf>
    <xf numFmtId="0" fontId="137" fillId="30" borderId="0" xfId="305" applyFont="1" applyFill="1" applyAlignment="1">
      <alignment horizontal="center"/>
    </xf>
    <xf numFmtId="0" fontId="6" fillId="37" borderId="21" xfId="305" applyFont="1" applyFill="1" applyBorder="1" applyAlignment="1">
      <alignment horizontal="center"/>
    </xf>
    <xf numFmtId="0" fontId="6" fillId="37" borderId="22" xfId="305" applyFont="1" applyFill="1" applyBorder="1" applyAlignment="1">
      <alignment horizontal="center"/>
    </xf>
    <xf numFmtId="0" fontId="89" fillId="74" borderId="21" xfId="305" applyFont="1" applyFill="1" applyBorder="1" applyAlignment="1">
      <alignment horizontal="center"/>
    </xf>
    <xf numFmtId="0" fontId="89" fillId="74" borderId="22" xfId="305" applyFont="1" applyFill="1" applyBorder="1" applyAlignment="1">
      <alignment horizontal="center"/>
    </xf>
    <xf numFmtId="0" fontId="89" fillId="74" borderId="23" xfId="305" applyFont="1" applyFill="1" applyBorder="1" applyAlignment="1">
      <alignment horizontal="center"/>
    </xf>
    <xf numFmtId="0" fontId="3" fillId="78" borderId="21" xfId="275" applyFill="1" applyBorder="1" applyAlignment="1">
      <alignment horizontal="center" vertical="center"/>
    </xf>
    <xf numFmtId="0" fontId="3" fillId="78" borderId="22" xfId="275" applyFill="1" applyBorder="1" applyAlignment="1">
      <alignment horizontal="center" vertical="center"/>
    </xf>
    <xf numFmtId="0" fontId="3" fillId="78" borderId="23" xfId="275" applyFill="1" applyBorder="1" applyAlignment="1">
      <alignment horizontal="center" vertical="center"/>
    </xf>
    <xf numFmtId="0" fontId="59" fillId="57" borderId="36" xfId="275" applyFont="1" applyFill="1" applyBorder="1" applyAlignment="1" applyProtection="1">
      <alignment horizontal="left" vertical="top" wrapText="1"/>
    </xf>
    <xf numFmtId="0" fontId="59" fillId="57" borderId="35" xfId="275" applyFont="1" applyFill="1" applyBorder="1" applyAlignment="1" applyProtection="1">
      <alignment horizontal="left" vertical="top" wrapText="1"/>
    </xf>
    <xf numFmtId="0" fontId="59" fillId="57" borderId="34" xfId="275" applyFont="1" applyFill="1" applyBorder="1" applyAlignment="1" applyProtection="1">
      <alignment horizontal="left" vertical="top" wrapText="1"/>
    </xf>
    <xf numFmtId="0" fontId="6" fillId="41" borderId="125" xfId="275" applyFont="1" applyFill="1" applyBorder="1" applyAlignment="1">
      <alignment horizontal="center" vertical="center"/>
    </xf>
    <xf numFmtId="0" fontId="6" fillId="33" borderId="282" xfId="275" applyFont="1" applyFill="1" applyBorder="1" applyAlignment="1">
      <alignment horizontal="center"/>
    </xf>
    <xf numFmtId="0" fontId="6" fillId="33" borderId="283" xfId="275" applyFont="1" applyFill="1" applyBorder="1" applyAlignment="1">
      <alignment horizontal="center"/>
    </xf>
    <xf numFmtId="0" fontId="6" fillId="33" borderId="284" xfId="275" applyFont="1" applyFill="1" applyBorder="1" applyAlignment="1">
      <alignment horizontal="center"/>
    </xf>
    <xf numFmtId="49" fontId="142" fillId="57" borderId="35" xfId="275" applyNumberFormat="1" applyFont="1" applyFill="1" applyBorder="1" applyAlignment="1" applyProtection="1">
      <alignment horizontal="center" vertical="center"/>
    </xf>
    <xf numFmtId="0" fontId="3" fillId="34" borderId="155" xfId="306" applyFill="1" applyBorder="1" applyAlignment="1" applyProtection="1">
      <alignment vertical="center"/>
    </xf>
    <xf numFmtId="0" fontId="3" fillId="34" borderId="19" xfId="306" applyFill="1" applyBorder="1" applyAlignment="1" applyProtection="1">
      <alignment vertical="center"/>
    </xf>
    <xf numFmtId="0" fontId="3" fillId="34" borderId="301" xfId="306" applyFill="1" applyBorder="1" applyAlignment="1" applyProtection="1">
      <alignment vertical="center"/>
    </xf>
    <xf numFmtId="0" fontId="6" fillId="33" borderId="312" xfId="275" applyFont="1" applyFill="1" applyBorder="1" applyAlignment="1">
      <alignment horizontal="center"/>
    </xf>
    <xf numFmtId="0" fontId="6" fillId="33" borderId="35" xfId="275" applyFont="1" applyFill="1" applyBorder="1" applyAlignment="1">
      <alignment horizontal="center"/>
    </xf>
    <xf numFmtId="0" fontId="6" fillId="33" borderId="34" xfId="275" applyFont="1" applyFill="1" applyBorder="1" applyAlignment="1">
      <alignment horizontal="center"/>
    </xf>
    <xf numFmtId="0" fontId="103" fillId="37" borderId="19" xfId="0" applyFont="1" applyFill="1" applyBorder="1" applyAlignment="1">
      <alignment horizontal="center" vertical="center"/>
    </xf>
    <xf numFmtId="0" fontId="103" fillId="37" borderId="24" xfId="0" applyFont="1" applyFill="1" applyBorder="1" applyAlignment="1">
      <alignment horizontal="center" vertical="center"/>
    </xf>
    <xf numFmtId="0" fontId="3" fillId="14" borderId="0" xfId="306" applyFont="1" applyFill="1" applyBorder="1" applyAlignment="1" applyProtection="1">
      <alignment vertical="center" wrapText="1"/>
    </xf>
    <xf numFmtId="0" fontId="62" fillId="14" borderId="0" xfId="306" applyFont="1" applyFill="1" applyBorder="1" applyAlignment="1" applyProtection="1">
      <alignment vertical="center" wrapText="1"/>
    </xf>
    <xf numFmtId="0" fontId="157" fillId="36" borderId="21" xfId="306" applyFont="1" applyFill="1" applyBorder="1" applyAlignment="1" applyProtection="1">
      <alignment horizontal="center"/>
    </xf>
    <xf numFmtId="0" fontId="157" fillId="36" borderId="22" xfId="306" applyFont="1" applyFill="1" applyBorder="1" applyAlignment="1" applyProtection="1">
      <alignment horizontal="center"/>
    </xf>
    <xf numFmtId="0" fontId="157" fillId="36" borderId="23" xfId="306" applyFont="1" applyFill="1" applyBorder="1" applyAlignment="1" applyProtection="1">
      <alignment horizontal="center"/>
    </xf>
    <xf numFmtId="0" fontId="3" fillId="25" borderId="14" xfId="306" applyFont="1" applyFill="1" applyBorder="1" applyAlignment="1" applyProtection="1">
      <alignment horizontal="left"/>
      <protection locked="0"/>
    </xf>
    <xf numFmtId="0" fontId="3" fillId="25" borderId="15" xfId="306" applyFont="1" applyFill="1" applyBorder="1" applyAlignment="1" applyProtection="1">
      <alignment horizontal="left"/>
      <protection locked="0"/>
    </xf>
    <xf numFmtId="179" fontId="3" fillId="30" borderId="17" xfId="306" applyNumberFormat="1" applyFont="1" applyFill="1" applyBorder="1" applyAlignment="1" applyProtection="1">
      <alignment horizontal="left"/>
    </xf>
    <xf numFmtId="0" fontId="13" fillId="36" borderId="0" xfId="306" applyFont="1" applyFill="1" applyBorder="1" applyAlignment="1" applyProtection="1">
      <alignment horizontal="right" indent="1"/>
    </xf>
    <xf numFmtId="0" fontId="13" fillId="36" borderId="13" xfId="306" applyFont="1" applyFill="1" applyBorder="1" applyAlignment="1" applyProtection="1">
      <alignment horizontal="right" indent="1"/>
    </xf>
    <xf numFmtId="0" fontId="3" fillId="25" borderId="16" xfId="306" applyFont="1" applyFill="1" applyBorder="1" applyAlignment="1" applyProtection="1">
      <alignment horizontal="left"/>
      <protection locked="0"/>
    </xf>
    <xf numFmtId="0" fontId="167" fillId="37" borderId="271" xfId="306" applyFont="1" applyFill="1" applyBorder="1" applyAlignment="1" applyProtection="1">
      <alignment horizontal="left" vertical="top" wrapText="1"/>
    </xf>
    <xf numFmtId="0" fontId="167" fillId="37" borderId="159" xfId="306" applyFont="1" applyFill="1" applyBorder="1" applyAlignment="1" applyProtection="1">
      <alignment horizontal="left" vertical="top" wrapText="1"/>
    </xf>
    <xf numFmtId="0" fontId="167" fillId="37" borderId="274" xfId="306" applyFont="1" applyFill="1" applyBorder="1" applyAlignment="1" applyProtection="1">
      <alignment horizontal="left" vertical="top" wrapText="1"/>
    </xf>
    <xf numFmtId="0" fontId="157" fillId="36" borderId="21" xfId="305" applyFont="1" applyFill="1" applyBorder="1" applyAlignment="1" applyProtection="1">
      <alignment horizontal="center"/>
      <protection locked="0"/>
    </xf>
    <xf numFmtId="0" fontId="157" fillId="36" borderId="22" xfId="305" applyFont="1" applyFill="1" applyBorder="1" applyAlignment="1" applyProtection="1">
      <alignment horizontal="center"/>
      <protection locked="0"/>
    </xf>
    <xf numFmtId="0" fontId="157" fillId="36" borderId="23" xfId="305" applyFont="1" applyFill="1" applyBorder="1" applyAlignment="1" applyProtection="1">
      <alignment horizontal="center"/>
      <protection locked="0"/>
    </xf>
    <xf numFmtId="0" fontId="6" fillId="25" borderId="36" xfId="306" applyFont="1" applyFill="1" applyBorder="1" applyAlignment="1" applyProtection="1">
      <alignment horizontal="left"/>
      <protection locked="0"/>
    </xf>
    <xf numFmtId="0" fontId="6" fillId="25" borderId="34" xfId="306" applyFont="1" applyFill="1" applyBorder="1" applyAlignment="1" applyProtection="1">
      <alignment horizontal="left"/>
      <protection locked="0"/>
    </xf>
    <xf numFmtId="0" fontId="3" fillId="25" borderId="36" xfId="306" applyFont="1" applyFill="1" applyBorder="1" applyAlignment="1" applyProtection="1">
      <alignment horizontal="left" vertical="top" wrapText="1"/>
      <protection locked="0"/>
    </xf>
    <xf numFmtId="0" fontId="3" fillId="25" borderId="35" xfId="306" applyFont="1" applyFill="1" applyBorder="1" applyAlignment="1" applyProtection="1">
      <alignment horizontal="left" vertical="top"/>
      <protection locked="0"/>
    </xf>
    <xf numFmtId="0" fontId="3" fillId="25" borderId="34" xfId="306" applyFont="1" applyFill="1" applyBorder="1" applyAlignment="1" applyProtection="1">
      <alignment horizontal="left" vertical="top"/>
      <protection locked="0"/>
    </xf>
    <xf numFmtId="10" fontId="63" fillId="41" borderId="46" xfId="0" applyNumberFormat="1" applyFont="1" applyFill="1" applyBorder="1" applyAlignment="1">
      <alignment horizontal="center" vertical="center" wrapText="1"/>
    </xf>
    <xf numFmtId="10" fontId="63" fillId="41" borderId="61" xfId="0" applyNumberFormat="1" applyFont="1" applyFill="1" applyBorder="1" applyAlignment="1">
      <alignment horizontal="center" vertical="center" wrapText="1"/>
    </xf>
    <xf numFmtId="10" fontId="63" fillId="41" borderId="87" xfId="0" applyNumberFormat="1" applyFont="1" applyFill="1" applyBorder="1" applyAlignment="1">
      <alignment horizontal="center" vertical="center" wrapText="1"/>
    </xf>
    <xf numFmtId="168" fontId="6" fillId="40" borderId="46" xfId="0" applyNumberFormat="1" applyFont="1" applyFill="1" applyBorder="1" applyAlignment="1">
      <alignment horizontal="center" vertical="center" wrapText="1"/>
    </xf>
    <xf numFmtId="168" fontId="6" fillId="40" borderId="61" xfId="0" applyNumberFormat="1" applyFont="1" applyFill="1" applyBorder="1" applyAlignment="1">
      <alignment horizontal="center" vertical="center" wrapText="1"/>
    </xf>
    <xf numFmtId="168" fontId="6" fillId="40" borderId="62" xfId="0" applyNumberFormat="1" applyFont="1" applyFill="1" applyBorder="1" applyAlignment="1">
      <alignment horizontal="center" vertical="center" wrapText="1"/>
    </xf>
    <xf numFmtId="168" fontId="6" fillId="41" borderId="44" xfId="0" applyNumberFormat="1" applyFont="1" applyFill="1" applyBorder="1" applyAlignment="1">
      <alignment horizontal="center" vertical="distributed" wrapText="1"/>
    </xf>
    <xf numFmtId="168" fontId="6" fillId="41" borderId="83" xfId="0" applyNumberFormat="1" applyFont="1" applyFill="1" applyBorder="1" applyAlignment="1">
      <alignment horizontal="center" vertical="distributed" wrapText="1"/>
    </xf>
    <xf numFmtId="168" fontId="6" fillId="41" borderId="86" xfId="0" applyNumberFormat="1" applyFont="1" applyFill="1" applyBorder="1" applyAlignment="1">
      <alignment horizontal="center" vertical="distributed" wrapText="1"/>
    </xf>
    <xf numFmtId="168" fontId="6" fillId="40" borderId="44" xfId="0" applyNumberFormat="1" applyFont="1" applyFill="1" applyBorder="1" applyAlignment="1">
      <alignment horizontal="center" vertical="center" wrapText="1"/>
    </xf>
    <xf numFmtId="168" fontId="6" fillId="40" borderId="83" xfId="0" applyNumberFormat="1" applyFont="1" applyFill="1" applyBorder="1" applyAlignment="1">
      <alignment horizontal="center" vertical="center" wrapText="1"/>
    </xf>
    <xf numFmtId="168" fontId="6" fillId="40" borderId="72" xfId="0" applyNumberFormat="1" applyFont="1" applyFill="1" applyBorder="1" applyAlignment="1">
      <alignment horizontal="center" vertical="center" wrapText="1"/>
    </xf>
    <xf numFmtId="0" fontId="6" fillId="40" borderId="61" xfId="0" applyFont="1" applyFill="1" applyBorder="1" applyAlignment="1">
      <alignment horizontal="center" vertical="center" wrapText="1"/>
    </xf>
    <xf numFmtId="168" fontId="6" fillId="41" borderId="61" xfId="0" applyNumberFormat="1" applyFont="1" applyFill="1" applyBorder="1" applyAlignment="1">
      <alignment horizontal="center" vertical="center" wrapText="1"/>
    </xf>
    <xf numFmtId="0" fontId="6" fillId="41" borderId="61" xfId="0" applyFont="1" applyFill="1" applyBorder="1" applyAlignment="1">
      <alignment horizontal="center" vertical="center" wrapText="1"/>
    </xf>
    <xf numFmtId="0" fontId="6" fillId="41" borderId="87" xfId="0" applyFont="1" applyFill="1" applyBorder="1" applyAlignment="1">
      <alignment horizontal="center" vertical="center" wrapText="1"/>
    </xf>
    <xf numFmtId="0" fontId="5" fillId="30" borderId="0" xfId="0" applyFont="1" applyFill="1" applyBorder="1" applyAlignment="1">
      <alignment horizontal="left" vertical="top" wrapText="1"/>
    </xf>
    <xf numFmtId="0" fontId="39" fillId="34" borderId="50" xfId="0" applyFont="1" applyFill="1" applyBorder="1" applyAlignment="1">
      <alignment horizontal="left" vertical="center" wrapText="1"/>
    </xf>
    <xf numFmtId="0" fontId="50" fillId="34" borderId="51" xfId="0" applyFont="1" applyFill="1" applyBorder="1" applyAlignment="1">
      <alignment horizontal="left" vertical="center" wrapText="1"/>
    </xf>
    <xf numFmtId="0" fontId="63" fillId="40" borderId="44" xfId="0" applyFont="1" applyFill="1" applyBorder="1" applyAlignment="1">
      <alignment horizontal="center" vertical="center" wrapText="1"/>
    </xf>
    <xf numFmtId="0" fontId="63" fillId="40" borderId="83" xfId="0" applyFont="1" applyFill="1" applyBorder="1" applyAlignment="1">
      <alignment horizontal="center" vertical="center" wrapText="1"/>
    </xf>
    <xf numFmtId="0" fontId="5" fillId="0" borderId="19" xfId="0" applyFont="1" applyFill="1" applyBorder="1" applyAlignment="1">
      <alignment horizontal="center"/>
    </xf>
    <xf numFmtId="0" fontId="5" fillId="0" borderId="0" xfId="0" applyFont="1" applyFill="1" applyBorder="1" applyAlignment="1">
      <alignment horizontal="center"/>
    </xf>
    <xf numFmtId="0" fontId="5" fillId="0" borderId="24" xfId="0" applyFont="1" applyFill="1" applyBorder="1" applyAlignment="1">
      <alignment horizontal="center"/>
    </xf>
    <xf numFmtId="0" fontId="64" fillId="41" borderId="83" xfId="0" applyFont="1" applyFill="1" applyBorder="1" applyAlignment="1">
      <alignment horizontal="center" vertical="center" wrapText="1"/>
    </xf>
    <xf numFmtId="0" fontId="64" fillId="41" borderId="72" xfId="0" applyFont="1" applyFill="1" applyBorder="1" applyAlignment="1">
      <alignment horizontal="center" vertical="center" wrapText="1"/>
    </xf>
    <xf numFmtId="10" fontId="63" fillId="40" borderId="46" xfId="0" applyNumberFormat="1" applyFont="1" applyFill="1" applyBorder="1" applyAlignment="1">
      <alignment horizontal="center" vertical="center" wrapText="1"/>
    </xf>
    <xf numFmtId="10" fontId="63" fillId="40" borderId="61" xfId="0" applyNumberFormat="1" applyFont="1" applyFill="1" applyBorder="1" applyAlignment="1">
      <alignment horizontal="center" vertical="center" wrapText="1"/>
    </xf>
    <xf numFmtId="10" fontId="63" fillId="40" borderId="62" xfId="0" applyNumberFormat="1" applyFont="1" applyFill="1" applyBorder="1" applyAlignment="1">
      <alignment horizontal="center" vertical="center" wrapText="1"/>
    </xf>
    <xf numFmtId="0" fontId="63" fillId="40" borderId="46" xfId="0" applyFont="1" applyFill="1" applyBorder="1" applyAlignment="1">
      <alignment horizontal="center" vertical="center" wrapText="1"/>
    </xf>
    <xf numFmtId="0" fontId="63" fillId="40" borderId="61" xfId="0" applyFont="1" applyFill="1" applyBorder="1" applyAlignment="1">
      <alignment horizontal="center" vertical="center" wrapText="1"/>
    </xf>
    <xf numFmtId="168" fontId="64" fillId="41" borderId="61" xfId="0" applyNumberFormat="1" applyFont="1" applyFill="1" applyBorder="1" applyAlignment="1">
      <alignment horizontal="center" vertical="center" wrapText="1"/>
    </xf>
    <xf numFmtId="168" fontId="64" fillId="41" borderId="62" xfId="0" applyNumberFormat="1" applyFont="1" applyFill="1" applyBorder="1" applyAlignment="1">
      <alignment horizontal="center" vertical="center" wrapText="1"/>
    </xf>
    <xf numFmtId="0" fontId="39" fillId="34" borderId="21" xfId="0" applyFont="1" applyFill="1" applyBorder="1" applyAlignment="1">
      <alignment horizontal="center" vertical="center" wrapText="1"/>
    </xf>
    <xf numFmtId="0" fontId="50" fillId="34" borderId="19" xfId="0" applyFont="1" applyFill="1" applyBorder="1" applyAlignment="1">
      <alignment horizontal="center" vertical="center" wrapText="1"/>
    </xf>
    <xf numFmtId="0" fontId="50" fillId="34" borderId="25" xfId="0" applyFont="1" applyFill="1" applyBorder="1" applyAlignment="1">
      <alignment horizontal="center" vertical="center" wrapText="1"/>
    </xf>
    <xf numFmtId="0" fontId="65" fillId="37" borderId="44" xfId="0" applyNumberFormat="1" applyFont="1" applyFill="1" applyBorder="1" applyAlignment="1" applyProtection="1">
      <alignment horizontal="center" vertical="center" wrapText="1"/>
    </xf>
    <xf numFmtId="0" fontId="11" fillId="37" borderId="83" xfId="0" applyFont="1" applyFill="1" applyBorder="1" applyAlignment="1">
      <alignment horizontal="center" vertical="center" wrapText="1"/>
    </xf>
    <xf numFmtId="0" fontId="11" fillId="42" borderId="83" xfId="0" applyFont="1" applyFill="1" applyBorder="1" applyAlignment="1">
      <alignment horizontal="center" vertical="center" wrapText="1"/>
    </xf>
    <xf numFmtId="0" fontId="11" fillId="42" borderId="72" xfId="0" applyFont="1" applyFill="1" applyBorder="1" applyAlignment="1">
      <alignment horizontal="center" vertical="center" wrapText="1"/>
    </xf>
    <xf numFmtId="0" fontId="6" fillId="30" borderId="0" xfId="0" applyFont="1" applyFill="1" applyBorder="1" applyAlignment="1">
      <alignment vertical="top" wrapText="1"/>
    </xf>
    <xf numFmtId="0" fontId="11" fillId="37" borderId="46" xfId="0" applyFont="1" applyFill="1" applyBorder="1" applyAlignment="1">
      <alignment horizontal="center" vertical="center" wrapText="1"/>
    </xf>
    <xf numFmtId="0" fontId="11" fillId="37" borderId="61" xfId="0" applyFont="1" applyFill="1" applyBorder="1" applyAlignment="1">
      <alignment horizontal="center" vertical="center" wrapText="1"/>
    </xf>
    <xf numFmtId="0" fontId="11" fillId="37" borderId="62" xfId="0" applyFont="1" applyFill="1" applyBorder="1" applyAlignment="1">
      <alignment horizontal="center" vertical="center" wrapText="1"/>
    </xf>
    <xf numFmtId="0" fontId="11" fillId="42" borderId="61" xfId="0" applyNumberFormat="1" applyFont="1" applyFill="1" applyBorder="1" applyAlignment="1">
      <alignment horizontal="center" vertical="center" wrapText="1"/>
    </xf>
    <xf numFmtId="0" fontId="11" fillId="42" borderId="62" xfId="0" applyNumberFormat="1" applyFont="1" applyFill="1" applyBorder="1" applyAlignment="1">
      <alignment horizontal="center" vertical="center" wrapText="1"/>
    </xf>
    <xf numFmtId="0" fontId="11" fillId="37" borderId="46" xfId="0" applyNumberFormat="1" applyFont="1" applyFill="1" applyBorder="1" applyAlignment="1">
      <alignment horizontal="center" vertical="center" wrapText="1"/>
    </xf>
    <xf numFmtId="0" fontId="11" fillId="37" borderId="61" xfId="0" applyNumberFormat="1" applyFont="1" applyFill="1" applyBorder="1" applyAlignment="1">
      <alignment horizontal="center" vertical="center" wrapText="1"/>
    </xf>
    <xf numFmtId="0" fontId="65" fillId="43" borderId="83" xfId="0" applyNumberFormat="1" applyFont="1" applyFill="1" applyBorder="1" applyAlignment="1" applyProtection="1">
      <alignment horizontal="center" vertical="center" wrapText="1"/>
    </xf>
    <xf numFmtId="0" fontId="11" fillId="37" borderId="83" xfId="0" applyFont="1" applyFill="1" applyBorder="1" applyAlignment="1">
      <alignment horizontal="center" vertical="center"/>
    </xf>
    <xf numFmtId="0" fontId="11" fillId="37" borderId="72" xfId="0" applyFont="1" applyFill="1" applyBorder="1" applyAlignment="1">
      <alignment horizontal="center" vertical="center"/>
    </xf>
    <xf numFmtId="0" fontId="11" fillId="42" borderId="61" xfId="0" applyFont="1" applyFill="1" applyBorder="1" applyAlignment="1">
      <alignment horizontal="center" vertical="center" wrapText="1"/>
    </xf>
    <xf numFmtId="0" fontId="11" fillId="42" borderId="62" xfId="0" applyFont="1" applyFill="1" applyBorder="1" applyAlignment="1">
      <alignment horizontal="center" vertical="center" wrapText="1"/>
    </xf>
    <xf numFmtId="0" fontId="11" fillId="37" borderId="209" xfId="0" applyNumberFormat="1" applyFont="1" applyFill="1" applyBorder="1" applyAlignment="1" applyProtection="1">
      <alignment horizontal="center" vertical="center" wrapText="1"/>
    </xf>
    <xf numFmtId="0" fontId="14" fillId="37" borderId="83" xfId="0" applyFont="1" applyFill="1" applyBorder="1" applyAlignment="1">
      <alignment horizontal="center" vertical="center" wrapText="1"/>
    </xf>
    <xf numFmtId="0" fontId="64" fillId="37" borderId="51" xfId="0" applyFont="1" applyFill="1" applyBorder="1" applyAlignment="1">
      <alignment horizontal="center" vertical="center" wrapText="1"/>
    </xf>
    <xf numFmtId="0" fontId="64" fillId="37" borderId="77" xfId="0" applyFont="1" applyFill="1" applyBorder="1" applyAlignment="1">
      <alignment horizontal="center" vertical="center" wrapText="1"/>
    </xf>
    <xf numFmtId="0" fontId="64" fillId="37" borderId="78" xfId="0" applyFont="1" applyFill="1" applyBorder="1" applyAlignment="1">
      <alignment horizontal="center" vertical="center" wrapText="1"/>
    </xf>
    <xf numFmtId="0" fontId="64" fillId="37" borderId="51" xfId="0" quotePrefix="1" applyFont="1" applyFill="1" applyBorder="1" applyAlignment="1">
      <alignment horizontal="center" vertical="center" wrapText="1"/>
    </xf>
    <xf numFmtId="0" fontId="64" fillId="37" borderId="77" xfId="0" quotePrefix="1" applyFont="1" applyFill="1" applyBorder="1" applyAlignment="1">
      <alignment horizontal="center" vertical="center" wrapText="1"/>
    </xf>
    <xf numFmtId="0" fontId="64" fillId="37" borderId="78" xfId="0" quotePrefix="1" applyFont="1" applyFill="1" applyBorder="1" applyAlignment="1">
      <alignment horizontal="center" vertical="center" wrapText="1"/>
    </xf>
    <xf numFmtId="0" fontId="65" fillId="42" borderId="86" xfId="0" applyNumberFormat="1" applyFont="1" applyFill="1" applyBorder="1" applyAlignment="1" applyProtection="1">
      <alignment horizontal="center" vertical="center" wrapText="1"/>
    </xf>
    <xf numFmtId="0" fontId="65" fillId="42" borderId="75" xfId="0" applyNumberFormat="1" applyFont="1" applyFill="1" applyBorder="1" applyAlignment="1" applyProtection="1">
      <alignment horizontal="center" vertical="center" wrapText="1"/>
    </xf>
    <xf numFmtId="0" fontId="65" fillId="42" borderId="76" xfId="0" applyNumberFormat="1" applyFont="1" applyFill="1" applyBorder="1" applyAlignment="1" applyProtection="1">
      <alignment horizontal="center" vertical="center" wrapText="1"/>
    </xf>
    <xf numFmtId="0" fontId="11" fillId="42" borderId="86" xfId="0" applyNumberFormat="1" applyFont="1" applyFill="1" applyBorder="1" applyAlignment="1" applyProtection="1">
      <alignment horizontal="center" vertical="center" wrapText="1"/>
    </xf>
    <xf numFmtId="0" fontId="11" fillId="42" borderId="75" xfId="0" applyNumberFormat="1" applyFont="1" applyFill="1" applyBorder="1" applyAlignment="1" applyProtection="1">
      <alignment horizontal="center" vertical="center" wrapText="1"/>
    </xf>
    <xf numFmtId="0" fontId="11" fillId="42" borderId="76" xfId="0" applyNumberFormat="1" applyFont="1" applyFill="1" applyBorder="1" applyAlignment="1" applyProtection="1">
      <alignment horizontal="center" vertical="center" wrapText="1"/>
    </xf>
    <xf numFmtId="0" fontId="65" fillId="37" borderId="209" xfId="0" applyNumberFormat="1" applyFont="1" applyFill="1" applyBorder="1" applyAlignment="1" applyProtection="1">
      <alignment horizontal="center" vertical="center" wrapText="1"/>
    </xf>
    <xf numFmtId="0" fontId="3" fillId="14" borderId="0" xfId="0" applyFont="1" applyFill="1" applyAlignment="1">
      <alignment horizontal="left" vertical="top" wrapText="1"/>
    </xf>
    <xf numFmtId="0" fontId="65" fillId="40" borderId="44" xfId="0" applyNumberFormat="1" applyFont="1" applyFill="1" applyBorder="1" applyAlignment="1" applyProtection="1">
      <alignment horizontal="center" vertical="center" wrapText="1"/>
    </xf>
    <xf numFmtId="0" fontId="14" fillId="40" borderId="83" xfId="0" applyFont="1" applyFill="1" applyBorder="1" applyAlignment="1">
      <alignment horizontal="center" vertical="center" wrapText="1"/>
    </xf>
    <xf numFmtId="0" fontId="65" fillId="41" borderId="83" xfId="0" applyNumberFormat="1" applyFont="1" applyFill="1" applyBorder="1" applyAlignment="1" applyProtection="1">
      <alignment horizontal="center" vertical="center" wrapText="1"/>
    </xf>
    <xf numFmtId="0" fontId="65" fillId="40" borderId="83" xfId="0" applyNumberFormat="1" applyFont="1" applyFill="1" applyBorder="1" applyAlignment="1" applyProtection="1">
      <alignment horizontal="center" vertical="center" wrapText="1"/>
    </xf>
    <xf numFmtId="0" fontId="14" fillId="40" borderId="91" xfId="0" applyFont="1" applyFill="1" applyBorder="1" applyAlignment="1">
      <alignment horizontal="center" vertical="center" wrapText="1"/>
    </xf>
    <xf numFmtId="0" fontId="65" fillId="47" borderId="83" xfId="0" applyNumberFormat="1" applyFont="1" applyFill="1" applyBorder="1" applyAlignment="1" applyProtection="1">
      <alignment horizontal="center" vertical="center" wrapText="1"/>
    </xf>
    <xf numFmtId="0" fontId="65" fillId="47" borderId="91" xfId="0" applyNumberFormat="1" applyFont="1" applyFill="1" applyBorder="1" applyAlignment="1" applyProtection="1">
      <alignment horizontal="center" vertical="center" wrapText="1"/>
    </xf>
    <xf numFmtId="0" fontId="64" fillId="40" borderId="46" xfId="0" applyFont="1" applyFill="1" applyBorder="1" applyAlignment="1">
      <alignment horizontal="center" vertical="center" wrapText="1"/>
    </xf>
    <xf numFmtId="0" fontId="64" fillId="40" borderId="61" xfId="0" applyFont="1" applyFill="1" applyBorder="1" applyAlignment="1">
      <alignment horizontal="center" vertical="center" wrapText="1"/>
    </xf>
    <xf numFmtId="0" fontId="64" fillId="40" borderId="64" xfId="0" applyFont="1" applyFill="1" applyBorder="1" applyAlignment="1">
      <alignment horizontal="center" vertical="center" wrapText="1"/>
    </xf>
    <xf numFmtId="0" fontId="64" fillId="40" borderId="51" xfId="0" quotePrefix="1" applyFont="1" applyFill="1" applyBorder="1" applyAlignment="1">
      <alignment horizontal="center" vertical="center" wrapText="1"/>
    </xf>
    <xf numFmtId="0" fontId="64" fillId="40" borderId="77" xfId="0" quotePrefix="1" applyFont="1" applyFill="1" applyBorder="1" applyAlignment="1">
      <alignment horizontal="center" vertical="center" wrapText="1"/>
    </xf>
    <xf numFmtId="0" fontId="64" fillId="40" borderId="63" xfId="0" quotePrefix="1" applyFont="1" applyFill="1" applyBorder="1" applyAlignment="1">
      <alignment horizontal="center" vertical="center" wrapText="1"/>
    </xf>
    <xf numFmtId="0" fontId="64" fillId="41" borderId="87" xfId="0" applyFont="1" applyFill="1" applyBorder="1" applyAlignment="1">
      <alignment horizontal="center" vertical="center" wrapText="1"/>
    </xf>
    <xf numFmtId="0" fontId="64" fillId="41" borderId="77" xfId="0" applyFont="1" applyFill="1" applyBorder="1" applyAlignment="1">
      <alignment horizontal="center" vertical="center" wrapText="1"/>
    </xf>
    <xf numFmtId="0" fontId="64" fillId="41" borderId="78" xfId="0" applyFont="1" applyFill="1" applyBorder="1" applyAlignment="1">
      <alignment horizontal="center" vertical="center" wrapText="1"/>
    </xf>
    <xf numFmtId="0" fontId="65" fillId="45" borderId="209" xfId="0" applyNumberFormat="1" applyFont="1" applyFill="1" applyBorder="1" applyAlignment="1" applyProtection="1">
      <alignment horizontal="center" vertical="center" wrapText="1"/>
    </xf>
    <xf numFmtId="0" fontId="65" fillId="45" borderId="83" xfId="0" applyNumberFormat="1" applyFont="1" applyFill="1" applyBorder="1" applyAlignment="1" applyProtection="1">
      <alignment horizontal="center" vertical="center" wrapText="1"/>
    </xf>
    <xf numFmtId="0" fontId="64" fillId="45" borderId="51" xfId="0" applyFont="1" applyFill="1" applyBorder="1" applyAlignment="1">
      <alignment horizontal="center" vertical="center" wrapText="1"/>
    </xf>
    <xf numFmtId="0" fontId="64" fillId="45" borderId="77" xfId="0" applyFont="1" applyFill="1" applyBorder="1" applyAlignment="1">
      <alignment horizontal="center" vertical="center" wrapText="1"/>
    </xf>
    <xf numFmtId="0" fontId="64" fillId="45" borderId="78" xfId="0" applyFont="1" applyFill="1" applyBorder="1" applyAlignment="1">
      <alignment horizontal="center" vertical="center" wrapText="1"/>
    </xf>
    <xf numFmtId="0" fontId="65" fillId="37" borderId="83" xfId="0" applyNumberFormat="1" applyFont="1" applyFill="1" applyBorder="1" applyAlignment="1" applyProtection="1">
      <alignment horizontal="center" vertical="center" wrapText="1"/>
    </xf>
    <xf numFmtId="0" fontId="65" fillId="42" borderId="83" xfId="0" applyNumberFormat="1" applyFont="1" applyFill="1" applyBorder="1" applyAlignment="1" applyProtection="1">
      <alignment horizontal="center" vertical="center" wrapText="1"/>
    </xf>
    <xf numFmtId="0" fontId="65" fillId="42" borderId="91" xfId="0" applyNumberFormat="1" applyFont="1" applyFill="1" applyBorder="1" applyAlignment="1" applyProtection="1">
      <alignment horizontal="center" vertical="center" wrapText="1"/>
    </xf>
    <xf numFmtId="0" fontId="64" fillId="37" borderId="63" xfId="0" quotePrefix="1" applyFont="1" applyFill="1" applyBorder="1" applyAlignment="1">
      <alignment horizontal="center" vertical="center" wrapText="1"/>
    </xf>
    <xf numFmtId="0" fontId="64" fillId="42" borderId="87" xfId="0" applyFont="1" applyFill="1" applyBorder="1" applyAlignment="1">
      <alignment horizontal="center" vertical="center" wrapText="1"/>
    </xf>
    <xf numFmtId="0" fontId="64" fillId="42" borderId="77" xfId="0" applyFont="1" applyFill="1" applyBorder="1" applyAlignment="1">
      <alignment horizontal="center" vertical="center" wrapText="1"/>
    </xf>
    <xf numFmtId="0" fontId="64" fillId="42" borderId="78" xfId="0" applyFont="1" applyFill="1" applyBorder="1" applyAlignment="1">
      <alignment horizontal="center" vertical="center" wrapText="1"/>
    </xf>
    <xf numFmtId="0" fontId="64" fillId="37" borderId="46" xfId="0" applyFont="1" applyFill="1" applyBorder="1" applyAlignment="1">
      <alignment horizontal="center" vertical="center" wrapText="1"/>
    </xf>
    <xf numFmtId="0" fontId="64" fillId="37" borderId="61" xfId="0" applyFont="1" applyFill="1" applyBorder="1" applyAlignment="1">
      <alignment horizontal="center" vertical="center" wrapText="1"/>
    </xf>
    <xf numFmtId="0" fontId="64" fillId="42" borderId="61" xfId="0" applyFont="1" applyFill="1" applyBorder="1" applyAlignment="1">
      <alignment horizontal="center" vertical="center" wrapText="1"/>
    </xf>
    <xf numFmtId="0" fontId="64" fillId="37" borderId="63" xfId="0" applyFont="1" applyFill="1" applyBorder="1" applyAlignment="1">
      <alignment horizontal="center" vertical="center" wrapText="1"/>
    </xf>
    <xf numFmtId="0" fontId="14" fillId="37" borderId="91" xfId="0" applyFont="1" applyFill="1" applyBorder="1" applyAlignment="1">
      <alignment horizontal="center" vertical="center" wrapText="1"/>
    </xf>
    <xf numFmtId="0" fontId="11" fillId="37" borderId="44" xfId="0" applyNumberFormat="1" applyFont="1" applyFill="1" applyBorder="1" applyAlignment="1" applyProtection="1">
      <alignment horizontal="center" vertical="center" wrapText="1"/>
    </xf>
    <xf numFmtId="0" fontId="11" fillId="42" borderId="83" xfId="0" applyNumberFormat="1" applyFont="1" applyFill="1" applyBorder="1" applyAlignment="1" applyProtection="1">
      <alignment horizontal="center" vertical="center" wrapText="1"/>
    </xf>
    <xf numFmtId="0" fontId="11" fillId="37" borderId="83" xfId="0" applyNumberFormat="1" applyFont="1" applyFill="1" applyBorder="1" applyAlignment="1" applyProtection="1">
      <alignment horizontal="center" vertical="center" wrapText="1"/>
    </xf>
    <xf numFmtId="0" fontId="11" fillId="42" borderId="91" xfId="0" applyNumberFormat="1" applyFont="1" applyFill="1" applyBorder="1" applyAlignment="1" applyProtection="1">
      <alignment horizontal="center" vertical="center" wrapText="1"/>
    </xf>
    <xf numFmtId="0" fontId="65" fillId="43" borderId="209" xfId="0" applyNumberFormat="1" applyFont="1" applyFill="1" applyBorder="1" applyAlignment="1" applyProtection="1">
      <alignment horizontal="center" vertical="center" wrapText="1"/>
    </xf>
    <xf numFmtId="0" fontId="65" fillId="51" borderId="83" xfId="0" applyNumberFormat="1" applyFont="1" applyFill="1" applyBorder="1" applyAlignment="1" applyProtection="1">
      <alignment horizontal="center" vertical="center" wrapText="1"/>
    </xf>
    <xf numFmtId="0" fontId="14" fillId="42" borderId="83" xfId="0" applyFont="1" applyFill="1" applyBorder="1" applyAlignment="1">
      <alignment horizontal="center" vertical="center" wrapText="1"/>
    </xf>
    <xf numFmtId="0" fontId="14" fillId="42" borderId="91" xfId="0" applyFont="1" applyFill="1" applyBorder="1" applyAlignment="1">
      <alignment horizontal="center" vertical="center" wrapText="1"/>
    </xf>
    <xf numFmtId="0" fontId="64" fillId="42" borderId="51" xfId="0" applyFont="1" applyFill="1" applyBorder="1" applyAlignment="1">
      <alignment horizontal="center" vertical="center" wrapText="1"/>
    </xf>
    <xf numFmtId="0" fontId="64" fillId="37" borderId="64" xfId="0" applyFont="1" applyFill="1" applyBorder="1" applyAlignment="1">
      <alignment horizontal="center" vertical="center" wrapText="1"/>
    </xf>
    <xf numFmtId="0" fontId="6" fillId="39" borderId="73" xfId="0" applyFont="1" applyFill="1" applyBorder="1" applyAlignment="1">
      <alignment horizontal="left" vertical="center" wrapText="1"/>
    </xf>
    <xf numFmtId="0" fontId="6" fillId="39" borderId="74" xfId="0" applyFont="1" applyFill="1" applyBorder="1" applyAlignment="1">
      <alignment horizontal="left" vertical="center" wrapText="1"/>
    </xf>
    <xf numFmtId="0" fontId="6" fillId="39" borderId="92" xfId="0" applyFont="1" applyFill="1" applyBorder="1" applyAlignment="1">
      <alignment horizontal="left" vertical="center" wrapText="1"/>
    </xf>
    <xf numFmtId="0" fontId="3" fillId="34" borderId="36" xfId="0" applyFont="1" applyFill="1" applyBorder="1" applyAlignment="1" applyProtection="1">
      <alignment horizontal="right" vertical="center" wrapText="1"/>
      <protection locked="0"/>
    </xf>
    <xf numFmtId="0" fontId="3" fillId="34" borderId="34" xfId="0" applyFont="1" applyFill="1" applyBorder="1" applyAlignment="1" applyProtection="1">
      <alignment horizontal="right" vertical="center" wrapText="1"/>
      <protection locked="0"/>
    </xf>
    <xf numFmtId="168" fontId="14" fillId="18" borderId="74" xfId="30" applyNumberFormat="1" applyFont="1" applyFill="1" applyBorder="1" applyAlignment="1">
      <alignment horizontal="left" vertical="center" wrapText="1"/>
    </xf>
    <xf numFmtId="168" fontId="14" fillId="18" borderId="92" xfId="30" applyNumberFormat="1" applyFont="1" applyFill="1" applyBorder="1" applyAlignment="1">
      <alignment horizontal="left" vertical="center" wrapText="1"/>
    </xf>
    <xf numFmtId="168" fontId="14" fillId="18" borderId="73" xfId="30" applyNumberFormat="1" applyFont="1" applyFill="1" applyBorder="1" applyAlignment="1">
      <alignment horizontal="left" vertical="center" wrapText="1"/>
    </xf>
    <xf numFmtId="0" fontId="64" fillId="42" borderId="63" xfId="0" applyFont="1" applyFill="1" applyBorder="1" applyAlignment="1">
      <alignment horizontal="center" vertical="center" wrapText="1"/>
    </xf>
    <xf numFmtId="0" fontId="3" fillId="14" borderId="0" xfId="0" applyFont="1" applyFill="1" applyBorder="1" applyAlignment="1">
      <alignment horizontal="left" vertical="top" wrapText="1"/>
    </xf>
    <xf numFmtId="0" fontId="0" fillId="0" borderId="0" xfId="0" applyAlignment="1">
      <alignment horizontal="left" vertical="top" wrapText="1"/>
    </xf>
    <xf numFmtId="0" fontId="3" fillId="39" borderId="18" xfId="0" applyFont="1" applyFill="1" applyBorder="1" applyAlignment="1">
      <alignment horizontal="center" vertical="center" wrapText="1"/>
    </xf>
    <xf numFmtId="0" fontId="3" fillId="39" borderId="12" xfId="0" applyFont="1" applyFill="1" applyBorder="1" applyAlignment="1"/>
    <xf numFmtId="0" fontId="65" fillId="43" borderId="44" xfId="0" applyNumberFormat="1" applyFont="1" applyFill="1" applyBorder="1" applyAlignment="1" applyProtection="1">
      <alignment horizontal="center" vertical="center" wrapText="1"/>
    </xf>
    <xf numFmtId="168" fontId="14" fillId="25" borderId="73" xfId="30" applyNumberFormat="1" applyFont="1" applyFill="1" applyBorder="1" applyAlignment="1">
      <alignment vertical="center" wrapText="1"/>
    </xf>
    <xf numFmtId="168" fontId="14" fillId="25" borderId="74" xfId="30" applyNumberFormat="1" applyFont="1" applyFill="1" applyBorder="1" applyAlignment="1">
      <alignment vertical="center" wrapText="1"/>
    </xf>
    <xf numFmtId="168" fontId="14" fillId="25" borderId="92" xfId="30" applyNumberFormat="1" applyFont="1" applyFill="1" applyBorder="1" applyAlignment="1">
      <alignment vertical="center" wrapText="1"/>
    </xf>
    <xf numFmtId="0" fontId="38" fillId="34" borderId="21" xfId="0" applyFont="1" applyFill="1" applyBorder="1" applyAlignment="1">
      <alignment horizontal="left" vertical="center" wrapText="1"/>
    </xf>
    <xf numFmtId="0" fontId="38" fillId="34" borderId="23" xfId="0" applyFont="1" applyFill="1" applyBorder="1" applyAlignment="1">
      <alignment horizontal="left" vertical="center" wrapText="1"/>
    </xf>
    <xf numFmtId="0" fontId="38" fillId="34" borderId="19" xfId="0" applyFont="1" applyFill="1" applyBorder="1" applyAlignment="1">
      <alignment horizontal="left" vertical="center" wrapText="1"/>
    </xf>
    <xf numFmtId="0" fontId="38" fillId="34" borderId="24" xfId="0" applyFont="1" applyFill="1" applyBorder="1" applyAlignment="1">
      <alignment horizontal="left" vertical="center" wrapText="1"/>
    </xf>
    <xf numFmtId="0" fontId="38" fillId="34" borderId="25" xfId="0" applyFont="1" applyFill="1" applyBorder="1" applyAlignment="1">
      <alignment horizontal="left" vertical="center" wrapText="1"/>
    </xf>
    <xf numFmtId="0" fontId="38" fillId="34" borderId="205" xfId="0" applyFont="1" applyFill="1" applyBorder="1" applyAlignment="1">
      <alignment horizontal="left" vertical="center" wrapText="1"/>
    </xf>
    <xf numFmtId="0" fontId="0" fillId="34" borderId="21" xfId="0" applyFill="1" applyBorder="1" applyAlignment="1">
      <alignment horizontal="left"/>
    </xf>
    <xf numFmtId="0" fontId="0" fillId="34" borderId="23" xfId="0" applyFill="1" applyBorder="1" applyAlignment="1">
      <alignment horizontal="left"/>
    </xf>
    <xf numFmtId="0" fontId="0" fillId="34" borderId="19" xfId="0" applyFill="1" applyBorder="1" applyAlignment="1">
      <alignment horizontal="left"/>
    </xf>
    <xf numFmtId="0" fontId="0" fillId="34" borderId="24" xfId="0" applyFill="1" applyBorder="1" applyAlignment="1">
      <alignment horizontal="left"/>
    </xf>
    <xf numFmtId="0" fontId="0" fillId="34" borderId="25" xfId="0" applyFill="1" applyBorder="1" applyAlignment="1">
      <alignment horizontal="left"/>
    </xf>
    <xf numFmtId="0" fontId="0" fillId="34" borderId="205" xfId="0" applyFill="1" applyBorder="1" applyAlignment="1">
      <alignment horizontal="left"/>
    </xf>
    <xf numFmtId="0" fontId="14" fillId="37" borderId="72" xfId="0" applyFont="1" applyFill="1" applyBorder="1" applyAlignment="1">
      <alignment horizontal="center" vertical="center" wrapText="1"/>
    </xf>
    <xf numFmtId="0" fontId="48" fillId="36" borderId="96" xfId="0" applyFont="1" applyFill="1" applyBorder="1" applyAlignment="1">
      <alignment horizontal="center" vertical="center" wrapText="1"/>
    </xf>
    <xf numFmtId="0" fontId="48" fillId="36" borderId="97" xfId="0" applyFont="1" applyFill="1" applyBorder="1" applyAlignment="1">
      <alignment horizontal="center" vertical="center" wrapText="1"/>
    </xf>
    <xf numFmtId="0" fontId="64" fillId="42" borderId="62" xfId="0" applyFont="1" applyFill="1" applyBorder="1" applyAlignment="1">
      <alignment horizontal="center" vertical="center" wrapText="1"/>
    </xf>
    <xf numFmtId="0" fontId="6" fillId="48" borderId="187" xfId="0" applyFont="1" applyFill="1" applyBorder="1" applyAlignment="1">
      <alignment horizontal="center" vertical="center" wrapText="1"/>
    </xf>
    <xf numFmtId="0" fontId="6" fillId="48" borderId="188" xfId="0" applyFont="1" applyFill="1" applyBorder="1" applyAlignment="1">
      <alignment horizontal="center" vertical="center" wrapText="1"/>
    </xf>
    <xf numFmtId="0" fontId="6" fillId="48" borderId="226" xfId="0" applyFont="1" applyFill="1" applyBorder="1" applyAlignment="1">
      <alignment horizontal="center" vertical="center" wrapText="1"/>
    </xf>
    <xf numFmtId="0" fontId="11" fillId="43" borderId="44" xfId="0" applyNumberFormat="1" applyFont="1" applyFill="1" applyBorder="1" applyAlignment="1" applyProtection="1">
      <alignment horizontal="center" vertical="center" wrapText="1"/>
    </xf>
    <xf numFmtId="0" fontId="6" fillId="27" borderId="83" xfId="0" applyFont="1" applyFill="1" applyBorder="1" applyAlignment="1">
      <alignment horizontal="center" vertical="center" wrapText="1"/>
    </xf>
    <xf numFmtId="0" fontId="6" fillId="0" borderId="83" xfId="0" applyFont="1" applyBorder="1" applyAlignment="1">
      <alignment vertical="center" wrapText="1"/>
    </xf>
    <xf numFmtId="0" fontId="51" fillId="0" borderId="83" xfId="0" applyFont="1" applyBorder="1" applyAlignment="1">
      <alignment vertical="center"/>
    </xf>
    <xf numFmtId="0" fontId="51" fillId="0" borderId="91" xfId="0" applyFont="1" applyBorder="1" applyAlignment="1">
      <alignment vertical="center"/>
    </xf>
    <xf numFmtId="0" fontId="0" fillId="0" borderId="73" xfId="0" applyBorder="1" applyAlignment="1">
      <alignment horizontal="center"/>
    </xf>
    <xf numFmtId="0" fontId="0" fillId="0" borderId="74" xfId="0" applyBorder="1" applyAlignment="1">
      <alignment horizontal="center"/>
    </xf>
    <xf numFmtId="0" fontId="0" fillId="0" borderId="92" xfId="0" applyBorder="1" applyAlignment="1">
      <alignment horizontal="center"/>
    </xf>
    <xf numFmtId="0" fontId="57" fillId="44" borderId="44" xfId="0" applyFont="1" applyFill="1" applyBorder="1" applyAlignment="1">
      <alignment horizontal="center" vertical="center" wrapText="1"/>
    </xf>
    <xf numFmtId="0" fontId="51" fillId="0" borderId="86" xfId="0" applyFont="1" applyBorder="1" applyAlignment="1">
      <alignment vertical="center" wrapText="1"/>
    </xf>
    <xf numFmtId="0" fontId="53" fillId="23" borderId="46" xfId="0" applyFont="1" applyFill="1" applyBorder="1" applyAlignment="1">
      <alignment horizontal="center" vertical="center" wrapText="1"/>
    </xf>
    <xf numFmtId="0" fontId="51" fillId="0" borderId="87" xfId="0" applyFont="1" applyBorder="1" applyAlignment="1">
      <alignment vertical="center" wrapText="1"/>
    </xf>
    <xf numFmtId="0" fontId="53" fillId="23" borderId="79" xfId="0" applyFont="1" applyFill="1" applyBorder="1" applyAlignment="1">
      <alignment horizontal="center" vertical="center" wrapText="1"/>
    </xf>
    <xf numFmtId="0" fontId="51" fillId="0" borderId="88" xfId="0" applyFont="1" applyBorder="1" applyAlignment="1">
      <alignment vertical="center" wrapText="1"/>
    </xf>
    <xf numFmtId="0" fontId="11" fillId="51" borderId="83" xfId="0" applyNumberFormat="1" applyFont="1" applyFill="1" applyBorder="1" applyAlignment="1" applyProtection="1">
      <alignment horizontal="center" vertical="center" wrapText="1"/>
    </xf>
    <xf numFmtId="0" fontId="11" fillId="43" borderId="83" xfId="0" applyNumberFormat="1" applyFont="1" applyFill="1" applyBorder="1" applyAlignment="1" applyProtection="1">
      <alignment horizontal="center" vertical="center" wrapText="1"/>
    </xf>
    <xf numFmtId="0" fontId="11" fillId="43" borderId="91" xfId="0" applyNumberFormat="1" applyFont="1" applyFill="1" applyBorder="1" applyAlignment="1" applyProtection="1">
      <alignment horizontal="center" vertical="center" wrapText="1"/>
    </xf>
    <xf numFmtId="0" fontId="11" fillId="0" borderId="73" xfId="0" applyFont="1" applyBorder="1" applyAlignment="1">
      <alignment horizontal="left" vertical="center" indent="1"/>
    </xf>
    <xf numFmtId="0" fontId="11" fillId="0" borderId="74" xfId="0" applyFont="1" applyBorder="1" applyAlignment="1">
      <alignment horizontal="left" vertical="center" indent="1"/>
    </xf>
    <xf numFmtId="0" fontId="11" fillId="0" borderId="92" xfId="0" applyFont="1" applyBorder="1" applyAlignment="1">
      <alignment horizontal="left" vertical="center" indent="1"/>
    </xf>
    <xf numFmtId="168" fontId="6" fillId="32" borderId="73" xfId="30" applyNumberFormat="1" applyFont="1" applyFill="1" applyBorder="1" applyAlignment="1">
      <alignment horizontal="left" vertical="center"/>
    </xf>
    <xf numFmtId="168" fontId="6" fillId="32" borderId="74" xfId="30" applyNumberFormat="1" applyFont="1" applyFill="1" applyBorder="1" applyAlignment="1">
      <alignment horizontal="left" vertical="center"/>
    </xf>
    <xf numFmtId="168" fontId="6" fillId="32" borderId="92" xfId="30" applyNumberFormat="1" applyFont="1" applyFill="1" applyBorder="1" applyAlignment="1">
      <alignment horizontal="left" vertical="center"/>
    </xf>
    <xf numFmtId="168" fontId="51" fillId="18" borderId="73" xfId="30" applyNumberFormat="1" applyFont="1" applyFill="1" applyBorder="1" applyAlignment="1">
      <alignment horizontal="left" vertical="center" wrapText="1"/>
    </xf>
    <xf numFmtId="168" fontId="51" fillId="18" borderId="74" xfId="30" applyNumberFormat="1" applyFont="1" applyFill="1" applyBorder="1" applyAlignment="1">
      <alignment horizontal="left" vertical="center" wrapText="1"/>
    </xf>
    <xf numFmtId="168" fontId="51" fillId="18" borderId="19" xfId="30" applyNumberFormat="1" applyFont="1" applyFill="1" applyBorder="1" applyAlignment="1">
      <alignment horizontal="left" vertical="center" wrapText="1"/>
    </xf>
    <xf numFmtId="0" fontId="3" fillId="14" borderId="0" xfId="0"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57" fillId="34" borderId="44" xfId="0" applyFont="1" applyFill="1" applyBorder="1" applyAlignment="1">
      <alignment horizontal="center" vertical="center" wrapText="1"/>
    </xf>
    <xf numFmtId="0" fontId="51" fillId="34" borderId="86" xfId="0" applyFont="1" applyFill="1" applyBorder="1" applyAlignment="1">
      <alignment vertical="center" wrapText="1"/>
    </xf>
    <xf numFmtId="0" fontId="53" fillId="34" borderId="46" xfId="0" applyFont="1" applyFill="1" applyBorder="1" applyAlignment="1">
      <alignment horizontal="center" vertical="center" wrapText="1"/>
    </xf>
    <xf numFmtId="0" fontId="51" fillId="34" borderId="87" xfId="0" applyFont="1" applyFill="1" applyBorder="1" applyAlignment="1">
      <alignment vertical="center" wrapText="1"/>
    </xf>
    <xf numFmtId="0" fontId="53" fillId="34" borderId="79" xfId="0" applyFont="1" applyFill="1" applyBorder="1" applyAlignment="1">
      <alignment horizontal="center" vertical="center" wrapText="1"/>
    </xf>
    <xf numFmtId="0" fontId="51" fillId="34" borderId="88" xfId="0" applyFont="1" applyFill="1" applyBorder="1" applyAlignment="1">
      <alignment vertical="center" wrapText="1"/>
    </xf>
    <xf numFmtId="0" fontId="65" fillId="43" borderId="91" xfId="0" applyNumberFormat="1" applyFont="1" applyFill="1" applyBorder="1" applyAlignment="1" applyProtection="1">
      <alignment horizontal="center" vertical="center" wrapText="1"/>
    </xf>
    <xf numFmtId="0" fontId="51" fillId="27" borderId="83" xfId="0" applyFont="1" applyFill="1" applyBorder="1" applyAlignment="1">
      <alignment horizontal="center" vertical="center" wrapText="1"/>
    </xf>
    <xf numFmtId="0" fontId="51" fillId="0" borderId="83" xfId="0" applyFont="1" applyBorder="1" applyAlignment="1">
      <alignment vertical="center" wrapText="1"/>
    </xf>
    <xf numFmtId="0" fontId="11" fillId="43" borderId="209" xfId="0" applyNumberFormat="1" applyFont="1" applyFill="1" applyBorder="1" applyAlignment="1" applyProtection="1">
      <alignment horizontal="center" vertical="center" wrapText="1"/>
    </xf>
    <xf numFmtId="0" fontId="6" fillId="48" borderId="23" xfId="0" applyFont="1" applyFill="1" applyBorder="1" applyAlignment="1">
      <alignment horizontal="center" vertical="center" wrapText="1"/>
    </xf>
    <xf numFmtId="0" fontId="6" fillId="48" borderId="24" xfId="0" applyFont="1" applyFill="1" applyBorder="1" applyAlignment="1">
      <alignment horizontal="center" vertical="center" wrapText="1"/>
    </xf>
    <xf numFmtId="0" fontId="64" fillId="37" borderId="62" xfId="0" applyFont="1" applyFill="1" applyBorder="1" applyAlignment="1">
      <alignment horizontal="center" vertical="center" wrapText="1"/>
    </xf>
    <xf numFmtId="0" fontId="3" fillId="39" borderId="73" xfId="0" applyFont="1" applyFill="1" applyBorder="1"/>
    <xf numFmtId="0" fontId="3" fillId="39" borderId="74" xfId="0" applyFont="1" applyFill="1" applyBorder="1"/>
    <xf numFmtId="0" fontId="3" fillId="39" borderId="92" xfId="0" applyFont="1" applyFill="1" applyBorder="1"/>
    <xf numFmtId="168" fontId="6" fillId="39" borderId="41" xfId="0" applyNumberFormat="1" applyFont="1" applyFill="1" applyBorder="1" applyAlignment="1">
      <alignment horizontal="left" vertical="center" wrapText="1"/>
    </xf>
    <xf numFmtId="168" fontId="6" fillId="39" borderId="13" xfId="0" applyNumberFormat="1" applyFont="1" applyFill="1" applyBorder="1" applyAlignment="1">
      <alignment horizontal="left" vertical="center" wrapText="1"/>
    </xf>
    <xf numFmtId="168" fontId="14" fillId="25" borderId="36" xfId="30" applyNumberFormat="1" applyFont="1" applyFill="1" applyBorder="1" applyAlignment="1">
      <alignment horizontal="left" vertical="center"/>
    </xf>
    <xf numFmtId="168" fontId="14" fillId="25" borderId="55" xfId="30" applyNumberFormat="1" applyFont="1" applyFill="1" applyBorder="1" applyAlignment="1">
      <alignment horizontal="left" vertical="center"/>
    </xf>
    <xf numFmtId="168" fontId="49" fillId="25" borderId="73" xfId="30" applyNumberFormat="1" applyFont="1" applyFill="1" applyBorder="1"/>
    <xf numFmtId="168" fontId="49" fillId="25" borderId="74" xfId="30" applyNumberFormat="1" applyFont="1" applyFill="1" applyBorder="1"/>
    <xf numFmtId="168" fontId="49" fillId="25" borderId="92" xfId="30" applyNumberFormat="1" applyFont="1" applyFill="1" applyBorder="1"/>
    <xf numFmtId="0" fontId="11" fillId="44" borderId="73" xfId="0" applyFont="1" applyFill="1" applyBorder="1" applyAlignment="1">
      <alignment horizontal="left" vertical="top" wrapText="1"/>
    </xf>
    <xf numFmtId="0" fontId="11" fillId="44" borderId="74" xfId="0" applyFont="1" applyFill="1" applyBorder="1" applyAlignment="1">
      <alignment horizontal="left" vertical="top" wrapText="1"/>
    </xf>
    <xf numFmtId="0" fontId="11" fillId="44" borderId="92" xfId="0" applyFont="1" applyFill="1" applyBorder="1" applyAlignment="1">
      <alignment horizontal="left" vertical="top" wrapText="1"/>
    </xf>
    <xf numFmtId="0" fontId="14" fillId="44" borderId="73" xfId="0" applyFont="1" applyFill="1" applyBorder="1" applyAlignment="1">
      <alignment horizontal="left" vertical="center"/>
    </xf>
    <xf numFmtId="0" fontId="14" fillId="44" borderId="74" xfId="0" applyFont="1" applyFill="1" applyBorder="1" applyAlignment="1">
      <alignment horizontal="left" vertical="center"/>
    </xf>
    <xf numFmtId="0" fontId="14" fillId="44" borderId="92" xfId="0" applyFont="1" applyFill="1" applyBorder="1" applyAlignment="1">
      <alignment horizontal="left" vertical="center"/>
    </xf>
    <xf numFmtId="0" fontId="65" fillId="43" borderId="56" xfId="0" applyNumberFormat="1" applyFont="1" applyFill="1" applyBorder="1" applyAlignment="1" applyProtection="1">
      <alignment horizontal="center" vertical="center" wrapText="1"/>
    </xf>
    <xf numFmtId="0" fontId="14" fillId="37" borderId="57" xfId="0" applyFont="1" applyFill="1" applyBorder="1" applyAlignment="1">
      <alignment horizontal="center" vertical="center" wrapText="1"/>
    </xf>
    <xf numFmtId="0" fontId="65" fillId="51" borderId="57" xfId="0" applyNumberFormat="1" applyFont="1" applyFill="1" applyBorder="1" applyAlignment="1" applyProtection="1">
      <alignment horizontal="center" vertical="center" wrapText="1"/>
    </xf>
    <xf numFmtId="0" fontId="14" fillId="42" borderId="57" xfId="0" applyFont="1" applyFill="1" applyBorder="1" applyAlignment="1">
      <alignment horizontal="center" vertical="center" wrapText="1"/>
    </xf>
    <xf numFmtId="0" fontId="14" fillId="42" borderId="60" xfId="0" applyFont="1" applyFill="1" applyBorder="1" applyAlignment="1">
      <alignment horizontal="center" vertical="center" wrapText="1"/>
    </xf>
    <xf numFmtId="168" fontId="45" fillId="18" borderId="46" xfId="30" applyNumberFormat="1" applyFont="1" applyFill="1" applyBorder="1" applyAlignment="1">
      <alignment horizontal="left" indent="1"/>
    </xf>
    <xf numFmtId="168" fontId="45" fillId="18" borderId="62" xfId="30" applyNumberFormat="1" applyFont="1" applyFill="1" applyBorder="1" applyAlignment="1">
      <alignment horizontal="left" indent="1"/>
    </xf>
    <xf numFmtId="0" fontId="64" fillId="40" borderId="21" xfId="0" applyFont="1" applyFill="1" applyBorder="1" applyAlignment="1">
      <alignment horizontal="center" vertical="center" wrapText="1"/>
    </xf>
    <xf numFmtId="0" fontId="64" fillId="40" borderId="22" xfId="0" applyFont="1" applyFill="1" applyBorder="1" applyAlignment="1">
      <alignment horizontal="center" vertical="center" wrapText="1"/>
    </xf>
    <xf numFmtId="0" fontId="64" fillId="40" borderId="23" xfId="0" applyFont="1" applyFill="1" applyBorder="1" applyAlignment="1">
      <alignment horizontal="center" vertical="center" wrapText="1"/>
    </xf>
    <xf numFmtId="0" fontId="64" fillId="41" borderId="185" xfId="0" applyFont="1" applyFill="1" applyBorder="1" applyAlignment="1">
      <alignment horizontal="center" vertical="center" wrapText="1"/>
    </xf>
    <xf numFmtId="0" fontId="64" fillId="41" borderId="96" xfId="0" applyFont="1" applyFill="1" applyBorder="1" applyAlignment="1">
      <alignment horizontal="center" vertical="center" wrapText="1"/>
    </xf>
    <xf numFmtId="0" fontId="64" fillId="41" borderId="186" xfId="0" applyFont="1" applyFill="1" applyBorder="1" applyAlignment="1">
      <alignment horizontal="center" vertical="center" wrapText="1"/>
    </xf>
    <xf numFmtId="0" fontId="64" fillId="41" borderId="21" xfId="0" applyFont="1" applyFill="1" applyBorder="1" applyAlignment="1">
      <alignment horizontal="center" vertical="center" wrapText="1"/>
    </xf>
    <xf numFmtId="0" fontId="64" fillId="41" borderId="22" xfId="0" applyFont="1" applyFill="1" applyBorder="1" applyAlignment="1">
      <alignment horizontal="center" vertical="center" wrapText="1"/>
    </xf>
    <xf numFmtId="0" fontId="64" fillId="41" borderId="23" xfId="0" applyFont="1" applyFill="1" applyBorder="1" applyAlignment="1">
      <alignment horizontal="center" vertical="center" wrapText="1"/>
    </xf>
    <xf numFmtId="0" fontId="64" fillId="41" borderId="52" xfId="0" applyFont="1" applyFill="1" applyBorder="1" applyAlignment="1">
      <alignment horizontal="center" vertical="center" wrapText="1"/>
    </xf>
    <xf numFmtId="0" fontId="64" fillId="41" borderId="53" xfId="0" applyFont="1" applyFill="1" applyBorder="1" applyAlignment="1">
      <alignment horizontal="center" vertical="center" wrapText="1"/>
    </xf>
    <xf numFmtId="0" fontId="64" fillId="41" borderId="54" xfId="0" applyFont="1" applyFill="1" applyBorder="1" applyAlignment="1">
      <alignment horizontal="center" vertical="center" wrapText="1"/>
    </xf>
    <xf numFmtId="0" fontId="6" fillId="40" borderId="91" xfId="0" applyFont="1" applyFill="1" applyBorder="1" applyAlignment="1" applyProtection="1">
      <alignment horizontal="center" vertical="center" wrapText="1"/>
      <protection locked="0"/>
    </xf>
    <xf numFmtId="0" fontId="6" fillId="40" borderId="64" xfId="0" applyFont="1" applyFill="1" applyBorder="1" applyAlignment="1" applyProtection="1">
      <alignment horizontal="center" vertical="center" wrapText="1"/>
      <protection locked="0"/>
    </xf>
    <xf numFmtId="0" fontId="6" fillId="40" borderId="209" xfId="0" applyFont="1" applyFill="1" applyBorder="1" applyAlignment="1" applyProtection="1">
      <alignment horizontal="center" vertical="center" wrapText="1"/>
      <protection locked="0"/>
    </xf>
    <xf numFmtId="0" fontId="6" fillId="40" borderId="46" xfId="0" applyFont="1" applyFill="1" applyBorder="1" applyAlignment="1" applyProtection="1">
      <alignment horizontal="center" vertical="center" wrapText="1"/>
      <protection locked="0"/>
    </xf>
    <xf numFmtId="0" fontId="6" fillId="40" borderId="83" xfId="0" applyFont="1" applyFill="1" applyBorder="1" applyAlignment="1" applyProtection="1">
      <alignment horizontal="center" vertical="center" wrapText="1"/>
      <protection locked="0"/>
    </xf>
    <xf numFmtId="0" fontId="6" fillId="40" borderId="61" xfId="0" applyFont="1" applyFill="1" applyBorder="1" applyAlignment="1" applyProtection="1">
      <alignment horizontal="center" vertical="center" wrapText="1"/>
      <protection locked="0"/>
    </xf>
    <xf numFmtId="0" fontId="65" fillId="40" borderId="72" xfId="0" applyNumberFormat="1" applyFont="1" applyFill="1" applyBorder="1" applyAlignment="1" applyProtection="1">
      <alignment horizontal="center" vertical="center" wrapText="1"/>
    </xf>
    <xf numFmtId="0" fontId="14" fillId="41" borderId="83" xfId="0" applyFont="1" applyFill="1" applyBorder="1" applyAlignment="1">
      <alignment horizontal="center" vertical="center" wrapText="1"/>
    </xf>
    <xf numFmtId="0" fontId="65" fillId="43" borderId="57" xfId="0" applyNumberFormat="1" applyFont="1" applyFill="1" applyBorder="1" applyAlignment="1" applyProtection="1">
      <alignment horizontal="center" vertical="center" wrapText="1"/>
    </xf>
    <xf numFmtId="0" fontId="65" fillId="43" borderId="60" xfId="0" applyNumberFormat="1" applyFont="1" applyFill="1" applyBorder="1" applyAlignment="1" applyProtection="1">
      <alignment horizontal="center" vertical="center" wrapText="1"/>
    </xf>
    <xf numFmtId="0" fontId="64" fillId="41" borderId="142" xfId="0" applyFont="1" applyFill="1" applyBorder="1" applyAlignment="1">
      <alignment horizontal="center" vertical="center" wrapText="1"/>
    </xf>
    <xf numFmtId="0" fontId="64" fillId="40" borderId="51" xfId="0" applyFont="1" applyFill="1" applyBorder="1" applyAlignment="1">
      <alignment horizontal="center" vertical="center" wrapText="1"/>
    </xf>
    <xf numFmtId="0" fontId="64" fillId="40" borderId="77" xfId="0" applyFont="1" applyFill="1" applyBorder="1" applyAlignment="1">
      <alignment horizontal="center" vertical="center" wrapText="1"/>
    </xf>
    <xf numFmtId="0" fontId="64" fillId="40" borderId="63" xfId="0" applyFont="1" applyFill="1" applyBorder="1" applyAlignment="1">
      <alignment horizontal="center" vertical="center" wrapText="1"/>
    </xf>
    <xf numFmtId="0" fontId="64" fillId="42" borderId="142" xfId="0" applyFont="1" applyFill="1" applyBorder="1" applyAlignment="1">
      <alignment horizontal="center" vertical="center" wrapText="1"/>
    </xf>
    <xf numFmtId="0" fontId="64" fillId="40" borderId="142" xfId="0" applyFont="1" applyFill="1" applyBorder="1" applyAlignment="1">
      <alignment horizontal="center" vertical="center" wrapText="1"/>
    </xf>
    <xf numFmtId="0" fontId="38" fillId="34" borderId="74" xfId="0" applyFont="1" applyFill="1" applyBorder="1" applyAlignment="1">
      <alignment horizontal="center" vertical="center" wrapText="1"/>
    </xf>
    <xf numFmtId="0" fontId="36" fillId="34" borderId="74" xfId="0" applyFont="1" applyFill="1" applyBorder="1" applyAlignment="1">
      <alignment horizontal="center" vertical="center" wrapText="1"/>
    </xf>
    <xf numFmtId="3" fontId="6" fillId="25" borderId="73" xfId="0" applyNumberFormat="1" applyFont="1" applyFill="1" applyBorder="1" applyAlignment="1">
      <alignment horizontal="left" vertical="center"/>
    </xf>
    <xf numFmtId="3" fontId="6" fillId="25" borderId="74" xfId="0" applyNumberFormat="1" applyFont="1" applyFill="1" applyBorder="1" applyAlignment="1">
      <alignment horizontal="left" vertical="center"/>
    </xf>
    <xf numFmtId="3" fontId="6" fillId="25" borderId="92" xfId="0" applyNumberFormat="1" applyFont="1" applyFill="1" applyBorder="1" applyAlignment="1">
      <alignment horizontal="left" vertical="center"/>
    </xf>
    <xf numFmtId="0" fontId="39" fillId="34" borderId="21" xfId="0" applyFont="1" applyFill="1" applyBorder="1" applyAlignment="1">
      <alignment horizontal="left" vertical="center" wrapText="1"/>
    </xf>
    <xf numFmtId="0" fontId="39" fillId="34" borderId="23" xfId="0" applyFont="1" applyFill="1" applyBorder="1" applyAlignment="1">
      <alignment horizontal="left" vertical="center" wrapText="1"/>
    </xf>
    <xf numFmtId="0" fontId="39" fillId="34" borderId="19" xfId="0" applyFont="1" applyFill="1" applyBorder="1" applyAlignment="1">
      <alignment horizontal="left" vertical="center" wrapText="1"/>
    </xf>
    <xf numFmtId="0" fontId="39" fillId="34" borderId="24" xfId="0" applyFont="1" applyFill="1" applyBorder="1" applyAlignment="1">
      <alignment horizontal="left" vertical="center" wrapText="1"/>
    </xf>
    <xf numFmtId="0" fontId="39" fillId="34" borderId="25" xfId="0" applyFont="1" applyFill="1" applyBorder="1" applyAlignment="1">
      <alignment horizontal="left" vertical="center" wrapText="1"/>
    </xf>
    <xf numFmtId="0" fontId="39" fillId="34" borderId="205" xfId="0" applyFont="1" applyFill="1" applyBorder="1" applyAlignment="1">
      <alignment horizontal="left" vertical="center" wrapText="1"/>
    </xf>
    <xf numFmtId="0" fontId="3" fillId="34" borderId="51" xfId="0" applyFont="1" applyFill="1" applyBorder="1" applyAlignment="1">
      <alignment horizontal="left" vertical="center" wrapText="1" indent="4"/>
    </xf>
    <xf numFmtId="0" fontId="3" fillId="34" borderId="78" xfId="0" applyFont="1" applyFill="1" applyBorder="1" applyAlignment="1">
      <alignment horizontal="left" vertical="center" wrapText="1" indent="4"/>
    </xf>
    <xf numFmtId="0" fontId="3" fillId="34" borderId="50" xfId="0" applyFont="1" applyFill="1" applyBorder="1" applyAlignment="1">
      <alignment horizontal="left" vertical="center" wrapText="1" indent="2"/>
    </xf>
    <xf numFmtId="0" fontId="3" fillId="34" borderId="76" xfId="0" applyFont="1" applyFill="1" applyBorder="1" applyAlignment="1">
      <alignment horizontal="left" vertical="center" wrapText="1" indent="2"/>
    </xf>
    <xf numFmtId="0" fontId="6" fillId="34" borderId="51" xfId="0" applyFont="1" applyFill="1" applyBorder="1"/>
    <xf numFmtId="0" fontId="6" fillId="34" borderId="78" xfId="0" applyFont="1" applyFill="1" applyBorder="1"/>
    <xf numFmtId="0" fontId="6" fillId="34" borderId="51" xfId="0" applyFont="1" applyFill="1" applyBorder="1" applyAlignment="1">
      <alignment horizontal="left" vertical="center" wrapText="1"/>
    </xf>
    <xf numFmtId="0" fontId="6" fillId="34" borderId="78" xfId="0" applyFont="1" applyFill="1" applyBorder="1" applyAlignment="1">
      <alignment horizontal="left" vertical="center" wrapText="1"/>
    </xf>
    <xf numFmtId="0" fontId="6" fillId="34" borderId="69" xfId="0" applyFont="1" applyFill="1" applyBorder="1"/>
    <xf numFmtId="0" fontId="6" fillId="34" borderId="150" xfId="0" applyFont="1" applyFill="1" applyBorder="1"/>
    <xf numFmtId="0" fontId="38" fillId="34" borderId="21" xfId="0" applyFont="1" applyFill="1" applyBorder="1" applyAlignment="1">
      <alignment horizontal="center" vertical="center" wrapText="1"/>
    </xf>
    <xf numFmtId="0" fontId="38" fillId="34" borderId="23" xfId="0" applyFont="1" applyFill="1" applyBorder="1" applyAlignment="1">
      <alignment horizontal="center" vertical="center" wrapText="1"/>
    </xf>
    <xf numFmtId="0" fontId="38" fillId="34" borderId="19" xfId="0" applyFont="1" applyFill="1" applyBorder="1" applyAlignment="1">
      <alignment horizontal="center" vertical="center" wrapText="1"/>
    </xf>
    <xf numFmtId="0" fontId="38" fillId="34" borderId="24" xfId="0" applyFont="1" applyFill="1" applyBorder="1" applyAlignment="1">
      <alignment horizontal="center" vertical="center" wrapText="1"/>
    </xf>
    <xf numFmtId="0" fontId="38" fillId="34" borderId="25" xfId="0" applyFont="1" applyFill="1" applyBorder="1" applyAlignment="1">
      <alignment horizontal="center" vertical="center" wrapText="1"/>
    </xf>
    <xf numFmtId="0" fontId="38" fillId="34" borderId="205" xfId="0" applyFont="1" applyFill="1" applyBorder="1" applyAlignment="1">
      <alignment horizontal="center" vertical="center" wrapText="1"/>
    </xf>
    <xf numFmtId="168" fontId="45" fillId="18" borderId="69" xfId="30" applyNumberFormat="1" applyFont="1" applyFill="1" applyBorder="1" applyAlignment="1">
      <alignment horizontal="left" indent="1"/>
    </xf>
    <xf numFmtId="168" fontId="45" fillId="18" borderId="150" xfId="30" applyNumberFormat="1" applyFont="1" applyFill="1" applyBorder="1" applyAlignment="1">
      <alignment horizontal="left" indent="1"/>
    </xf>
    <xf numFmtId="168" fontId="45" fillId="18" borderId="51" xfId="30" applyNumberFormat="1" applyFont="1" applyFill="1" applyBorder="1" applyAlignment="1">
      <alignment horizontal="left" indent="1"/>
    </xf>
    <xf numFmtId="168" fontId="45" fillId="18" borderId="78" xfId="30" applyNumberFormat="1" applyFont="1" applyFill="1" applyBorder="1" applyAlignment="1">
      <alignment horizontal="left" indent="1"/>
    </xf>
    <xf numFmtId="168" fontId="45" fillId="18" borderId="50" xfId="30" applyNumberFormat="1" applyFont="1" applyFill="1" applyBorder="1" applyAlignment="1">
      <alignment horizontal="left" indent="1"/>
    </xf>
    <xf numFmtId="168" fontId="45" fillId="18" borderId="76" xfId="30" applyNumberFormat="1" applyFont="1" applyFill="1" applyBorder="1" applyAlignment="1">
      <alignment horizontal="left" indent="1"/>
    </xf>
    <xf numFmtId="168" fontId="86" fillId="18" borderId="73" xfId="30" applyNumberFormat="1" applyFont="1" applyFill="1" applyBorder="1" applyAlignment="1">
      <alignment horizontal="left" vertical="center"/>
    </xf>
    <xf numFmtId="168" fontId="86" fillId="18" borderId="74" xfId="30" applyNumberFormat="1" applyFont="1" applyFill="1" applyBorder="1" applyAlignment="1">
      <alignment horizontal="left" vertical="center"/>
    </xf>
    <xf numFmtId="168" fontId="86" fillId="18" borderId="92" xfId="30" applyNumberFormat="1" applyFont="1" applyFill="1" applyBorder="1" applyAlignment="1">
      <alignment horizontal="left" vertical="center"/>
    </xf>
    <xf numFmtId="0" fontId="11" fillId="39" borderId="69" xfId="0" applyFont="1" applyFill="1" applyBorder="1" applyAlignment="1">
      <alignment horizontal="left" indent="2"/>
    </xf>
    <xf numFmtId="0" fontId="11" fillId="39" borderId="150" xfId="0" applyFont="1" applyFill="1" applyBorder="1" applyAlignment="1">
      <alignment horizontal="left" indent="2"/>
    </xf>
    <xf numFmtId="168" fontId="45" fillId="18" borderId="118" xfId="30" applyNumberFormat="1" applyFont="1" applyFill="1" applyBorder="1" applyAlignment="1">
      <alignment horizontal="left" indent="1"/>
    </xf>
    <xf numFmtId="168" fontId="45" fillId="18" borderId="77" xfId="30" applyNumberFormat="1" applyFont="1" applyFill="1" applyBorder="1" applyAlignment="1">
      <alignment horizontal="left" indent="1"/>
    </xf>
    <xf numFmtId="168" fontId="45" fillId="18" borderId="75" xfId="30" applyNumberFormat="1" applyFont="1" applyFill="1" applyBorder="1" applyAlignment="1">
      <alignment horizontal="left" indent="1"/>
    </xf>
    <xf numFmtId="0" fontId="38" fillId="34" borderId="251" xfId="0" applyFont="1" applyFill="1" applyBorder="1" applyAlignment="1">
      <alignment horizontal="center" vertical="center" wrapText="1"/>
    </xf>
    <xf numFmtId="0" fontId="86" fillId="14" borderId="0" xfId="0" applyFont="1" applyFill="1" applyBorder="1" applyAlignment="1">
      <alignment horizontal="left" vertical="top" wrapText="1"/>
    </xf>
    <xf numFmtId="168" fontId="3" fillId="25" borderId="209" xfId="30" applyNumberFormat="1" applyFont="1" applyFill="1" applyBorder="1" applyAlignment="1">
      <alignment horizontal="left" vertical="center"/>
    </xf>
    <xf numFmtId="168" fontId="3" fillId="25" borderId="46" xfId="30" applyNumberFormat="1" applyFont="1" applyFill="1" applyBorder="1" applyAlignment="1">
      <alignment horizontal="left" vertical="center"/>
    </xf>
    <xf numFmtId="168" fontId="3" fillId="25" borderId="210" xfId="30" applyNumberFormat="1" applyFont="1" applyFill="1" applyBorder="1" applyAlignment="1">
      <alignment horizontal="left" vertical="center"/>
    </xf>
    <xf numFmtId="0" fontId="6" fillId="44" borderId="69" xfId="0" applyFont="1" applyFill="1" applyBorder="1"/>
    <xf numFmtId="0" fontId="6" fillId="44" borderId="150" xfId="0" applyFont="1" applyFill="1" applyBorder="1"/>
    <xf numFmtId="3" fontId="6" fillId="39" borderId="73" xfId="0" applyNumberFormat="1" applyFont="1" applyFill="1" applyBorder="1" applyAlignment="1">
      <alignment horizontal="left" vertical="center"/>
    </xf>
    <xf numFmtId="3" fontId="6" fillId="39" borderId="74" xfId="0" applyNumberFormat="1" applyFont="1" applyFill="1" applyBorder="1" applyAlignment="1">
      <alignment horizontal="left" vertical="center"/>
    </xf>
    <xf numFmtId="3" fontId="6" fillId="39" borderId="92" xfId="0" applyNumberFormat="1" applyFont="1" applyFill="1" applyBorder="1" applyAlignment="1">
      <alignment horizontal="left" vertical="center"/>
    </xf>
    <xf numFmtId="0" fontId="3" fillId="25" borderId="50" xfId="0" applyFont="1" applyFill="1" applyBorder="1" applyAlignment="1">
      <alignment horizontal="left" vertical="center" wrapText="1" indent="4"/>
    </xf>
    <xf numFmtId="0" fontId="3" fillId="25" borderId="76" xfId="0" applyFont="1" applyFill="1" applyBorder="1" applyAlignment="1">
      <alignment horizontal="left" vertical="center" wrapText="1" indent="4"/>
    </xf>
    <xf numFmtId="0" fontId="3" fillId="44" borderId="51" xfId="0" applyFont="1" applyFill="1" applyBorder="1" applyAlignment="1">
      <alignment horizontal="left" vertical="center" wrapText="1" indent="4"/>
    </xf>
    <xf numFmtId="0" fontId="3" fillId="44" borderId="78" xfId="0" applyFont="1" applyFill="1" applyBorder="1" applyAlignment="1">
      <alignment horizontal="left" vertical="center" wrapText="1" indent="4"/>
    </xf>
    <xf numFmtId="0" fontId="6" fillId="44" borderId="51" xfId="0" applyFont="1" applyFill="1" applyBorder="1" applyAlignment="1">
      <alignment horizontal="left" vertical="center" wrapText="1"/>
    </xf>
    <xf numFmtId="0" fontId="6" fillId="44" borderId="78" xfId="0" applyFont="1" applyFill="1" applyBorder="1" applyAlignment="1">
      <alignment horizontal="left" vertical="center" wrapText="1"/>
    </xf>
    <xf numFmtId="168" fontId="45" fillId="18" borderId="210" xfId="30" applyNumberFormat="1" applyFont="1" applyFill="1" applyBorder="1" applyAlignment="1">
      <alignment horizontal="left" indent="1"/>
    </xf>
    <xf numFmtId="168" fontId="45" fillId="18" borderId="66" xfId="30" applyNumberFormat="1" applyFont="1" applyFill="1" applyBorder="1" applyAlignment="1">
      <alignment horizontal="left" indent="1"/>
    </xf>
    <xf numFmtId="0" fontId="3" fillId="34" borderId="21" xfId="0" applyFont="1" applyFill="1" applyBorder="1" applyAlignment="1">
      <alignment horizontal="center"/>
    </xf>
    <xf numFmtId="0" fontId="3" fillId="34" borderId="23" xfId="0" applyFont="1" applyFill="1" applyBorder="1" applyAlignment="1">
      <alignment horizontal="center"/>
    </xf>
    <xf numFmtId="0" fontId="3" fillId="34" borderId="19" xfId="0" applyFont="1" applyFill="1" applyBorder="1" applyAlignment="1">
      <alignment horizontal="center"/>
    </xf>
    <xf numFmtId="0" fontId="3" fillId="34" borderId="24" xfId="0" applyFont="1" applyFill="1" applyBorder="1" applyAlignment="1">
      <alignment horizontal="center"/>
    </xf>
    <xf numFmtId="168" fontId="45" fillId="18" borderId="209" xfId="30" applyNumberFormat="1" applyFont="1" applyFill="1" applyBorder="1" applyAlignment="1">
      <alignment horizontal="left" indent="1"/>
    </xf>
    <xf numFmtId="168" fontId="45" fillId="18" borderId="72" xfId="30" applyNumberFormat="1" applyFont="1" applyFill="1" applyBorder="1" applyAlignment="1">
      <alignment horizontal="left" indent="1"/>
    </xf>
    <xf numFmtId="0" fontId="6" fillId="39" borderId="36" xfId="0" applyFont="1" applyFill="1" applyBorder="1"/>
    <xf numFmtId="0" fontId="6" fillId="39" borderId="34" xfId="0" applyFont="1" applyFill="1" applyBorder="1"/>
    <xf numFmtId="168" fontId="3" fillId="18" borderId="74" xfId="30" applyNumberFormat="1" applyFont="1" applyFill="1" applyBorder="1" applyAlignment="1">
      <alignment horizontal="left" vertical="center"/>
    </xf>
    <xf numFmtId="168" fontId="3" fillId="18" borderId="92" xfId="30" applyNumberFormat="1" applyFont="1" applyFill="1" applyBorder="1" applyAlignment="1">
      <alignment horizontal="left" vertical="center"/>
    </xf>
    <xf numFmtId="168" fontId="3" fillId="18" borderId="73" xfId="30" applyNumberFormat="1" applyFont="1" applyFill="1" applyBorder="1" applyAlignment="1">
      <alignment horizontal="left" vertical="center"/>
    </xf>
    <xf numFmtId="0" fontId="6" fillId="39" borderId="50" xfId="0" applyFont="1" applyFill="1" applyBorder="1" applyAlignment="1">
      <alignment horizontal="left" indent="2"/>
    </xf>
    <xf numFmtId="0" fontId="6" fillId="39" borderId="75" xfId="0" applyFont="1" applyFill="1" applyBorder="1" applyAlignment="1">
      <alignment horizontal="left" indent="2"/>
    </xf>
    <xf numFmtId="0" fontId="6" fillId="39" borderId="69" xfId="0" applyFont="1" applyFill="1" applyBorder="1" applyAlignment="1">
      <alignment horizontal="left" indent="2"/>
    </xf>
    <xf numFmtId="0" fontId="6" fillId="39" borderId="118" xfId="0" applyFont="1" applyFill="1" applyBorder="1" applyAlignment="1">
      <alignment horizontal="left" indent="2"/>
    </xf>
    <xf numFmtId="0" fontId="3" fillId="44" borderId="50" xfId="0" applyFont="1" applyFill="1" applyBorder="1" applyAlignment="1">
      <alignment horizontal="left" vertical="center" wrapText="1" indent="2"/>
    </xf>
    <xf numFmtId="0" fontId="3" fillId="44" borderId="76" xfId="0" applyFont="1" applyFill="1" applyBorder="1" applyAlignment="1">
      <alignment horizontal="left" vertical="center" wrapText="1" indent="2"/>
    </xf>
    <xf numFmtId="0" fontId="11" fillId="30" borderId="69" xfId="0" applyFont="1" applyFill="1" applyBorder="1" applyAlignment="1">
      <alignment horizontal="left" indent="2"/>
    </xf>
    <xf numFmtId="0" fontId="11" fillId="30" borderId="150" xfId="0" applyFont="1" applyFill="1" applyBorder="1" applyAlignment="1">
      <alignment horizontal="left" indent="2"/>
    </xf>
    <xf numFmtId="0" fontId="11" fillId="30" borderId="71" xfId="0" applyFont="1" applyFill="1" applyBorder="1" applyAlignment="1">
      <alignment horizontal="left" indent="2"/>
    </xf>
    <xf numFmtId="0" fontId="11" fillId="30" borderId="127" xfId="0" applyFont="1" applyFill="1" applyBorder="1" applyAlignment="1">
      <alignment horizontal="left" indent="2"/>
    </xf>
    <xf numFmtId="0" fontId="6" fillId="39" borderId="150" xfId="0" applyFont="1" applyFill="1" applyBorder="1" applyAlignment="1">
      <alignment horizontal="left" indent="2"/>
    </xf>
    <xf numFmtId="0" fontId="6" fillId="39" borderId="76" xfId="0" applyFont="1" applyFill="1" applyBorder="1" applyAlignment="1">
      <alignment horizontal="left" indent="2"/>
    </xf>
    <xf numFmtId="0" fontId="6" fillId="44" borderId="51" xfId="0" applyFont="1" applyFill="1" applyBorder="1"/>
    <xf numFmtId="0" fontId="6" fillId="44" borderId="78" xfId="0" applyFont="1" applyFill="1" applyBorder="1"/>
    <xf numFmtId="168" fontId="14" fillId="25" borderId="73" xfId="30" applyNumberFormat="1" applyFont="1" applyFill="1" applyBorder="1" applyAlignment="1">
      <alignment horizontal="left" vertical="center" wrapText="1"/>
    </xf>
    <xf numFmtId="168" fontId="14" fillId="25" borderId="74" xfId="30" applyNumberFormat="1" applyFont="1" applyFill="1" applyBorder="1" applyAlignment="1">
      <alignment horizontal="left" vertical="center" wrapText="1"/>
    </xf>
    <xf numFmtId="168" fontId="14" fillId="25" borderId="92" xfId="30" applyNumberFormat="1" applyFont="1" applyFill="1" applyBorder="1" applyAlignment="1">
      <alignment horizontal="left" vertical="center" wrapText="1"/>
    </xf>
    <xf numFmtId="0" fontId="14" fillId="39" borderId="73" xfId="0" applyFont="1" applyFill="1" applyBorder="1" applyAlignment="1">
      <alignment horizontal="left" vertical="center" wrapText="1"/>
    </xf>
    <xf numFmtId="0" fontId="14" fillId="39" borderId="74" xfId="0" applyFont="1" applyFill="1" applyBorder="1" applyAlignment="1">
      <alignment horizontal="left" vertical="center" wrapText="1"/>
    </xf>
    <xf numFmtId="0" fontId="14" fillId="39" borderId="92" xfId="0" applyFont="1" applyFill="1" applyBorder="1" applyAlignment="1">
      <alignment horizontal="left" vertical="center" wrapText="1"/>
    </xf>
    <xf numFmtId="0" fontId="3" fillId="25" borderId="25" xfId="0" applyFont="1" applyFill="1" applyBorder="1" applyAlignment="1" applyProtection="1">
      <alignment horizontal="left" vertical="center" wrapText="1"/>
      <protection locked="0"/>
    </xf>
    <xf numFmtId="0" fontId="3" fillId="25" borderId="204" xfId="0" applyFont="1" applyFill="1" applyBorder="1" applyAlignment="1" applyProtection="1">
      <alignment horizontal="left" vertical="center" wrapText="1"/>
      <protection locked="0"/>
    </xf>
    <xf numFmtId="0" fontId="3" fillId="25" borderId="205" xfId="0" applyFont="1" applyFill="1" applyBorder="1" applyAlignment="1" applyProtection="1">
      <alignment horizontal="left" vertical="center" wrapText="1"/>
      <protection locked="0"/>
    </xf>
    <xf numFmtId="0" fontId="3" fillId="14" borderId="0" xfId="0" applyFont="1" applyFill="1" applyAlignment="1">
      <alignment horizontal="left" vertical="center" wrapText="1"/>
    </xf>
    <xf numFmtId="0" fontId="6" fillId="48" borderId="142" xfId="0" applyFont="1" applyFill="1" applyBorder="1" applyAlignment="1">
      <alignment horizontal="center" vertical="center" wrapText="1"/>
    </xf>
    <xf numFmtId="0" fontId="6" fillId="48" borderId="139" xfId="0" applyFont="1" applyFill="1" applyBorder="1" applyAlignment="1">
      <alignment horizontal="center" vertical="center" wrapText="1"/>
    </xf>
    <xf numFmtId="0" fontId="0" fillId="25" borderId="73" xfId="0" applyFill="1" applyBorder="1" applyAlignment="1">
      <alignment horizontal="left" wrapText="1"/>
    </xf>
    <xf numFmtId="0" fontId="0" fillId="25" borderId="74" xfId="0" applyFill="1" applyBorder="1" applyAlignment="1">
      <alignment horizontal="left" wrapText="1"/>
    </xf>
    <xf numFmtId="0" fontId="0" fillId="25" borderId="92" xfId="0" applyFill="1" applyBorder="1" applyAlignment="1">
      <alignment horizontal="left" wrapText="1"/>
    </xf>
    <xf numFmtId="0" fontId="65" fillId="43" borderId="72" xfId="0" applyNumberFormat="1" applyFont="1" applyFill="1" applyBorder="1" applyAlignment="1" applyProtection="1">
      <alignment horizontal="center" vertical="center" wrapText="1"/>
    </xf>
    <xf numFmtId="168" fontId="11" fillId="25" borderId="21" xfId="30" applyNumberFormat="1" applyFont="1" applyFill="1" applyBorder="1" applyAlignment="1">
      <alignment horizontal="left" vertical="center" wrapText="1"/>
    </xf>
    <xf numFmtId="168" fontId="11" fillId="25" borderId="19" xfId="30" applyNumberFormat="1" applyFont="1" applyFill="1" applyBorder="1" applyAlignment="1">
      <alignment horizontal="left" vertical="center" wrapText="1"/>
    </xf>
    <xf numFmtId="168" fontId="11" fillId="25" borderId="25" xfId="30" applyNumberFormat="1" applyFont="1" applyFill="1" applyBorder="1" applyAlignment="1">
      <alignment horizontal="left" vertical="center" wrapText="1"/>
    </xf>
    <xf numFmtId="0" fontId="6" fillId="48" borderId="58" xfId="0" applyFont="1" applyFill="1" applyBorder="1" applyAlignment="1">
      <alignment horizontal="center" vertical="center" wrapText="1"/>
    </xf>
    <xf numFmtId="0" fontId="6" fillId="48" borderId="62" xfId="0" applyFont="1" applyFill="1" applyBorder="1" applyAlignment="1">
      <alignment horizontal="center" vertical="center" wrapText="1"/>
    </xf>
    <xf numFmtId="0" fontId="6" fillId="48" borderId="85" xfId="0" applyFont="1" applyFill="1" applyBorder="1" applyAlignment="1">
      <alignment horizontal="center" vertical="center" wrapText="1"/>
    </xf>
    <xf numFmtId="0" fontId="65" fillId="43" borderId="59" xfId="0" applyNumberFormat="1" applyFont="1" applyFill="1" applyBorder="1" applyAlignment="1" applyProtection="1">
      <alignment horizontal="center" vertical="center" wrapText="1"/>
    </xf>
    <xf numFmtId="168" fontId="11" fillId="25" borderId="73" xfId="30" applyNumberFormat="1" applyFont="1" applyFill="1" applyBorder="1" applyAlignment="1">
      <alignment horizontal="left" vertical="center" wrapText="1"/>
    </xf>
    <xf numFmtId="168" fontId="11" fillId="25" borderId="74" xfId="30" applyNumberFormat="1" applyFont="1" applyFill="1" applyBorder="1" applyAlignment="1">
      <alignment horizontal="left" vertical="center" wrapText="1"/>
    </xf>
    <xf numFmtId="168" fontId="11" fillId="25" borderId="92" xfId="30" applyNumberFormat="1" applyFont="1" applyFill="1" applyBorder="1" applyAlignment="1">
      <alignment horizontal="left" vertical="center" wrapText="1"/>
    </xf>
    <xf numFmtId="168" fontId="6" fillId="39" borderId="128" xfId="0" applyNumberFormat="1" applyFont="1" applyFill="1" applyBorder="1" applyAlignment="1">
      <alignment horizontal="left" vertical="center" wrapText="1"/>
    </xf>
    <xf numFmtId="0" fontId="64" fillId="42" borderId="50" xfId="0" applyFont="1" applyFill="1" applyBorder="1" applyAlignment="1">
      <alignment horizontal="center" vertical="center" wrapText="1"/>
    </xf>
    <xf numFmtId="0" fontId="64" fillId="42" borderId="75" xfId="0" applyFont="1" applyFill="1" applyBorder="1" applyAlignment="1">
      <alignment horizontal="center" vertical="center" wrapText="1"/>
    </xf>
    <xf numFmtId="0" fontId="64" fillId="42" borderId="76" xfId="0" applyFont="1" applyFill="1" applyBorder="1" applyAlignment="1">
      <alignment horizontal="center" vertical="center" wrapText="1"/>
    </xf>
    <xf numFmtId="0" fontId="6" fillId="34" borderId="73" xfId="0" applyFont="1" applyFill="1" applyBorder="1" applyAlignment="1" applyProtection="1">
      <alignment horizontal="left" wrapText="1"/>
      <protection locked="0"/>
    </xf>
    <xf numFmtId="0" fontId="6" fillId="34" borderId="74" xfId="0" applyFont="1" applyFill="1" applyBorder="1" applyAlignment="1" applyProtection="1">
      <alignment horizontal="left" wrapText="1"/>
      <protection locked="0"/>
    </xf>
    <xf numFmtId="0" fontId="6" fillId="34" borderId="208" xfId="0" applyFont="1" applyFill="1" applyBorder="1" applyAlignment="1" applyProtection="1">
      <alignment horizontal="left" wrapText="1"/>
      <protection locked="0"/>
    </xf>
    <xf numFmtId="0" fontId="64" fillId="42" borderId="86" xfId="0" applyFont="1" applyFill="1" applyBorder="1" applyAlignment="1">
      <alignment horizontal="center" vertical="center" wrapText="1"/>
    </xf>
    <xf numFmtId="0" fontId="64" fillId="37" borderId="50" xfId="0" applyFont="1" applyFill="1" applyBorder="1" applyAlignment="1">
      <alignment horizontal="center" vertical="center" wrapText="1"/>
    </xf>
    <xf numFmtId="0" fontId="64" fillId="37" borderId="75" xfId="0" applyFont="1" applyFill="1" applyBorder="1" applyAlignment="1">
      <alignment horizontal="center" vertical="center" wrapText="1"/>
    </xf>
    <xf numFmtId="0" fontId="64" fillId="37" borderId="90" xfId="0" applyFont="1" applyFill="1" applyBorder="1" applyAlignment="1">
      <alignment horizontal="center" vertical="center" wrapText="1"/>
    </xf>
    <xf numFmtId="0" fontId="64" fillId="37" borderId="44" xfId="0" applyFont="1" applyFill="1" applyBorder="1" applyAlignment="1">
      <alignment horizontal="center" vertical="center" wrapText="1"/>
    </xf>
    <xf numFmtId="0" fontId="64" fillId="37" borderId="83" xfId="0" applyFont="1" applyFill="1" applyBorder="1" applyAlignment="1">
      <alignment horizontal="center" vertical="center" wrapText="1"/>
    </xf>
    <xf numFmtId="0" fontId="64" fillId="37" borderId="91" xfId="0" applyFont="1" applyFill="1" applyBorder="1" applyAlignment="1">
      <alignment horizontal="center" vertical="center" wrapText="1"/>
    </xf>
    <xf numFmtId="0" fontId="3" fillId="34" borderId="72" xfId="0" applyFont="1" applyFill="1" applyBorder="1" applyAlignment="1">
      <alignment horizontal="center" vertical="center" wrapText="1"/>
    </xf>
    <xf numFmtId="0" fontId="3" fillId="34" borderId="62" xfId="0" applyFont="1" applyFill="1" applyBorder="1" applyAlignment="1">
      <alignment horizontal="center" vertical="center" wrapText="1"/>
    </xf>
    <xf numFmtId="0" fontId="3" fillId="25" borderId="46" xfId="0" applyFont="1" applyFill="1" applyBorder="1" applyAlignment="1">
      <alignment horizontal="right" vertical="center" wrapText="1"/>
    </xf>
    <xf numFmtId="0" fontId="3" fillId="25" borderId="61" xfId="0" applyFont="1" applyFill="1" applyBorder="1" applyAlignment="1">
      <alignment horizontal="right" vertical="center" wrapText="1"/>
    </xf>
    <xf numFmtId="0" fontId="3" fillId="25" borderId="87" xfId="0" applyFont="1" applyFill="1" applyBorder="1" applyAlignment="1">
      <alignment horizontal="right" vertical="center" wrapText="1"/>
    </xf>
    <xf numFmtId="0" fontId="3" fillId="25" borderId="210" xfId="0" applyFont="1" applyFill="1" applyBorder="1" applyAlignment="1">
      <alignment horizontal="right" vertical="center" wrapText="1"/>
    </xf>
    <xf numFmtId="0" fontId="3" fillId="25" borderId="65" xfId="0" applyFont="1" applyFill="1" applyBorder="1" applyAlignment="1">
      <alignment horizontal="right" vertical="center" wrapText="1"/>
    </xf>
    <xf numFmtId="0" fontId="3" fillId="25" borderId="89" xfId="0" applyFont="1" applyFill="1" applyBorder="1" applyAlignment="1">
      <alignment horizontal="right" vertical="center" wrapText="1"/>
    </xf>
    <xf numFmtId="0" fontId="3" fillId="34" borderId="35" xfId="0" applyFont="1" applyFill="1" applyBorder="1" applyAlignment="1" applyProtection="1">
      <alignment horizontal="right" vertical="center" wrapText="1"/>
      <protection locked="0"/>
    </xf>
    <xf numFmtId="0" fontId="3" fillId="34" borderId="50" xfId="0" applyFont="1" applyFill="1" applyBorder="1" applyAlignment="1">
      <alignment horizontal="right" vertical="center" wrapText="1"/>
    </xf>
    <xf numFmtId="0" fontId="3" fillId="34" borderId="75" xfId="0" applyFont="1" applyFill="1" applyBorder="1" applyAlignment="1">
      <alignment horizontal="right" vertical="center" wrapText="1"/>
    </xf>
    <xf numFmtId="0" fontId="3" fillId="34" borderId="76" xfId="0" applyFont="1" applyFill="1" applyBorder="1" applyAlignment="1">
      <alignment horizontal="right" vertical="center" wrapText="1"/>
    </xf>
    <xf numFmtId="0" fontId="3" fillId="34" borderId="51" xfId="0" applyFont="1" applyFill="1" applyBorder="1" applyAlignment="1">
      <alignment horizontal="right" vertical="center" wrapText="1"/>
    </xf>
    <xf numFmtId="0" fontId="3" fillId="34" borderId="77" xfId="0" applyFont="1" applyFill="1" applyBorder="1" applyAlignment="1">
      <alignment horizontal="right" vertical="center" wrapText="1"/>
    </xf>
    <xf numFmtId="0" fontId="3" fillId="34" borderId="78" xfId="0" applyFont="1" applyFill="1" applyBorder="1" applyAlignment="1">
      <alignment horizontal="right" vertical="center" wrapText="1"/>
    </xf>
    <xf numFmtId="0" fontId="3" fillId="34" borderId="69" xfId="0" applyFont="1" applyFill="1" applyBorder="1" applyAlignment="1">
      <alignment horizontal="right" vertical="center" wrapText="1"/>
    </xf>
    <xf numFmtId="0" fontId="3" fillId="34" borderId="118" xfId="0" applyFont="1" applyFill="1" applyBorder="1" applyAlignment="1">
      <alignment horizontal="right" vertical="center" wrapText="1"/>
    </xf>
    <xf numFmtId="0" fontId="3" fillId="34" borderId="150" xfId="0" applyFont="1" applyFill="1" applyBorder="1" applyAlignment="1">
      <alignment horizontal="right" vertical="center" wrapText="1"/>
    </xf>
    <xf numFmtId="0" fontId="3" fillId="34" borderId="36" xfId="0" applyFont="1" applyFill="1" applyBorder="1" applyAlignment="1">
      <alignment horizontal="right" vertical="center" wrapText="1"/>
    </xf>
    <xf numFmtId="0" fontId="3" fillId="34" borderId="35" xfId="0" applyFont="1" applyFill="1" applyBorder="1" applyAlignment="1">
      <alignment horizontal="right" vertical="center" wrapText="1"/>
    </xf>
    <xf numFmtId="0" fontId="3" fillId="34" borderId="34" xfId="0" applyFont="1" applyFill="1" applyBorder="1" applyAlignment="1">
      <alignment horizontal="right" vertical="center" wrapText="1"/>
    </xf>
    <xf numFmtId="0" fontId="3" fillId="34" borderId="44" xfId="0" applyFont="1" applyFill="1" applyBorder="1" applyAlignment="1">
      <alignment horizontal="center" vertical="center" wrapText="1"/>
    </xf>
    <xf numFmtId="0" fontId="3" fillId="34" borderId="46" xfId="0" applyFont="1" applyFill="1" applyBorder="1" applyAlignment="1">
      <alignment horizontal="center" vertical="center" wrapText="1"/>
    </xf>
    <xf numFmtId="0" fontId="3" fillId="34" borderId="48" xfId="0" applyFont="1" applyFill="1" applyBorder="1" applyAlignment="1">
      <alignment horizontal="center" vertical="center" wrapText="1"/>
    </xf>
    <xf numFmtId="0" fontId="3" fillId="34" borderId="83" xfId="0" applyFont="1" applyFill="1" applyBorder="1" applyAlignment="1">
      <alignment horizontal="center" vertical="center" wrapText="1"/>
    </xf>
    <xf numFmtId="0" fontId="3" fillId="34" borderId="61" xfId="0" applyFont="1" applyFill="1" applyBorder="1" applyAlignment="1">
      <alignment horizontal="center" vertical="center" wrapText="1"/>
    </xf>
    <xf numFmtId="0" fontId="3" fillId="34" borderId="65" xfId="0" applyFont="1" applyFill="1" applyBorder="1" applyAlignment="1">
      <alignment horizontal="center" vertical="center" wrapText="1"/>
    </xf>
    <xf numFmtId="0" fontId="3" fillId="34" borderId="66" xfId="0" applyFont="1" applyFill="1" applyBorder="1" applyAlignment="1">
      <alignment horizontal="center" vertical="center" wrapText="1"/>
    </xf>
    <xf numFmtId="0" fontId="39" fillId="34" borderId="44" xfId="0" applyFont="1" applyFill="1" applyBorder="1" applyAlignment="1">
      <alignment horizontal="center" vertical="center" wrapText="1"/>
    </xf>
    <xf numFmtId="0" fontId="50" fillId="34" borderId="46" xfId="0" applyFont="1" applyFill="1" applyBorder="1" applyAlignment="1">
      <alignment horizontal="center" vertical="center" wrapText="1"/>
    </xf>
    <xf numFmtId="0" fontId="50" fillId="34" borderId="79" xfId="0" applyFont="1" applyFill="1" applyBorder="1" applyAlignment="1">
      <alignment horizontal="center" vertical="center" wrapText="1"/>
    </xf>
    <xf numFmtId="0" fontId="3" fillId="25" borderId="209" xfId="0" applyFont="1" applyFill="1" applyBorder="1" applyAlignment="1">
      <alignment horizontal="right" vertical="center" wrapText="1"/>
    </xf>
    <xf numFmtId="0" fontId="3" fillId="25" borderId="83" xfId="0" applyFont="1" applyFill="1" applyBorder="1" applyAlignment="1">
      <alignment horizontal="right" vertical="center" wrapText="1"/>
    </xf>
    <xf numFmtId="0" fontId="3" fillId="25" borderId="86" xfId="0" applyFont="1" applyFill="1" applyBorder="1" applyAlignment="1">
      <alignment horizontal="right" vertical="center" wrapText="1"/>
    </xf>
    <xf numFmtId="0" fontId="6" fillId="34" borderId="79" xfId="0" applyFont="1" applyFill="1" applyBorder="1" applyAlignment="1">
      <alignment horizontal="right" vertical="center" wrapText="1"/>
    </xf>
    <xf numFmtId="0" fontId="6" fillId="34" borderId="80" xfId="0" applyFont="1" applyFill="1" applyBorder="1" applyAlignment="1">
      <alignment horizontal="right" vertical="center" wrapText="1"/>
    </xf>
    <xf numFmtId="0" fontId="6" fillId="34" borderId="88" xfId="0" applyFont="1" applyFill="1" applyBorder="1" applyAlignment="1">
      <alignment horizontal="right" vertical="center" wrapText="1"/>
    </xf>
    <xf numFmtId="0" fontId="6" fillId="34" borderId="85" xfId="0" applyFont="1" applyFill="1" applyBorder="1" applyAlignment="1">
      <alignment horizontal="right" vertical="center" wrapText="1"/>
    </xf>
    <xf numFmtId="0" fontId="3" fillId="34" borderId="52" xfId="0" applyFont="1" applyFill="1" applyBorder="1" applyAlignment="1">
      <alignment horizontal="right" vertical="center" wrapText="1"/>
    </xf>
    <xf numFmtId="0" fontId="3" fillId="34" borderId="53" xfId="0" applyFont="1" applyFill="1" applyBorder="1" applyAlignment="1">
      <alignment horizontal="right" vertical="center" wrapText="1"/>
    </xf>
    <xf numFmtId="0" fontId="3" fillId="34" borderId="54" xfId="0" applyFont="1" applyFill="1" applyBorder="1" applyAlignment="1">
      <alignment horizontal="right" vertical="center" wrapText="1"/>
    </xf>
    <xf numFmtId="0" fontId="3" fillId="34" borderId="131" xfId="0" applyFont="1" applyFill="1" applyBorder="1" applyAlignment="1">
      <alignment horizontal="right" vertical="center" wrapText="1"/>
    </xf>
    <xf numFmtId="0" fontId="3" fillId="14" borderId="0" xfId="0" applyFont="1" applyFill="1" applyAlignment="1">
      <alignment vertical="top" wrapText="1"/>
    </xf>
    <xf numFmtId="44" fontId="58" fillId="34" borderId="50" xfId="31" applyFont="1" applyFill="1" applyBorder="1" applyAlignment="1">
      <alignment horizontal="center" vertical="center" wrapText="1"/>
    </xf>
    <xf numFmtId="44" fontId="67" fillId="34" borderId="51" xfId="31" applyFont="1" applyFill="1" applyBorder="1" applyAlignment="1">
      <alignment horizontal="center" vertical="center" wrapText="1"/>
    </xf>
    <xf numFmtId="44" fontId="67" fillId="34" borderId="84" xfId="31" applyFont="1" applyFill="1" applyBorder="1" applyAlignment="1">
      <alignment horizontal="center" vertical="center" wrapText="1"/>
    </xf>
    <xf numFmtId="0" fontId="38" fillId="34" borderId="93" xfId="0" applyFont="1" applyFill="1" applyBorder="1" applyAlignment="1">
      <alignment horizontal="center" vertical="center" wrapText="1"/>
    </xf>
    <xf numFmtId="0" fontId="36" fillId="34" borderId="94" xfId="0" applyFont="1" applyFill="1" applyBorder="1" applyAlignment="1">
      <alignment horizontal="center" vertical="center" wrapText="1"/>
    </xf>
    <xf numFmtId="0" fontId="36" fillId="34" borderId="95" xfId="0" applyFont="1" applyFill="1" applyBorder="1" applyAlignment="1">
      <alignment horizontal="center" vertical="center" wrapText="1"/>
    </xf>
    <xf numFmtId="0" fontId="38" fillId="34" borderId="73" xfId="0" applyFont="1" applyFill="1" applyBorder="1" applyAlignment="1">
      <alignment horizontal="center" vertical="center" wrapText="1"/>
    </xf>
    <xf numFmtId="0" fontId="36" fillId="34" borderId="92" xfId="0" applyFont="1" applyFill="1" applyBorder="1" applyAlignment="1">
      <alignment horizontal="center" vertical="center" wrapText="1"/>
    </xf>
    <xf numFmtId="0" fontId="6" fillId="37" borderId="51" xfId="0" applyFont="1" applyFill="1" applyBorder="1" applyAlignment="1">
      <alignment horizontal="center" vertical="center" wrapText="1"/>
    </xf>
    <xf numFmtId="0" fontId="6" fillId="37" borderId="77" xfId="0" applyFont="1" applyFill="1" applyBorder="1" applyAlignment="1">
      <alignment horizontal="center" vertical="center" wrapText="1"/>
    </xf>
    <xf numFmtId="0" fontId="6" fillId="37" borderId="63" xfId="0" applyFont="1" applyFill="1" applyBorder="1" applyAlignment="1">
      <alignment horizontal="center" vertical="center" wrapText="1"/>
    </xf>
    <xf numFmtId="0" fontId="6" fillId="42" borderId="87" xfId="0" applyFont="1" applyFill="1" applyBorder="1" applyAlignment="1">
      <alignment horizontal="center" vertical="center" wrapText="1"/>
    </xf>
    <xf numFmtId="0" fontId="6" fillId="42" borderId="63" xfId="0" applyFont="1" applyFill="1" applyBorder="1" applyAlignment="1">
      <alignment horizontal="center" vertical="center" wrapText="1"/>
    </xf>
    <xf numFmtId="0" fontId="6" fillId="37" borderId="44" xfId="0" applyFont="1" applyFill="1" applyBorder="1" applyAlignment="1">
      <alignment horizontal="center" vertical="center"/>
    </xf>
    <xf numFmtId="0" fontId="37" fillId="37" borderId="83" xfId="0" applyFont="1" applyFill="1" applyBorder="1" applyAlignment="1">
      <alignment horizontal="center" vertical="center"/>
    </xf>
    <xf numFmtId="0" fontId="37" fillId="37" borderId="91" xfId="0" applyFont="1" applyFill="1" applyBorder="1" applyAlignment="1">
      <alignment horizontal="center" vertical="center"/>
    </xf>
    <xf numFmtId="0" fontId="6" fillId="42" borderId="142" xfId="0" applyFont="1" applyFill="1" applyBorder="1" applyAlignment="1">
      <alignment horizontal="center" vertical="center" wrapText="1"/>
    </xf>
    <xf numFmtId="0" fontId="6" fillId="37" borderId="209" xfId="0" applyFont="1" applyFill="1" applyBorder="1" applyAlignment="1">
      <alignment horizontal="center" vertical="center"/>
    </xf>
    <xf numFmtId="0" fontId="6" fillId="37" borderId="78" xfId="0" applyFont="1" applyFill="1" applyBorder="1" applyAlignment="1">
      <alignment horizontal="center" vertical="center" wrapText="1"/>
    </xf>
    <xf numFmtId="0" fontId="3" fillId="34" borderId="46" xfId="0" applyFont="1" applyFill="1" applyBorder="1" applyAlignment="1">
      <alignment horizontal="left" vertical="center" wrapText="1"/>
    </xf>
    <xf numFmtId="0" fontId="3" fillId="34" borderId="87" xfId="0" applyFont="1" applyFill="1" applyBorder="1" applyAlignment="1">
      <alignment horizontal="left" vertical="center" wrapText="1"/>
    </xf>
    <xf numFmtId="0" fontId="80" fillId="34" borderId="48" xfId="0" applyFont="1" applyFill="1" applyBorder="1" applyAlignment="1">
      <alignment horizontal="left" vertical="center" wrapText="1"/>
    </xf>
    <xf numFmtId="0" fontId="80" fillId="34" borderId="89" xfId="0" applyFont="1" applyFill="1" applyBorder="1" applyAlignment="1">
      <alignment horizontal="left" vertical="center" wrapText="1"/>
    </xf>
    <xf numFmtId="0" fontId="80" fillId="34" borderId="46" xfId="0" applyFont="1" applyFill="1" applyBorder="1" applyAlignment="1">
      <alignment horizontal="left" vertical="center" wrapText="1"/>
    </xf>
    <xf numFmtId="0" fontId="80" fillId="34" borderId="87" xfId="0" applyFont="1" applyFill="1" applyBorder="1" applyAlignment="1">
      <alignment horizontal="left" vertical="center" wrapText="1"/>
    </xf>
    <xf numFmtId="0" fontId="0" fillId="32" borderId="46" xfId="0" applyFill="1" applyBorder="1" applyAlignment="1">
      <alignment horizontal="left"/>
    </xf>
    <xf numFmtId="0" fontId="0" fillId="32" borderId="87" xfId="0" applyFill="1" applyBorder="1" applyAlignment="1">
      <alignment horizontal="left"/>
    </xf>
    <xf numFmtId="0" fontId="6" fillId="42" borderId="21" xfId="0" applyFont="1" applyFill="1" applyBorder="1" applyAlignment="1">
      <alignment horizontal="center" vertical="center" wrapText="1"/>
    </xf>
    <xf numFmtId="0" fontId="6" fillId="42" borderId="23" xfId="0" applyFont="1" applyFill="1" applyBorder="1" applyAlignment="1">
      <alignment horizontal="center" vertical="center" wrapText="1"/>
    </xf>
    <xf numFmtId="0" fontId="6" fillId="42" borderId="25" xfId="0" applyFont="1" applyFill="1" applyBorder="1" applyAlignment="1">
      <alignment horizontal="center" vertical="center" wrapText="1"/>
    </xf>
    <xf numFmtId="0" fontId="6" fillId="42" borderId="205" xfId="0" applyFont="1" applyFill="1" applyBorder="1" applyAlignment="1">
      <alignment horizontal="center" vertical="center" wrapText="1"/>
    </xf>
    <xf numFmtId="0" fontId="64" fillId="42" borderId="44" xfId="0" applyFont="1" applyFill="1" applyBorder="1" applyAlignment="1">
      <alignment horizontal="center" vertical="center" wrapText="1"/>
    </xf>
    <xf numFmtId="0" fontId="64" fillId="42" borderId="83" xfId="0" applyFont="1" applyFill="1" applyBorder="1" applyAlignment="1">
      <alignment horizontal="center" vertical="center" wrapText="1"/>
    </xf>
    <xf numFmtId="0" fontId="64" fillId="42" borderId="72" xfId="0" applyFont="1" applyFill="1" applyBorder="1" applyAlignment="1">
      <alignment horizontal="center" vertical="center" wrapText="1"/>
    </xf>
    <xf numFmtId="0" fontId="3" fillId="34" borderId="44" xfId="0" applyFont="1" applyFill="1" applyBorder="1" applyAlignment="1">
      <alignment horizontal="left" vertical="center" wrapText="1"/>
    </xf>
    <xf numFmtId="0" fontId="3" fillId="34" borderId="86" xfId="0" applyFont="1" applyFill="1" applyBorder="1" applyAlignment="1">
      <alignment horizontal="left" vertical="center" wrapText="1"/>
    </xf>
    <xf numFmtId="0" fontId="3" fillId="34" borderId="61" xfId="0" applyFont="1" applyFill="1" applyBorder="1" applyAlignment="1">
      <alignment horizontal="left" vertical="center" wrapText="1"/>
    </xf>
    <xf numFmtId="0" fontId="80" fillId="34" borderId="61" xfId="0" applyFont="1" applyFill="1" applyBorder="1" applyAlignment="1">
      <alignment horizontal="left" vertical="center" wrapText="1"/>
    </xf>
    <xf numFmtId="0" fontId="0" fillId="32" borderId="62" xfId="0" applyFill="1" applyBorder="1" applyAlignment="1">
      <alignment horizontal="left"/>
    </xf>
    <xf numFmtId="0" fontId="80" fillId="34" borderId="210" xfId="0" applyFont="1" applyFill="1" applyBorder="1" applyAlignment="1">
      <alignment horizontal="left" vertical="center" wrapText="1"/>
    </xf>
    <xf numFmtId="0" fontId="80" fillId="34" borderId="65" xfId="0" applyFont="1" applyFill="1" applyBorder="1" applyAlignment="1">
      <alignment horizontal="left" vertical="center" wrapText="1"/>
    </xf>
    <xf numFmtId="0" fontId="6" fillId="30" borderId="22" xfId="0" applyFont="1" applyFill="1" applyBorder="1" applyAlignment="1" applyProtection="1">
      <alignment horizontal="center" vertical="center"/>
      <protection locked="0"/>
    </xf>
    <xf numFmtId="0" fontId="6" fillId="30" borderId="0" xfId="0" applyFont="1" applyFill="1" applyBorder="1" applyAlignment="1" applyProtection="1">
      <alignment horizontal="center" vertical="center"/>
      <protection locked="0"/>
    </xf>
    <xf numFmtId="0" fontId="6" fillId="30" borderId="23" xfId="0" applyFont="1" applyFill="1" applyBorder="1" applyAlignment="1" applyProtection="1">
      <alignment horizontal="center" vertical="center" wrapText="1"/>
      <protection locked="0"/>
    </xf>
    <xf numFmtId="0" fontId="6" fillId="30" borderId="24" xfId="0" applyFont="1" applyFill="1" applyBorder="1" applyAlignment="1" applyProtection="1">
      <alignment horizontal="center" vertical="center" wrapText="1"/>
      <protection locked="0"/>
    </xf>
    <xf numFmtId="0" fontId="3" fillId="14" borderId="0" xfId="0" applyFont="1" applyFill="1" applyAlignment="1">
      <alignment wrapText="1"/>
    </xf>
    <xf numFmtId="0" fontId="0" fillId="0" borderId="0" xfId="0" applyAlignment="1">
      <alignment wrapText="1"/>
    </xf>
    <xf numFmtId="0" fontId="6" fillId="42" borderId="19" xfId="0" applyFont="1" applyFill="1" applyBorder="1" applyAlignment="1">
      <alignment horizontal="center" vertical="center" wrapText="1"/>
    </xf>
    <xf numFmtId="0" fontId="6" fillId="42" borderId="24" xfId="0" applyFont="1" applyFill="1" applyBorder="1" applyAlignment="1">
      <alignment horizontal="center" vertical="center" wrapText="1"/>
    </xf>
    <xf numFmtId="0" fontId="3" fillId="34" borderId="209" xfId="0" applyFont="1" applyFill="1" applyBorder="1" applyAlignment="1">
      <alignment horizontal="left" vertical="center" wrapText="1"/>
    </xf>
    <xf numFmtId="0" fontId="3" fillId="34" borderId="83" xfId="0" applyFont="1" applyFill="1" applyBorder="1" applyAlignment="1">
      <alignment horizontal="left" vertical="center" wrapText="1"/>
    </xf>
    <xf numFmtId="0" fontId="3" fillId="14" borderId="0" xfId="0" applyFont="1" applyFill="1" applyBorder="1" applyAlignment="1">
      <alignment vertical="top" wrapText="1"/>
    </xf>
    <xf numFmtId="0" fontId="38" fillId="34" borderId="92" xfId="0" applyFont="1" applyFill="1" applyBorder="1" applyAlignment="1">
      <alignment horizontal="center" vertical="center" wrapText="1"/>
    </xf>
    <xf numFmtId="0" fontId="65" fillId="43" borderId="50" xfId="0" applyNumberFormat="1" applyFont="1" applyFill="1" applyBorder="1" applyAlignment="1" applyProtection="1">
      <alignment horizontal="center" vertical="center" wrapText="1"/>
    </xf>
    <xf numFmtId="0" fontId="65" fillId="43" borderId="75" xfId="0" applyNumberFormat="1" applyFont="1" applyFill="1" applyBorder="1" applyAlignment="1" applyProtection="1">
      <alignment horizontal="center" vertical="center" wrapText="1"/>
    </xf>
    <xf numFmtId="0" fontId="65" fillId="43" borderId="90" xfId="0" applyNumberFormat="1" applyFont="1" applyFill="1" applyBorder="1" applyAlignment="1" applyProtection="1">
      <alignment horizontal="center" vertical="center" wrapText="1"/>
    </xf>
    <xf numFmtId="0" fontId="65" fillId="51" borderId="86" xfId="0" applyNumberFormat="1" applyFont="1" applyFill="1" applyBorder="1" applyAlignment="1" applyProtection="1">
      <alignment horizontal="center" vertical="center" wrapText="1"/>
    </xf>
    <xf numFmtId="0" fontId="65" fillId="51" borderId="75" xfId="0" applyNumberFormat="1" applyFont="1" applyFill="1" applyBorder="1" applyAlignment="1" applyProtection="1">
      <alignment horizontal="center" vertical="center" wrapText="1"/>
    </xf>
    <xf numFmtId="0" fontId="65" fillId="51" borderId="76" xfId="0" applyNumberFormat="1" applyFont="1" applyFill="1" applyBorder="1" applyAlignment="1" applyProtection="1">
      <alignment horizontal="center" vertical="center" wrapText="1"/>
    </xf>
    <xf numFmtId="0" fontId="3" fillId="18" borderId="53" xfId="0" applyFont="1" applyFill="1" applyBorder="1" applyAlignment="1" applyProtection="1">
      <alignment horizontal="center" vertical="center" wrapText="1"/>
      <protection locked="0"/>
    </xf>
    <xf numFmtId="0" fontId="3" fillId="18" borderId="54" xfId="0" applyFont="1" applyFill="1" applyBorder="1" applyAlignment="1" applyProtection="1">
      <alignment horizontal="center" vertical="center" wrapText="1"/>
      <protection locked="0"/>
    </xf>
    <xf numFmtId="0" fontId="6" fillId="37" borderId="50" xfId="306" applyFont="1" applyFill="1" applyBorder="1" applyAlignment="1">
      <alignment horizontal="center" vertical="center"/>
    </xf>
    <xf numFmtId="0" fontId="6" fillId="37" borderId="75" xfId="306" applyFont="1" applyFill="1" applyBorder="1" applyAlignment="1">
      <alignment horizontal="center" vertical="center"/>
    </xf>
    <xf numFmtId="0" fontId="6" fillId="37" borderId="76" xfId="306" applyFont="1" applyFill="1" applyBorder="1" applyAlignment="1">
      <alignment horizontal="center" vertical="center"/>
    </xf>
    <xf numFmtId="0" fontId="6" fillId="37" borderId="51" xfId="306" applyFont="1" applyFill="1" applyBorder="1" applyAlignment="1">
      <alignment horizontal="center" vertical="center" wrapText="1"/>
    </xf>
    <xf numFmtId="0" fontId="6" fillId="37" borderId="77" xfId="306" applyFont="1" applyFill="1" applyBorder="1" applyAlignment="1">
      <alignment horizontal="center" vertical="center" wrapText="1"/>
    </xf>
    <xf numFmtId="0" fontId="6" fillId="37" borderId="78" xfId="306" applyFont="1" applyFill="1" applyBorder="1" applyAlignment="1">
      <alignment horizontal="center" vertical="center" wrapText="1"/>
    </xf>
    <xf numFmtId="0" fontId="3" fillId="25" borderId="360" xfId="306" applyFont="1" applyFill="1" applyBorder="1" applyAlignment="1" applyProtection="1">
      <alignment horizontal="center" vertical="center" wrapText="1"/>
      <protection locked="0"/>
    </xf>
    <xf numFmtId="0" fontId="3" fillId="25" borderId="35" xfId="306" applyFont="1" applyFill="1" applyBorder="1" applyAlignment="1" applyProtection="1">
      <alignment horizontal="center" vertical="center" wrapText="1"/>
      <protection locked="0"/>
    </xf>
    <xf numFmtId="0" fontId="3" fillId="25" borderId="34" xfId="306" applyFont="1" applyFill="1" applyBorder="1" applyAlignment="1" applyProtection="1">
      <alignment horizontal="center" vertical="center" wrapText="1"/>
      <protection locked="0"/>
    </xf>
    <xf numFmtId="0" fontId="75" fillId="34" borderId="73" xfId="306" applyFont="1" applyFill="1" applyBorder="1" applyAlignment="1">
      <alignment horizontal="center" vertical="center" wrapText="1"/>
    </xf>
    <xf numFmtId="0" fontId="75" fillId="34" borderId="74" xfId="306" applyFont="1" applyFill="1" applyBorder="1" applyAlignment="1">
      <alignment horizontal="center" vertical="center" wrapText="1"/>
    </xf>
    <xf numFmtId="0" fontId="75" fillId="34" borderId="92" xfId="306" applyFont="1" applyFill="1" applyBorder="1" applyAlignment="1">
      <alignment horizontal="center" vertical="center" wrapText="1"/>
    </xf>
    <xf numFmtId="0" fontId="6" fillId="42" borderId="19" xfId="306" applyFont="1" applyFill="1" applyBorder="1" applyAlignment="1">
      <alignment horizontal="center" vertical="center" wrapText="1"/>
    </xf>
    <xf numFmtId="0" fontId="6" fillId="42" borderId="0" xfId="306" applyFont="1" applyFill="1" applyBorder="1" applyAlignment="1">
      <alignment horizontal="center" vertical="center" wrapText="1"/>
    </xf>
    <xf numFmtId="0" fontId="6" fillId="42" borderId="24" xfId="306" applyFont="1" applyFill="1" applyBorder="1" applyAlignment="1">
      <alignment horizontal="center" vertical="center" wrapText="1"/>
    </xf>
    <xf numFmtId="0" fontId="6" fillId="42" borderId="71" xfId="306" applyFont="1" applyFill="1" applyBorder="1" applyAlignment="1">
      <alignment horizontal="center" vertical="center" wrapText="1"/>
    </xf>
    <xf numFmtId="0" fontId="6" fillId="42" borderId="99" xfId="306" applyFont="1" applyFill="1" applyBorder="1" applyAlignment="1">
      <alignment horizontal="center" vertical="center" wrapText="1"/>
    </xf>
    <xf numFmtId="0" fontId="6" fillId="42" borderId="127" xfId="306" applyFont="1" applyFill="1" applyBorder="1" applyAlignment="1">
      <alignment horizontal="center" vertical="center" wrapText="1"/>
    </xf>
    <xf numFmtId="0" fontId="6" fillId="42" borderId="21" xfId="306" applyFont="1" applyFill="1" applyBorder="1" applyAlignment="1">
      <alignment horizontal="center" vertical="center" wrapText="1"/>
    </xf>
    <xf numFmtId="0" fontId="6" fillId="42" borderId="22" xfId="306" applyFont="1" applyFill="1" applyBorder="1" applyAlignment="1">
      <alignment horizontal="center" vertical="center" wrapText="1"/>
    </xf>
    <xf numFmtId="0" fontId="6" fillId="58" borderId="174" xfId="144" applyFont="1" applyFill="1" applyBorder="1" applyAlignment="1" applyProtection="1">
      <alignment horizontal="center" vertical="center"/>
    </xf>
    <xf numFmtId="0" fontId="6" fillId="58" borderId="198" xfId="144" applyFont="1" applyFill="1" applyBorder="1" applyAlignment="1" applyProtection="1">
      <alignment horizontal="center" vertical="center"/>
    </xf>
    <xf numFmtId="0" fontId="6" fillId="58" borderId="266" xfId="144" applyFont="1" applyFill="1" applyBorder="1" applyAlignment="1" applyProtection="1">
      <alignment horizontal="center" vertical="center"/>
    </xf>
    <xf numFmtId="0" fontId="6" fillId="30" borderId="255" xfId="144" applyFont="1" applyFill="1" applyBorder="1" applyAlignment="1" applyProtection="1">
      <alignment horizontal="center" vertical="center"/>
    </xf>
    <xf numFmtId="0" fontId="6" fillId="30" borderId="206" xfId="144" applyFont="1" applyFill="1" applyBorder="1" applyAlignment="1" applyProtection="1">
      <alignment horizontal="center" vertical="center"/>
    </xf>
    <xf numFmtId="0" fontId="6" fillId="37" borderId="210" xfId="144" applyFont="1" applyFill="1" applyBorder="1" applyAlignment="1" applyProtection="1">
      <alignment horizontal="center" vertical="center"/>
    </xf>
    <xf numFmtId="0" fontId="6" fillId="37" borderId="65" xfId="144" applyFont="1" applyFill="1" applyBorder="1" applyAlignment="1" applyProtection="1">
      <alignment horizontal="center" vertical="center"/>
    </xf>
    <xf numFmtId="0" fontId="6" fillId="37" borderId="68" xfId="144" applyFont="1" applyFill="1" applyBorder="1" applyAlignment="1" applyProtection="1">
      <alignment horizontal="center" vertical="center"/>
    </xf>
    <xf numFmtId="0" fontId="6" fillId="30" borderId="184" xfId="144" applyFont="1" applyFill="1" applyBorder="1" applyAlignment="1" applyProtection="1">
      <alignment horizontal="center" vertical="center"/>
    </xf>
    <xf numFmtId="0" fontId="6" fillId="30" borderId="175" xfId="144" applyFont="1" applyFill="1" applyBorder="1" applyAlignment="1" applyProtection="1">
      <alignment horizontal="center" vertical="center"/>
    </xf>
    <xf numFmtId="0" fontId="6" fillId="37" borderId="36" xfId="144" applyFont="1" applyFill="1" applyBorder="1" applyAlignment="1" applyProtection="1">
      <alignment horizontal="center" vertical="center"/>
    </xf>
    <xf numFmtId="0" fontId="6" fillId="37" borderId="35" xfId="144" applyFont="1" applyFill="1" applyBorder="1" applyAlignment="1" applyProtection="1">
      <alignment horizontal="center" vertical="center"/>
    </xf>
    <xf numFmtId="0" fontId="6" fillId="37" borderId="34" xfId="144" applyFont="1" applyFill="1" applyBorder="1" applyAlignment="1" applyProtection="1">
      <alignment horizontal="center" vertical="center"/>
    </xf>
    <xf numFmtId="0" fontId="3" fillId="34" borderId="209" xfId="144" applyFont="1" applyFill="1" applyBorder="1" applyAlignment="1" applyProtection="1">
      <alignment horizontal="right" indent="2"/>
    </xf>
    <xf numFmtId="0" fontId="3" fillId="34" borderId="86" xfId="144" applyFont="1" applyFill="1" applyBorder="1" applyAlignment="1" applyProtection="1">
      <alignment horizontal="right" indent="2"/>
    </xf>
    <xf numFmtId="0" fontId="3" fillId="34" borderId="46" xfId="144" applyFont="1" applyFill="1" applyBorder="1" applyAlignment="1" applyProtection="1">
      <alignment horizontal="right" indent="2"/>
    </xf>
    <xf numFmtId="0" fontId="3" fillId="34" borderId="87" xfId="144" applyFont="1" applyFill="1" applyBorder="1" applyAlignment="1" applyProtection="1">
      <alignment horizontal="right" indent="2"/>
    </xf>
    <xf numFmtId="0" fontId="89" fillId="58" borderId="196" xfId="144" applyFont="1" applyFill="1" applyBorder="1" applyAlignment="1" applyProtection="1">
      <alignment horizontal="center"/>
    </xf>
    <xf numFmtId="0" fontId="89" fillId="58" borderId="197" xfId="144" applyFont="1" applyFill="1" applyBorder="1" applyAlignment="1" applyProtection="1">
      <alignment horizontal="center"/>
    </xf>
    <xf numFmtId="0" fontId="89" fillId="58" borderId="265" xfId="144" applyFont="1" applyFill="1" applyBorder="1" applyAlignment="1" applyProtection="1">
      <alignment horizontal="center"/>
    </xf>
    <xf numFmtId="0" fontId="60" fillId="58" borderId="209" xfId="144" applyFont="1" applyFill="1" applyBorder="1" applyAlignment="1" applyProtection="1">
      <alignment horizontal="center"/>
    </xf>
    <xf numFmtId="0" fontId="60" fillId="58" borderId="83" xfId="144" applyFont="1" applyFill="1" applyBorder="1" applyAlignment="1" applyProtection="1">
      <alignment horizontal="center"/>
    </xf>
    <xf numFmtId="0" fontId="60" fillId="58" borderId="91" xfId="144" applyFont="1" applyFill="1" applyBorder="1" applyAlignment="1" applyProtection="1">
      <alignment horizontal="center"/>
    </xf>
    <xf numFmtId="0" fontId="60" fillId="30" borderId="171" xfId="144" applyFont="1" applyFill="1" applyBorder="1" applyAlignment="1" applyProtection="1">
      <alignment horizontal="center"/>
    </xf>
    <xf numFmtId="0" fontId="60" fillId="30" borderId="115" xfId="144" applyFont="1" applyFill="1" applyBorder="1" applyAlignment="1" applyProtection="1">
      <alignment horizontal="center"/>
    </xf>
    <xf numFmtId="0" fontId="60" fillId="37" borderId="209" xfId="144" applyFont="1" applyFill="1" applyBorder="1" applyAlignment="1" applyProtection="1">
      <alignment horizontal="center"/>
    </xf>
    <xf numFmtId="0" fontId="60" fillId="37" borderId="83" xfId="144" applyFont="1" applyFill="1" applyBorder="1" applyAlignment="1" applyProtection="1">
      <alignment horizontal="center"/>
    </xf>
    <xf numFmtId="0" fontId="60" fillId="37" borderId="91" xfId="144" applyFont="1" applyFill="1" applyBorder="1" applyAlignment="1" applyProtection="1">
      <alignment horizontal="center"/>
    </xf>
    <xf numFmtId="0" fontId="60" fillId="30" borderId="104" xfId="144" applyFont="1" applyFill="1" applyBorder="1" applyAlignment="1" applyProtection="1">
      <alignment horizontal="center"/>
    </xf>
    <xf numFmtId="0" fontId="60" fillId="30" borderId="159" xfId="144" applyFont="1" applyFill="1" applyBorder="1" applyAlignment="1" applyProtection="1">
      <alignment horizontal="center"/>
    </xf>
    <xf numFmtId="0" fontId="60" fillId="37" borderId="21" xfId="144" applyFont="1" applyFill="1" applyBorder="1" applyAlignment="1" applyProtection="1">
      <alignment horizontal="center"/>
    </xf>
    <xf numFmtId="0" fontId="60" fillId="37" borderId="22" xfId="144" applyFont="1" applyFill="1" applyBorder="1" applyAlignment="1" applyProtection="1">
      <alignment horizontal="center"/>
    </xf>
    <xf numFmtId="0" fontId="60" fillId="37" borderId="23" xfId="144" applyFont="1" applyFill="1" applyBorder="1" applyAlignment="1" applyProtection="1">
      <alignment horizontal="center"/>
    </xf>
    <xf numFmtId="0" fontId="3" fillId="14" borderId="0" xfId="144" applyFill="1" applyAlignment="1" applyProtection="1">
      <alignment horizontal="left" vertical="top" wrapText="1"/>
      <protection locked="0"/>
    </xf>
    <xf numFmtId="0" fontId="64" fillId="57" borderId="36" xfId="144" applyFont="1" applyFill="1" applyBorder="1" applyAlignment="1" applyProtection="1">
      <alignment horizontal="center" vertical="center"/>
      <protection locked="0"/>
    </xf>
    <xf numFmtId="0" fontId="64" fillId="57" borderId="35" xfId="144" applyFont="1" applyFill="1" applyBorder="1" applyAlignment="1" applyProtection="1">
      <alignment horizontal="center" vertical="center"/>
      <protection locked="0"/>
    </xf>
    <xf numFmtId="0" fontId="64" fillId="57" borderId="34" xfId="144" applyFont="1" applyFill="1" applyBorder="1" applyAlignment="1" applyProtection="1">
      <alignment horizontal="center" vertical="center"/>
      <protection locked="0"/>
    </xf>
    <xf numFmtId="0" fontId="64" fillId="57" borderId="36" xfId="144" applyFont="1" applyFill="1" applyBorder="1" applyAlignment="1" applyProtection="1">
      <alignment horizontal="center" vertical="center"/>
    </xf>
    <xf numFmtId="0" fontId="64" fillId="57" borderId="34" xfId="144" applyFont="1" applyFill="1" applyBorder="1" applyAlignment="1" applyProtection="1">
      <alignment horizontal="center" vertical="center"/>
    </xf>
    <xf numFmtId="0" fontId="64" fillId="57" borderId="152" xfId="144" applyFont="1" applyFill="1" applyBorder="1" applyAlignment="1" applyProtection="1">
      <alignment horizontal="center" vertical="center"/>
    </xf>
    <xf numFmtId="0" fontId="64" fillId="57" borderId="165" xfId="144" applyFont="1" applyFill="1" applyBorder="1" applyAlignment="1" applyProtection="1">
      <alignment horizontal="center" vertical="center"/>
    </xf>
    <xf numFmtId="0" fontId="3" fillId="14" borderId="0" xfId="0" applyFont="1" applyFill="1" applyBorder="1" applyAlignment="1">
      <alignment vertical="center" wrapText="1"/>
    </xf>
    <xf numFmtId="0" fontId="60" fillId="43" borderId="51" xfId="0" applyNumberFormat="1" applyFont="1" applyFill="1" applyBorder="1" applyAlignment="1" applyProtection="1">
      <alignment horizontal="center" vertical="center" wrapText="1"/>
    </xf>
    <xf numFmtId="0" fontId="60" fillId="43" borderId="77" xfId="0" applyNumberFormat="1" applyFont="1" applyFill="1" applyBorder="1" applyAlignment="1" applyProtection="1">
      <alignment horizontal="center" vertical="center" wrapText="1"/>
    </xf>
    <xf numFmtId="0" fontId="60" fillId="43" borderId="142" xfId="0" applyNumberFormat="1" applyFont="1" applyFill="1" applyBorder="1" applyAlignment="1" applyProtection="1">
      <alignment horizontal="center" vertical="center" wrapText="1"/>
    </xf>
    <xf numFmtId="0" fontId="64" fillId="34" borderId="146" xfId="0" applyFont="1" applyFill="1" applyBorder="1" applyAlignment="1">
      <alignment horizontal="left" vertical="center" wrapText="1"/>
    </xf>
    <xf numFmtId="0" fontId="64" fillId="34" borderId="145" xfId="0" applyFont="1" applyFill="1" applyBorder="1" applyAlignment="1">
      <alignment horizontal="left" vertical="center" wrapText="1"/>
    </xf>
    <xf numFmtId="0" fontId="64" fillId="34" borderId="56" xfId="0" applyFont="1" applyFill="1" applyBorder="1" applyAlignment="1">
      <alignment horizontal="left" vertical="center" wrapText="1"/>
    </xf>
    <xf numFmtId="0" fontId="39" fillId="34" borderId="73" xfId="0" applyFont="1" applyFill="1" applyBorder="1" applyAlignment="1">
      <alignment horizontal="center" vertical="center" wrapText="1"/>
    </xf>
    <xf numFmtId="0" fontId="50" fillId="34" borderId="74" xfId="0" applyFont="1" applyFill="1" applyBorder="1" applyAlignment="1">
      <alignment horizontal="center" vertical="center" wrapText="1"/>
    </xf>
    <xf numFmtId="0" fontId="50" fillId="34" borderId="92" xfId="0" applyFont="1" applyFill="1" applyBorder="1" applyAlignment="1">
      <alignment horizontal="center" vertical="center" wrapText="1"/>
    </xf>
    <xf numFmtId="0" fontId="60" fillId="43" borderId="44" xfId="0" applyNumberFormat="1" applyFont="1" applyFill="1" applyBorder="1" applyAlignment="1" applyProtection="1">
      <alignment horizontal="center" vertical="center" wrapText="1"/>
    </xf>
    <xf numFmtId="0" fontId="60" fillId="51" borderId="83" xfId="0" applyNumberFormat="1" applyFont="1" applyFill="1" applyBorder="1" applyAlignment="1" applyProtection="1">
      <alignment horizontal="center" vertical="center" wrapText="1"/>
    </xf>
    <xf numFmtId="0" fontId="60" fillId="43" borderId="83" xfId="0" applyNumberFormat="1" applyFont="1" applyFill="1" applyBorder="1" applyAlignment="1" applyProtection="1">
      <alignment horizontal="center" vertical="center" wrapText="1"/>
    </xf>
    <xf numFmtId="0" fontId="60" fillId="43" borderId="72" xfId="0" applyNumberFormat="1" applyFont="1" applyFill="1" applyBorder="1" applyAlignment="1" applyProtection="1">
      <alignment horizontal="center" vertical="center" wrapText="1"/>
    </xf>
    <xf numFmtId="0" fontId="6" fillId="30" borderId="36" xfId="0" applyFont="1" applyFill="1" applyBorder="1" applyAlignment="1">
      <alignment horizontal="left" vertical="center" indent="1"/>
    </xf>
    <xf numFmtId="0" fontId="6" fillId="30" borderId="35" xfId="0" applyFont="1" applyFill="1" applyBorder="1" applyAlignment="1">
      <alignment horizontal="left" vertical="center" indent="1"/>
    </xf>
    <xf numFmtId="0" fontId="3" fillId="18" borderId="210" xfId="0" applyFont="1" applyFill="1" applyBorder="1" applyAlignment="1">
      <alignment horizontal="left" vertical="center" wrapText="1" indent="1"/>
    </xf>
    <xf numFmtId="0" fontId="3" fillId="18" borderId="89" xfId="0" applyFont="1" applyFill="1" applyBorder="1" applyAlignment="1">
      <alignment horizontal="left" vertical="center" wrapText="1" indent="1"/>
    </xf>
    <xf numFmtId="0" fontId="3" fillId="18" borderId="209" xfId="0" applyFont="1" applyFill="1" applyBorder="1" applyAlignment="1">
      <alignment horizontal="left" vertical="center" wrapText="1" indent="1"/>
    </xf>
    <xf numFmtId="0" fontId="3" fillId="18" borderId="86" xfId="0" applyFont="1" applyFill="1" applyBorder="1" applyAlignment="1">
      <alignment horizontal="left" vertical="center" wrapText="1" indent="1"/>
    </xf>
    <xf numFmtId="0" fontId="3" fillId="18" borderId="46" xfId="0" applyFont="1" applyFill="1" applyBorder="1" applyAlignment="1">
      <alignment horizontal="left" vertical="center" wrapText="1" indent="1"/>
    </xf>
    <xf numFmtId="0" fontId="3" fillId="18" borderId="87" xfId="0" applyFont="1" applyFill="1" applyBorder="1" applyAlignment="1">
      <alignment horizontal="left" vertical="center" wrapText="1" indent="1"/>
    </xf>
    <xf numFmtId="0" fontId="6" fillId="18" borderId="146" xfId="0" applyFont="1" applyFill="1" applyBorder="1" applyAlignment="1">
      <alignment horizontal="left" vertical="center" wrapText="1"/>
    </xf>
    <xf numFmtId="0" fontId="6" fillId="18" borderId="145" xfId="0" applyFont="1" applyFill="1" applyBorder="1" applyAlignment="1">
      <alignment horizontal="left" vertical="center" wrapText="1"/>
    </xf>
    <xf numFmtId="0" fontId="6" fillId="18" borderId="239" xfId="0" applyFont="1" applyFill="1" applyBorder="1" applyAlignment="1">
      <alignment horizontal="left" vertical="center" wrapText="1"/>
    </xf>
    <xf numFmtId="0" fontId="6" fillId="18" borderId="240" xfId="0" applyFont="1" applyFill="1" applyBorder="1" applyAlignment="1">
      <alignment horizontal="left" vertical="center" wrapText="1"/>
    </xf>
    <xf numFmtId="0" fontId="6" fillId="18" borderId="156" xfId="0" applyFont="1" applyFill="1" applyBorder="1" applyAlignment="1">
      <alignment horizontal="left" vertical="center" wrapText="1"/>
    </xf>
    <xf numFmtId="0" fontId="6" fillId="30" borderId="187" xfId="0" applyFont="1" applyFill="1" applyBorder="1" applyAlignment="1">
      <alignment horizontal="center" vertical="center" wrapText="1"/>
    </xf>
    <xf numFmtId="0" fontId="6" fillId="30" borderId="188" xfId="0" applyFont="1" applyFill="1" applyBorder="1" applyAlignment="1">
      <alignment horizontal="center" vertical="center" wrapText="1"/>
    </xf>
    <xf numFmtId="0" fontId="6" fillId="30" borderId="207" xfId="0" applyFont="1" applyFill="1" applyBorder="1" applyAlignment="1">
      <alignment horizontal="center" vertical="center" wrapText="1"/>
    </xf>
    <xf numFmtId="0" fontId="6" fillId="42" borderId="209" xfId="0" applyFont="1" applyFill="1" applyBorder="1" applyAlignment="1">
      <alignment horizontal="center" vertical="center"/>
    </xf>
    <xf numFmtId="0" fontId="37" fillId="42" borderId="83" xfId="0" applyFont="1" applyFill="1" applyBorder="1" applyAlignment="1">
      <alignment horizontal="center" vertical="center"/>
    </xf>
    <xf numFmtId="0" fontId="37" fillId="42" borderId="72" xfId="0" applyFont="1" applyFill="1" applyBorder="1" applyAlignment="1">
      <alignment horizontal="center" vertical="center"/>
    </xf>
    <xf numFmtId="0" fontId="6" fillId="37" borderId="83" xfId="0" applyFont="1" applyFill="1" applyBorder="1" applyAlignment="1">
      <alignment horizontal="center" vertical="center"/>
    </xf>
    <xf numFmtId="0" fontId="37" fillId="37" borderId="72" xfId="0" applyFont="1" applyFill="1" applyBorder="1" applyAlignment="1">
      <alignment horizontal="center" vertical="center"/>
    </xf>
    <xf numFmtId="0" fontId="6" fillId="42" borderId="77" xfId="0" applyFont="1" applyFill="1" applyBorder="1" applyAlignment="1">
      <alignment horizontal="center" vertical="center" wrapText="1"/>
    </xf>
    <xf numFmtId="0" fontId="0" fillId="14" borderId="0" xfId="0" applyFill="1" applyAlignment="1">
      <alignment horizontal="left" vertical="center" wrapText="1"/>
    </xf>
    <xf numFmtId="0" fontId="38" fillId="34" borderId="155" xfId="0" applyFont="1" applyFill="1" applyBorder="1" applyAlignment="1">
      <alignment horizontal="left" wrapText="1"/>
    </xf>
    <xf numFmtId="0" fontId="38" fillId="34" borderId="246" xfId="0" applyFont="1" applyFill="1" applyBorder="1" applyAlignment="1">
      <alignment horizontal="left" wrapText="1"/>
    </xf>
    <xf numFmtId="0" fontId="38" fillId="34" borderId="19" xfId="0" applyFont="1" applyFill="1" applyBorder="1" applyAlignment="1">
      <alignment horizontal="left" wrapText="1"/>
    </xf>
    <xf numFmtId="0" fontId="38" fillId="34" borderId="24" xfId="0" applyFont="1" applyFill="1" applyBorder="1" applyAlignment="1">
      <alignment horizontal="left" wrapText="1"/>
    </xf>
    <xf numFmtId="0" fontId="38" fillId="34" borderId="25" xfId="0" applyFont="1" applyFill="1" applyBorder="1" applyAlignment="1">
      <alignment horizontal="left" wrapText="1"/>
    </xf>
    <xf numFmtId="0" fontId="38" fillId="34" borderId="205" xfId="0" applyFont="1" applyFill="1" applyBorder="1" applyAlignment="1">
      <alignment horizontal="left" wrapText="1"/>
    </xf>
    <xf numFmtId="0" fontId="6" fillId="30" borderId="44" xfId="0" applyFont="1" applyFill="1" applyBorder="1" applyAlignment="1">
      <alignment horizontal="center" vertical="center" wrapText="1"/>
    </xf>
    <xf numFmtId="0" fontId="6" fillId="30" borderId="46" xfId="0" applyFont="1" applyFill="1" applyBorder="1" applyAlignment="1">
      <alignment horizontal="center" vertical="center" wrapText="1"/>
    </xf>
    <xf numFmtId="0" fontId="6" fillId="30" borderId="48" xfId="0" applyFont="1" applyFill="1" applyBorder="1" applyAlignment="1">
      <alignment horizontal="center" vertical="center" wrapText="1"/>
    </xf>
    <xf numFmtId="0" fontId="6" fillId="30" borderId="86" xfId="0" applyFont="1" applyFill="1" applyBorder="1" applyAlignment="1">
      <alignment horizontal="center" vertical="center" wrapText="1"/>
    </xf>
    <xf numFmtId="0" fontId="6" fillId="30" borderId="61" xfId="0" applyFont="1" applyFill="1" applyBorder="1" applyAlignment="1">
      <alignment horizontal="center" vertical="center" wrapText="1"/>
    </xf>
    <xf numFmtId="0" fontId="6" fillId="30" borderId="87" xfId="0" applyFont="1" applyFill="1" applyBorder="1" applyAlignment="1">
      <alignment horizontal="center" vertical="center" wrapText="1"/>
    </xf>
    <xf numFmtId="0" fontId="6" fillId="30" borderId="89" xfId="0" applyFont="1" applyFill="1" applyBorder="1" applyAlignment="1">
      <alignment horizontal="center" vertical="center" wrapText="1"/>
    </xf>
    <xf numFmtId="0" fontId="6" fillId="25" borderId="73" xfId="0" applyFont="1" applyFill="1" applyBorder="1" applyAlignment="1">
      <alignment horizontal="left" vertical="center" wrapText="1"/>
    </xf>
    <xf numFmtId="0" fontId="6" fillId="25" borderId="74" xfId="0" applyFont="1" applyFill="1" applyBorder="1" applyAlignment="1">
      <alignment horizontal="left" vertical="center" wrapText="1"/>
    </xf>
    <xf numFmtId="0" fontId="6" fillId="25" borderId="208" xfId="0" applyFont="1" applyFill="1" applyBorder="1" applyAlignment="1">
      <alignment horizontal="left" vertical="center" wrapText="1"/>
    </xf>
    <xf numFmtId="0" fontId="51" fillId="41" borderId="83" xfId="0" applyNumberFormat="1" applyFont="1" applyFill="1" applyBorder="1" applyAlignment="1" applyProtection="1">
      <alignment horizontal="center" vertical="center" wrapText="1"/>
    </xf>
    <xf numFmtId="0" fontId="6" fillId="41" borderId="83" xfId="0" applyFont="1" applyFill="1" applyBorder="1" applyAlignment="1">
      <alignment horizontal="center" vertical="center" wrapText="1"/>
    </xf>
    <xf numFmtId="0" fontId="51" fillId="40" borderId="83" xfId="0" applyNumberFormat="1" applyFont="1" applyFill="1" applyBorder="1" applyAlignment="1" applyProtection="1">
      <alignment horizontal="center" vertical="center" wrapText="1"/>
    </xf>
    <xf numFmtId="0" fontId="51" fillId="40" borderId="91" xfId="0" applyNumberFormat="1" applyFont="1" applyFill="1" applyBorder="1" applyAlignment="1" applyProtection="1">
      <alignment horizontal="center" vertical="center" wrapText="1"/>
    </xf>
    <xf numFmtId="0" fontId="6" fillId="40" borderId="51" xfId="0" applyFont="1" applyFill="1" applyBorder="1" applyAlignment="1">
      <alignment horizontal="center" vertical="center" wrapText="1"/>
    </xf>
    <xf numFmtId="0" fontId="6" fillId="40" borderId="77" xfId="0" applyFont="1" applyFill="1" applyBorder="1" applyAlignment="1">
      <alignment horizontal="center" vertical="center" wrapText="1"/>
    </xf>
    <xf numFmtId="0" fontId="6" fillId="40" borderId="78" xfId="0" applyFont="1" applyFill="1" applyBorder="1" applyAlignment="1">
      <alignment horizontal="center" vertical="center" wrapText="1"/>
    </xf>
    <xf numFmtId="0" fontId="6" fillId="41" borderId="77" xfId="0" applyFont="1" applyFill="1" applyBorder="1" applyAlignment="1">
      <alignment horizontal="center" vertical="center" wrapText="1"/>
    </xf>
    <xf numFmtId="0" fontId="6" fillId="41" borderId="78" xfId="0" applyFont="1" applyFill="1" applyBorder="1" applyAlignment="1">
      <alignment horizontal="center" vertical="center" wrapText="1"/>
    </xf>
    <xf numFmtId="0" fontId="86" fillId="14" borderId="0" xfId="0" applyFont="1" applyFill="1" applyAlignment="1">
      <alignment horizontal="left" vertical="top" wrapText="1"/>
    </xf>
    <xf numFmtId="0" fontId="86" fillId="0" borderId="0" xfId="0" applyFont="1" applyAlignment="1">
      <alignment horizontal="left" vertical="top" wrapText="1"/>
    </xf>
    <xf numFmtId="0" fontId="35" fillId="34" borderId="21" xfId="0" applyFont="1" applyFill="1" applyBorder="1" applyAlignment="1">
      <alignment horizontal="center" vertical="center" wrapText="1"/>
    </xf>
    <xf numFmtId="0" fontId="35" fillId="34" borderId="23" xfId="0" applyFont="1" applyFill="1" applyBorder="1" applyAlignment="1">
      <alignment horizontal="center" vertical="center" wrapText="1"/>
    </xf>
    <xf numFmtId="0" fontId="35" fillId="34" borderId="19" xfId="0" applyFont="1" applyFill="1" applyBorder="1" applyAlignment="1">
      <alignment horizontal="center" vertical="center" wrapText="1"/>
    </xf>
    <xf numFmtId="0" fontId="35" fillId="34" borderId="24" xfId="0" applyFont="1" applyFill="1" applyBorder="1" applyAlignment="1">
      <alignment horizontal="center" vertical="center" wrapText="1"/>
    </xf>
    <xf numFmtId="0" fontId="35" fillId="34" borderId="251" xfId="0" applyFont="1" applyFill="1" applyBorder="1" applyAlignment="1">
      <alignment horizontal="center" vertical="center" wrapText="1"/>
    </xf>
    <xf numFmtId="0" fontId="35" fillId="34" borderId="361" xfId="0" applyFont="1" applyFill="1" applyBorder="1" applyAlignment="1">
      <alignment horizontal="center" vertical="center" wrapText="1"/>
    </xf>
    <xf numFmtId="0" fontId="51" fillId="40" borderId="209" xfId="0" applyNumberFormat="1" applyFont="1" applyFill="1" applyBorder="1" applyAlignment="1" applyProtection="1">
      <alignment horizontal="center" vertical="center" wrapText="1"/>
    </xf>
    <xf numFmtId="0" fontId="6" fillId="40" borderId="83" xfId="0" applyFont="1" applyFill="1" applyBorder="1" applyAlignment="1">
      <alignment horizontal="center" vertical="center" wrapText="1"/>
    </xf>
    <xf numFmtId="0" fontId="6" fillId="14" borderId="0" xfId="0" applyFont="1" applyFill="1" applyAlignment="1">
      <alignment horizontal="left" vertical="center"/>
    </xf>
    <xf numFmtId="0" fontId="86" fillId="14" borderId="0" xfId="0" applyFont="1" applyFill="1" applyAlignment="1">
      <alignment horizontal="left" wrapText="1"/>
    </xf>
    <xf numFmtId="0" fontId="3" fillId="30" borderId="69" xfId="0" applyFont="1" applyFill="1" applyBorder="1" applyAlignment="1">
      <alignment horizontal="left" wrapText="1"/>
    </xf>
    <xf numFmtId="0" fontId="3" fillId="30" borderId="150" xfId="0" applyFont="1" applyFill="1" applyBorder="1" applyAlignment="1">
      <alignment horizontal="left" wrapText="1"/>
    </xf>
    <xf numFmtId="0" fontId="3" fillId="34" borderId="247" xfId="0" applyFont="1" applyFill="1" applyBorder="1" applyAlignment="1">
      <alignment horizontal="left" vertical="center" wrapText="1"/>
    </xf>
    <xf numFmtId="0" fontId="3" fillId="34" borderId="248" xfId="0" applyFont="1" applyFill="1" applyBorder="1" applyAlignment="1">
      <alignment horizontal="left" vertical="center" wrapText="1"/>
    </xf>
    <xf numFmtId="0" fontId="6" fillId="32" borderId="155" xfId="0" applyFont="1" applyFill="1" applyBorder="1" applyAlignment="1">
      <alignment horizontal="left" vertical="center" wrapText="1"/>
    </xf>
    <xf numFmtId="0" fontId="6" fillId="32" borderId="19" xfId="0" applyFont="1" applyFill="1" applyBorder="1" applyAlignment="1">
      <alignment horizontal="left" vertical="center" wrapText="1"/>
    </xf>
    <xf numFmtId="0" fontId="6" fillId="32" borderId="25" xfId="0" applyFont="1" applyFill="1" applyBorder="1" applyAlignment="1">
      <alignment horizontal="left" vertical="center" wrapText="1"/>
    </xf>
    <xf numFmtId="0" fontId="3" fillId="30" borderId="118" xfId="0" applyFont="1" applyFill="1" applyBorder="1" applyAlignment="1">
      <alignment horizontal="left" wrapText="1"/>
    </xf>
    <xf numFmtId="0" fontId="3" fillId="34" borderId="252" xfId="0" applyFont="1" applyFill="1" applyBorder="1" applyAlignment="1">
      <alignment horizontal="left" vertical="center" wrapText="1"/>
    </xf>
    <xf numFmtId="0" fontId="51" fillId="40" borderId="72" xfId="0" applyNumberFormat="1" applyFont="1" applyFill="1" applyBorder="1" applyAlignment="1" applyProtection="1">
      <alignment horizontal="center" vertical="center" wrapText="1"/>
    </xf>
    <xf numFmtId="0" fontId="6" fillId="14" borderId="0" xfId="0" applyFont="1" applyFill="1" applyAlignment="1">
      <alignment horizontal="left" vertical="top" wrapText="1"/>
    </xf>
    <xf numFmtId="0" fontId="51" fillId="40" borderId="90" xfId="0" applyNumberFormat="1" applyFont="1" applyFill="1" applyBorder="1" applyAlignment="1" applyProtection="1">
      <alignment horizontal="center" vertical="center" wrapText="1"/>
    </xf>
    <xf numFmtId="0" fontId="6" fillId="32" borderId="72" xfId="0" applyFont="1" applyFill="1" applyBorder="1" applyAlignment="1">
      <alignment horizontal="center" vertical="center" wrapText="1"/>
    </xf>
    <xf numFmtId="0" fontId="6" fillId="32" borderId="62" xfId="0" applyFont="1" applyFill="1" applyBorder="1" applyAlignment="1">
      <alignment horizontal="center" vertical="center" wrapText="1"/>
    </xf>
    <xf numFmtId="0" fontId="6" fillId="32" borderId="66" xfId="0" applyFont="1" applyFill="1" applyBorder="1" applyAlignment="1">
      <alignment horizontal="center" vertical="center" wrapText="1"/>
    </xf>
    <xf numFmtId="0" fontId="58" fillId="34" borderId="21" xfId="0" applyFont="1" applyFill="1" applyBorder="1" applyAlignment="1">
      <alignment horizontal="center" vertical="center" wrapText="1"/>
    </xf>
    <xf numFmtId="0" fontId="58" fillId="34" borderId="19" xfId="0" applyFont="1" applyFill="1" applyBorder="1" applyAlignment="1">
      <alignment horizontal="center" vertical="center" wrapText="1"/>
    </xf>
    <xf numFmtId="0" fontId="58" fillId="34" borderId="25" xfId="0" applyFont="1" applyFill="1" applyBorder="1" applyAlignment="1">
      <alignment horizontal="center" vertical="center" wrapText="1"/>
    </xf>
    <xf numFmtId="0" fontId="6" fillId="40" borderId="142" xfId="0" applyFont="1" applyFill="1" applyBorder="1" applyAlignment="1">
      <alignment horizontal="center" vertical="center" wrapText="1"/>
    </xf>
    <xf numFmtId="0" fontId="6" fillId="41" borderId="142" xfId="0" applyFont="1" applyFill="1" applyBorder="1" applyAlignment="1">
      <alignment horizontal="center" vertical="center" wrapText="1"/>
    </xf>
    <xf numFmtId="0" fontId="6" fillId="40" borderId="63" xfId="0" applyFont="1" applyFill="1" applyBorder="1" applyAlignment="1">
      <alignment horizontal="center" vertical="center" wrapText="1"/>
    </xf>
    <xf numFmtId="0" fontId="6" fillId="32" borderId="209" xfId="0" applyFont="1" applyFill="1" applyBorder="1" applyAlignment="1">
      <alignment horizontal="center" vertical="center" wrapText="1"/>
    </xf>
    <xf numFmtId="0" fontId="6" fillId="32" borderId="46" xfId="0" applyFont="1" applyFill="1" applyBorder="1" applyAlignment="1">
      <alignment horizontal="center" vertical="center" wrapText="1"/>
    </xf>
    <xf numFmtId="0" fontId="6" fillId="32" borderId="210" xfId="0" applyFont="1" applyFill="1" applyBorder="1" applyAlignment="1">
      <alignment horizontal="center" vertical="center" wrapText="1"/>
    </xf>
    <xf numFmtId="0" fontId="6" fillId="37" borderId="51" xfId="0" applyFont="1" applyFill="1" applyBorder="1" applyAlignment="1">
      <alignment horizontal="center"/>
    </xf>
    <xf numFmtId="0" fontId="6" fillId="37" borderId="77" xfId="0" applyFont="1" applyFill="1" applyBorder="1" applyAlignment="1">
      <alignment horizontal="center"/>
    </xf>
    <xf numFmtId="0" fontId="6" fillId="37" borderId="78" xfId="0" applyFont="1" applyFill="1" applyBorder="1" applyAlignment="1">
      <alignment horizontal="center"/>
    </xf>
    <xf numFmtId="0" fontId="51" fillId="37" borderId="50" xfId="0" applyNumberFormat="1" applyFont="1" applyFill="1" applyBorder="1" applyAlignment="1" applyProtection="1">
      <alignment horizontal="center" vertical="center" wrapText="1"/>
    </xf>
    <xf numFmtId="0" fontId="51" fillId="37" borderId="75" xfId="0" applyNumberFormat="1" applyFont="1" applyFill="1" applyBorder="1" applyAlignment="1" applyProtection="1">
      <alignment horizontal="center" vertical="center" wrapText="1"/>
    </xf>
    <xf numFmtId="0" fontId="51" fillId="37" borderId="76" xfId="0" applyNumberFormat="1" applyFont="1" applyFill="1" applyBorder="1" applyAlignment="1" applyProtection="1">
      <alignment horizontal="center" vertical="center" wrapText="1"/>
    </xf>
    <xf numFmtId="0" fontId="85" fillId="14" borderId="0" xfId="0" applyFont="1" applyFill="1" applyAlignment="1">
      <alignment horizontal="left" vertical="top" wrapText="1"/>
    </xf>
    <xf numFmtId="0" fontId="6" fillId="14" borderId="0" xfId="0" applyFont="1" applyFill="1" applyAlignment="1">
      <alignment horizontal="left" vertical="top"/>
    </xf>
    <xf numFmtId="0" fontId="0" fillId="14" borderId="0" xfId="0" applyFill="1" applyAlignment="1">
      <alignment horizontal="left" vertical="top" wrapText="1"/>
    </xf>
    <xf numFmtId="0" fontId="51" fillId="37" borderId="44" xfId="0" applyNumberFormat="1" applyFont="1" applyFill="1" applyBorder="1" applyAlignment="1" applyProtection="1">
      <alignment horizontal="center" vertical="center" wrapText="1"/>
    </xf>
    <xf numFmtId="0" fontId="6" fillId="37" borderId="83" xfId="0" applyFont="1" applyFill="1" applyBorder="1" applyAlignment="1">
      <alignment horizontal="center" vertical="center" wrapText="1"/>
    </xf>
    <xf numFmtId="0" fontId="58" fillId="34" borderId="73" xfId="0" applyFont="1" applyFill="1" applyBorder="1" applyAlignment="1">
      <alignment horizontal="center" wrapText="1"/>
    </xf>
    <xf numFmtId="0" fontId="58" fillId="34" borderId="74" xfId="0" applyFont="1" applyFill="1" applyBorder="1" applyAlignment="1">
      <alignment horizontal="center" wrapText="1"/>
    </xf>
    <xf numFmtId="0" fontId="58" fillId="34" borderId="92" xfId="0" applyFont="1" applyFill="1" applyBorder="1" applyAlignment="1">
      <alignment horizontal="center" wrapText="1"/>
    </xf>
    <xf numFmtId="0" fontId="6" fillId="37" borderId="63" xfId="0" applyFont="1" applyFill="1" applyBorder="1" applyAlignment="1">
      <alignment horizontal="center"/>
    </xf>
    <xf numFmtId="0" fontId="6" fillId="42" borderId="87" xfId="0" applyFont="1" applyFill="1" applyBorder="1" applyAlignment="1">
      <alignment horizontal="center"/>
    </xf>
    <xf numFmtId="0" fontId="6" fillId="42" borderId="77" xfId="0" applyFont="1" applyFill="1" applyBorder="1" applyAlignment="1">
      <alignment horizontal="center"/>
    </xf>
    <xf numFmtId="0" fontId="6" fillId="42" borderId="142" xfId="0" applyFont="1" applyFill="1" applyBorder="1" applyAlignment="1">
      <alignment horizontal="center"/>
    </xf>
    <xf numFmtId="0" fontId="51" fillId="42" borderId="83" xfId="0" applyNumberFormat="1" applyFont="1" applyFill="1" applyBorder="1" applyAlignment="1" applyProtection="1">
      <alignment horizontal="center" vertical="center" wrapText="1"/>
    </xf>
    <xf numFmtId="0" fontId="6" fillId="37" borderId="83" xfId="0" applyNumberFormat="1" applyFont="1" applyFill="1" applyBorder="1" applyAlignment="1">
      <alignment horizontal="center" vertical="center" wrapText="1"/>
    </xf>
    <xf numFmtId="0" fontId="6" fillId="37" borderId="72" xfId="0" applyNumberFormat="1" applyFont="1" applyFill="1" applyBorder="1" applyAlignment="1">
      <alignment horizontal="center" vertical="center" wrapText="1"/>
    </xf>
    <xf numFmtId="0" fontId="85" fillId="14" borderId="0" xfId="0" applyFont="1" applyFill="1" applyAlignment="1">
      <alignment horizontal="left" vertical="center" wrapText="1"/>
    </xf>
    <xf numFmtId="0" fontId="6" fillId="14" borderId="0" xfId="0" applyFont="1" applyFill="1" applyAlignment="1">
      <alignment horizontal="left" vertical="center" wrapText="1"/>
    </xf>
    <xf numFmtId="0" fontId="51" fillId="41" borderId="50" xfId="0" applyNumberFormat="1" applyFont="1" applyFill="1" applyBorder="1" applyAlignment="1" applyProtection="1">
      <alignment horizontal="center" vertical="center" wrapText="1"/>
    </xf>
    <xf numFmtId="0" fontId="6" fillId="41" borderId="75" xfId="0" applyFont="1" applyFill="1" applyBorder="1" applyAlignment="1">
      <alignment horizontal="center" vertical="center" wrapText="1"/>
    </xf>
    <xf numFmtId="0" fontId="58" fillId="34" borderId="21" xfId="0" applyFont="1" applyFill="1" applyBorder="1" applyAlignment="1">
      <alignment horizontal="left" wrapText="1"/>
    </xf>
    <xf numFmtId="0" fontId="58" fillId="34" borderId="23" xfId="0" applyFont="1" applyFill="1" applyBorder="1" applyAlignment="1">
      <alignment horizontal="left" wrapText="1"/>
    </xf>
    <xf numFmtId="0" fontId="58" fillId="34" borderId="19" xfId="0" applyFont="1" applyFill="1" applyBorder="1" applyAlignment="1">
      <alignment horizontal="left" wrapText="1"/>
    </xf>
    <xf numFmtId="0" fontId="58" fillId="34" borderId="24" xfId="0" applyFont="1" applyFill="1" applyBorder="1" applyAlignment="1">
      <alignment horizontal="left" wrapText="1"/>
    </xf>
    <xf numFmtId="0" fontId="58" fillId="34" borderId="25" xfId="0" applyFont="1" applyFill="1" applyBorder="1" applyAlignment="1">
      <alignment horizontal="left" wrapText="1"/>
    </xf>
    <xf numFmtId="0" fontId="58" fillId="34" borderId="205" xfId="0" applyFont="1" applyFill="1" applyBorder="1" applyAlignment="1">
      <alignment horizontal="left" wrapText="1"/>
    </xf>
    <xf numFmtId="0" fontId="6" fillId="41" borderId="83" xfId="0" applyNumberFormat="1" applyFont="1" applyFill="1" applyBorder="1" applyAlignment="1">
      <alignment horizontal="center" vertical="center" wrapText="1"/>
    </xf>
    <xf numFmtId="0" fontId="6" fillId="41" borderId="72" xfId="0" applyNumberFormat="1" applyFont="1" applyFill="1" applyBorder="1" applyAlignment="1">
      <alignment horizontal="center" vertical="center" wrapText="1"/>
    </xf>
    <xf numFmtId="0" fontId="6" fillId="41" borderId="51" xfId="0" applyFont="1" applyFill="1" applyBorder="1" applyAlignment="1">
      <alignment horizontal="center"/>
    </xf>
    <xf numFmtId="0" fontId="6" fillId="41" borderId="77" xfId="0" applyFont="1" applyFill="1" applyBorder="1" applyAlignment="1">
      <alignment horizontal="center"/>
    </xf>
    <xf numFmtId="0" fontId="6" fillId="41" borderId="142" xfId="0" applyFont="1" applyFill="1" applyBorder="1" applyAlignment="1">
      <alignment horizontal="center"/>
    </xf>
    <xf numFmtId="0" fontId="6" fillId="40" borderId="87" xfId="0" applyFont="1" applyFill="1" applyBorder="1" applyAlignment="1">
      <alignment horizontal="center"/>
    </xf>
    <xf numFmtId="0" fontId="6" fillId="40" borderId="77" xfId="0" applyFont="1" applyFill="1" applyBorder="1" applyAlignment="1">
      <alignment horizontal="center"/>
    </xf>
    <xf numFmtId="0" fontId="6" fillId="40" borderId="142" xfId="0" applyFont="1" applyFill="1" applyBorder="1" applyAlignment="1">
      <alignment horizontal="center"/>
    </xf>
    <xf numFmtId="0" fontId="6" fillId="41" borderId="63" xfId="0" applyFont="1" applyFill="1" applyBorder="1" applyAlignment="1">
      <alignment horizontal="center"/>
    </xf>
    <xf numFmtId="0" fontId="3" fillId="34" borderId="130" xfId="0" applyFont="1" applyFill="1" applyBorder="1" applyAlignment="1">
      <alignment horizontal="left" vertical="center" wrapText="1" indent="2"/>
    </xf>
    <xf numFmtId="0" fontId="3" fillId="34" borderId="74" xfId="0" applyFont="1" applyFill="1" applyBorder="1" applyAlignment="1">
      <alignment horizontal="left" vertical="center" wrapText="1" indent="2"/>
    </xf>
    <xf numFmtId="0" fontId="3" fillId="34" borderId="92" xfId="0" applyFont="1" applyFill="1" applyBorder="1" applyAlignment="1">
      <alignment horizontal="left" vertical="center" wrapText="1" indent="2"/>
    </xf>
    <xf numFmtId="0" fontId="6" fillId="32" borderId="73" xfId="0" applyFont="1" applyFill="1" applyBorder="1" applyAlignment="1">
      <alignment horizontal="left" vertical="center" wrapText="1" indent="2"/>
    </xf>
    <xf numFmtId="0" fontId="6" fillId="32" borderId="74" xfId="0" applyFont="1" applyFill="1" applyBorder="1" applyAlignment="1">
      <alignment horizontal="left" vertical="center" wrapText="1" indent="2"/>
    </xf>
    <xf numFmtId="0" fontId="6" fillId="32" borderId="92" xfId="0" applyFont="1" applyFill="1" applyBorder="1" applyAlignment="1">
      <alignment horizontal="left" vertical="center" wrapText="1" indent="2"/>
    </xf>
    <xf numFmtId="0" fontId="3" fillId="34" borderId="69" xfId="0" applyFont="1" applyFill="1" applyBorder="1" applyAlignment="1">
      <alignment horizontal="left" vertical="center" wrapText="1" indent="2"/>
    </xf>
    <xf numFmtId="0" fontId="3" fillId="34" borderId="150" xfId="0" applyFont="1" applyFill="1" applyBorder="1" applyAlignment="1">
      <alignment horizontal="left" vertical="center" wrapText="1" indent="2"/>
    </xf>
    <xf numFmtId="0" fontId="3" fillId="34" borderId="51" xfId="0" applyFont="1" applyFill="1" applyBorder="1" applyAlignment="1">
      <alignment horizontal="left" vertical="center" wrapText="1" indent="2"/>
    </xf>
    <xf numFmtId="0" fontId="3" fillId="34" borderId="78" xfId="0" applyFont="1" applyFill="1" applyBorder="1" applyAlignment="1">
      <alignment horizontal="left" vertical="center" wrapText="1" indent="2"/>
    </xf>
    <xf numFmtId="0" fontId="3" fillId="44" borderId="73" xfId="0" applyFont="1" applyFill="1" applyBorder="1" applyAlignment="1">
      <alignment horizontal="center" vertical="center" wrapText="1"/>
    </xf>
    <xf numFmtId="0" fontId="3" fillId="44" borderId="74" xfId="0" applyFont="1" applyFill="1" applyBorder="1" applyAlignment="1">
      <alignment horizontal="center" vertical="center" wrapText="1"/>
    </xf>
    <xf numFmtId="0" fontId="3" fillId="44" borderId="92" xfId="0" applyFont="1" applyFill="1" applyBorder="1" applyAlignment="1">
      <alignment horizontal="center" vertical="center" wrapText="1"/>
    </xf>
    <xf numFmtId="0" fontId="3" fillId="34" borderId="19" xfId="0" applyFont="1" applyFill="1" applyBorder="1" applyAlignment="1">
      <alignment horizontal="left" vertical="center" wrapText="1"/>
    </xf>
    <xf numFmtId="0" fontId="3" fillId="34" borderId="25" xfId="0" applyFont="1" applyFill="1" applyBorder="1" applyAlignment="1">
      <alignment horizontal="left" vertical="center" wrapText="1"/>
    </xf>
    <xf numFmtId="0" fontId="3" fillId="34" borderId="50" xfId="0" applyFont="1" applyFill="1" applyBorder="1" applyAlignment="1">
      <alignment horizontal="left" vertical="center" wrapText="1"/>
    </xf>
    <xf numFmtId="0" fontId="3" fillId="34" borderId="76" xfId="0" applyFont="1" applyFill="1" applyBorder="1" applyAlignment="1">
      <alignment horizontal="left" vertical="center" wrapText="1"/>
    </xf>
    <xf numFmtId="0" fontId="6" fillId="14" borderId="0" xfId="0" applyFont="1" applyFill="1" applyAlignment="1">
      <alignment horizontal="left"/>
    </xf>
    <xf numFmtId="0" fontId="0" fillId="14" borderId="0" xfId="0" applyFill="1" applyAlignment="1">
      <alignment horizontal="left" wrapText="1"/>
    </xf>
    <xf numFmtId="0" fontId="85" fillId="14" borderId="0" xfId="0" applyFont="1" applyFill="1" applyAlignment="1">
      <alignment horizontal="left" wrapText="1"/>
    </xf>
    <xf numFmtId="0" fontId="6" fillId="14" borderId="0" xfId="0" applyFont="1" applyFill="1" applyAlignment="1">
      <alignment horizontal="left" wrapText="1"/>
    </xf>
    <xf numFmtId="0" fontId="0" fillId="34" borderId="73" xfId="0" applyFill="1" applyBorder="1" applyAlignment="1">
      <alignment horizontal="center"/>
    </xf>
    <xf numFmtId="0" fontId="0" fillId="34" borderId="74" xfId="0" applyFill="1" applyBorder="1" applyAlignment="1">
      <alignment horizontal="center"/>
    </xf>
    <xf numFmtId="0" fontId="0" fillId="34" borderId="92" xfId="0" applyFill="1" applyBorder="1" applyAlignment="1">
      <alignment horizontal="center"/>
    </xf>
    <xf numFmtId="0" fontId="3" fillId="18" borderId="35" xfId="0" applyFont="1" applyFill="1" applyBorder="1" applyAlignment="1" applyProtection="1">
      <alignment horizontal="left" vertical="center" wrapText="1"/>
      <protection locked="0"/>
    </xf>
    <xf numFmtId="0" fontId="3" fillId="18" borderId="34" xfId="0" applyFont="1" applyFill="1" applyBorder="1" applyAlignment="1" applyProtection="1">
      <alignment horizontal="left" vertical="center" wrapText="1"/>
      <protection locked="0"/>
    </xf>
    <xf numFmtId="0" fontId="51" fillId="41" borderId="44" xfId="0" applyNumberFormat="1" applyFont="1" applyFill="1" applyBorder="1" applyAlignment="1" applyProtection="1">
      <alignment horizontal="center" vertical="center" wrapText="1"/>
    </xf>
    <xf numFmtId="0" fontId="3" fillId="34" borderId="152" xfId="0" applyFont="1" applyFill="1" applyBorder="1" applyAlignment="1" applyProtection="1">
      <alignment horizontal="right" vertical="center" wrapText="1"/>
      <protection locked="0"/>
    </xf>
    <xf numFmtId="0" fontId="3" fillId="34" borderId="74" xfId="0" applyFont="1" applyFill="1" applyBorder="1" applyAlignment="1">
      <alignment horizontal="left" vertical="center" wrapText="1"/>
    </xf>
    <xf numFmtId="0" fontId="3" fillId="34" borderId="92" xfId="0" applyFont="1" applyFill="1" applyBorder="1" applyAlignment="1">
      <alignment horizontal="left" vertical="center" wrapText="1"/>
    </xf>
    <xf numFmtId="0" fontId="6" fillId="30" borderId="36" xfId="0" applyFont="1" applyFill="1" applyBorder="1" applyAlignment="1">
      <alignment horizontal="left" wrapText="1"/>
    </xf>
    <xf numFmtId="0" fontId="6" fillId="30" borderId="35" xfId="0" applyFont="1" applyFill="1" applyBorder="1" applyAlignment="1">
      <alignment horizontal="left" wrapText="1"/>
    </xf>
    <xf numFmtId="0" fontId="6" fillId="30" borderId="152" xfId="0" applyFont="1" applyFill="1" applyBorder="1" applyAlignment="1">
      <alignment horizontal="left" wrapText="1"/>
    </xf>
    <xf numFmtId="0" fontId="6" fillId="30" borderId="50" xfId="0" applyFont="1" applyFill="1" applyBorder="1" applyAlignment="1">
      <alignment horizontal="left" wrapText="1"/>
    </xf>
    <xf numFmtId="0" fontId="6" fillId="30" borderId="75" xfId="0" applyFont="1" applyFill="1" applyBorder="1" applyAlignment="1">
      <alignment horizontal="left" wrapText="1"/>
    </xf>
    <xf numFmtId="0" fontId="6" fillId="30" borderId="76" xfId="0" applyFont="1" applyFill="1" applyBorder="1" applyAlignment="1">
      <alignment horizontal="left" wrapText="1"/>
    </xf>
    <xf numFmtId="0" fontId="6" fillId="30" borderId="69" xfId="0" applyFont="1" applyFill="1" applyBorder="1" applyAlignment="1">
      <alignment horizontal="left" wrapText="1"/>
    </xf>
    <xf numFmtId="0" fontId="6" fillId="30" borderId="118" xfId="0" applyFont="1" applyFill="1" applyBorder="1" applyAlignment="1">
      <alignment horizontal="left" wrapText="1"/>
    </xf>
    <xf numFmtId="0" fontId="6" fillId="30" borderId="150" xfId="0" applyFont="1" applyFill="1" applyBorder="1" applyAlignment="1">
      <alignment horizontal="left" wrapText="1"/>
    </xf>
    <xf numFmtId="0" fontId="6" fillId="32" borderId="73" xfId="0" applyFont="1" applyFill="1" applyBorder="1" applyAlignment="1">
      <alignment horizontal="left" vertical="center" wrapText="1"/>
    </xf>
    <xf numFmtId="0" fontId="6" fillId="32" borderId="74" xfId="0" applyFont="1" applyFill="1" applyBorder="1" applyAlignment="1">
      <alignment horizontal="left" vertical="center" wrapText="1"/>
    </xf>
    <xf numFmtId="0" fontId="6" fillId="32" borderId="92" xfId="0" applyFont="1" applyFill="1" applyBorder="1" applyAlignment="1">
      <alignment horizontal="left" vertical="center" wrapText="1"/>
    </xf>
    <xf numFmtId="0" fontId="3" fillId="39" borderId="50" xfId="0" applyFont="1" applyFill="1" applyBorder="1" applyAlignment="1">
      <alignment horizontal="left" vertical="center" wrapText="1" indent="1"/>
    </xf>
    <xf numFmtId="0" fontId="3" fillId="39" borderId="76" xfId="0" applyFont="1" applyFill="1" applyBorder="1" applyAlignment="1">
      <alignment horizontal="left" vertical="center" wrapText="1" indent="1"/>
    </xf>
    <xf numFmtId="0" fontId="3" fillId="39" borderId="51" xfId="0" applyFont="1" applyFill="1" applyBorder="1" applyAlignment="1">
      <alignment horizontal="left" vertical="center" wrapText="1" indent="1"/>
    </xf>
    <xf numFmtId="0" fontId="3" fillId="39" borderId="78" xfId="0" applyFont="1" applyFill="1" applyBorder="1" applyAlignment="1">
      <alignment horizontal="left" vertical="center" wrapText="1" indent="1"/>
    </xf>
    <xf numFmtId="0" fontId="0" fillId="14" borderId="0" xfId="0" applyFill="1" applyAlignment="1">
      <alignment vertical="center" wrapText="1"/>
    </xf>
    <xf numFmtId="0" fontId="64" fillId="39" borderId="187" xfId="0" applyFont="1" applyFill="1" applyBorder="1" applyAlignment="1">
      <alignment horizontal="center" vertical="center" wrapText="1"/>
    </xf>
    <xf numFmtId="0" fontId="64" fillId="39" borderId="188" xfId="0" applyFont="1" applyFill="1" applyBorder="1" applyAlignment="1">
      <alignment horizontal="center" vertical="center" wrapText="1"/>
    </xf>
    <xf numFmtId="0" fontId="64" fillId="39" borderId="207" xfId="0" applyFont="1" applyFill="1" applyBorder="1" applyAlignment="1">
      <alignment horizontal="center" vertical="center" wrapText="1"/>
    </xf>
    <xf numFmtId="0" fontId="64" fillId="39" borderId="253" xfId="0" applyFont="1" applyFill="1" applyBorder="1" applyAlignment="1">
      <alignment horizontal="center" vertical="center" wrapText="1"/>
    </xf>
    <xf numFmtId="0" fontId="64" fillId="39" borderId="100" xfId="0" applyFont="1" applyFill="1" applyBorder="1" applyAlignment="1">
      <alignment horizontal="center" vertical="center" wrapText="1"/>
    </xf>
    <xf numFmtId="0" fontId="64" fillId="39" borderId="254" xfId="0" applyFont="1" applyFill="1" applyBorder="1" applyAlignment="1">
      <alignment horizontal="center" vertical="center" wrapText="1"/>
    </xf>
    <xf numFmtId="49" fontId="6" fillId="37" borderId="51" xfId="0" applyNumberFormat="1" applyFont="1" applyFill="1" applyBorder="1" applyAlignment="1">
      <alignment horizontal="center"/>
    </xf>
    <xf numFmtId="0" fontId="6" fillId="37" borderId="142" xfId="0" applyFont="1" applyFill="1" applyBorder="1" applyAlignment="1">
      <alignment horizontal="center"/>
    </xf>
    <xf numFmtId="0" fontId="6" fillId="14" borderId="0" xfId="0" applyFont="1" applyFill="1" applyAlignment="1">
      <alignment wrapText="1"/>
    </xf>
    <xf numFmtId="0" fontId="35" fillId="34" borderId="73" xfId="0" applyFont="1" applyFill="1" applyBorder="1" applyAlignment="1">
      <alignment horizontal="center" vertical="center" wrapText="1"/>
    </xf>
    <xf numFmtId="0" fontId="81" fillId="34" borderId="74" xfId="0" applyFont="1" applyFill="1" applyBorder="1" applyAlignment="1">
      <alignment horizontal="center" vertical="center" wrapText="1"/>
    </xf>
    <xf numFmtId="0" fontId="51" fillId="40" borderId="44" xfId="0" applyNumberFormat="1" applyFont="1" applyFill="1" applyBorder="1" applyAlignment="1" applyProtection="1">
      <alignment horizontal="center" vertical="center" wrapText="1"/>
    </xf>
    <xf numFmtId="0" fontId="3" fillId="14" borderId="0" xfId="0" applyFont="1" applyFill="1" applyAlignment="1">
      <alignment vertical="center" wrapText="1"/>
    </xf>
    <xf numFmtId="0" fontId="81" fillId="34" borderId="19" xfId="0" applyFont="1" applyFill="1" applyBorder="1" applyAlignment="1">
      <alignment horizontal="center" vertical="center" wrapText="1"/>
    </xf>
    <xf numFmtId="0" fontId="6" fillId="40" borderId="46" xfId="0" applyFont="1" applyFill="1" applyBorder="1" applyAlignment="1">
      <alignment horizontal="center" vertical="center" wrapText="1"/>
    </xf>
    <xf numFmtId="0" fontId="6" fillId="40" borderId="62" xfId="0" applyFont="1" applyFill="1" applyBorder="1" applyAlignment="1">
      <alignment horizontal="center" vertical="center" wrapText="1"/>
    </xf>
    <xf numFmtId="0" fontId="3" fillId="18" borderId="36" xfId="0" applyFont="1" applyFill="1" applyBorder="1" applyAlignment="1" applyProtection="1">
      <alignment horizontal="left" vertical="center" wrapText="1"/>
      <protection locked="0"/>
    </xf>
    <xf numFmtId="0" fontId="6" fillId="34" borderId="130" xfId="0" applyFont="1" applyFill="1" applyBorder="1" applyAlignment="1">
      <alignment horizontal="center" vertical="center" wrapText="1"/>
    </xf>
    <xf numFmtId="0" fontId="6" fillId="34" borderId="74" xfId="0" applyFont="1" applyFill="1" applyBorder="1" applyAlignment="1">
      <alignment horizontal="center" vertical="center" wrapText="1"/>
    </xf>
    <xf numFmtId="0" fontId="6" fillId="34" borderId="73" xfId="0" applyFont="1" applyFill="1" applyBorder="1" applyAlignment="1">
      <alignment horizontal="center" vertical="center" wrapText="1"/>
    </xf>
    <xf numFmtId="0" fontId="37" fillId="34" borderId="74" xfId="0" applyFont="1" applyFill="1" applyBorder="1" applyAlignment="1">
      <alignment horizontal="center" vertical="center" wrapText="1"/>
    </xf>
    <xf numFmtId="0" fontId="11" fillId="31" borderId="36" xfId="0" applyFont="1" applyFill="1" applyBorder="1" applyAlignment="1">
      <alignment vertical="center"/>
    </xf>
    <xf numFmtId="0" fontId="0" fillId="0" borderId="35" xfId="0" applyBorder="1" applyAlignment="1">
      <alignment vertical="center"/>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6" fillId="56" borderId="50" xfId="0" applyFont="1" applyFill="1" applyBorder="1" applyAlignment="1">
      <alignment horizontal="center" vertical="center"/>
    </xf>
    <xf numFmtId="0" fontId="6" fillId="56" borderId="75" xfId="0" applyFont="1" applyFill="1" applyBorder="1" applyAlignment="1">
      <alignment horizontal="center" vertical="center"/>
    </xf>
    <xf numFmtId="0" fontId="6" fillId="56" borderId="90" xfId="0" applyFont="1" applyFill="1" applyBorder="1" applyAlignment="1">
      <alignment horizontal="center" vertical="center"/>
    </xf>
    <xf numFmtId="0" fontId="6" fillId="56" borderId="51" xfId="0" applyFont="1" applyFill="1" applyBorder="1" applyAlignment="1">
      <alignment horizontal="center" vertical="center" wrapText="1"/>
    </xf>
    <xf numFmtId="0" fontId="6" fillId="56" borderId="77" xfId="0" applyFont="1" applyFill="1" applyBorder="1" applyAlignment="1">
      <alignment horizontal="center" vertical="center" wrapText="1"/>
    </xf>
    <xf numFmtId="0" fontId="6" fillId="56" borderId="78" xfId="0" applyFont="1" applyFill="1" applyBorder="1" applyAlignment="1">
      <alignment horizontal="center" vertical="center" wrapText="1"/>
    </xf>
    <xf numFmtId="0" fontId="6" fillId="55" borderId="86" xfId="0" applyFont="1" applyFill="1" applyBorder="1" applyAlignment="1">
      <alignment horizontal="center" vertical="center"/>
    </xf>
    <xf numFmtId="0" fontId="6" fillId="55" borderId="75" xfId="0" applyFont="1" applyFill="1" applyBorder="1" applyAlignment="1">
      <alignment horizontal="center" vertical="center"/>
    </xf>
    <xf numFmtId="0" fontId="6" fillId="55" borderId="76" xfId="0" applyFont="1" applyFill="1" applyBorder="1" applyAlignment="1">
      <alignment horizontal="center" vertical="center"/>
    </xf>
    <xf numFmtId="0" fontId="47" fillId="53" borderId="20" xfId="0" applyFont="1" applyFill="1" applyBorder="1" applyAlignment="1">
      <alignment horizontal="center" vertical="center"/>
    </xf>
    <xf numFmtId="0" fontId="56" fillId="53" borderId="10" xfId="0" applyFont="1" applyFill="1" applyBorder="1" applyAlignment="1">
      <alignment horizontal="center" vertical="center"/>
    </xf>
    <xf numFmtId="0" fontId="6" fillId="42" borderId="78" xfId="0" applyFont="1" applyFill="1" applyBorder="1" applyAlignment="1">
      <alignment horizontal="center" vertical="center" wrapText="1"/>
    </xf>
    <xf numFmtId="0" fontId="6" fillId="55" borderId="87" xfId="0" applyFont="1" applyFill="1" applyBorder="1" applyAlignment="1">
      <alignment horizontal="center" vertical="center" wrapText="1"/>
    </xf>
    <xf numFmtId="0" fontId="6" fillId="55" borderId="78" xfId="0" applyFont="1" applyFill="1" applyBorder="1" applyAlignment="1">
      <alignment horizontal="center" vertical="center" wrapText="1"/>
    </xf>
    <xf numFmtId="0" fontId="6" fillId="56" borderId="63" xfId="0" applyFont="1" applyFill="1" applyBorder="1" applyAlignment="1">
      <alignment horizontal="center" vertical="center" wrapText="1"/>
    </xf>
  </cellXfs>
  <cellStyles count="598">
    <cellStyle name=" 1" xfId="1"/>
    <cellStyle name=" 1 2" xfId="48"/>
    <cellStyle name=" 1 2 2" xfId="53"/>
    <cellStyle name=" 1 2 3" xfId="311"/>
    <cellStyle name=" 1 3" xfId="54"/>
    <cellStyle name=" 1 3 2" xfId="55"/>
    <cellStyle name=" 1 4" xfId="56"/>
    <cellStyle name=" 1_29(d) - Gas extensions -tariffs" xfId="50"/>
    <cellStyle name="_3GIS model v2.77_Distribution Business_Retail Fin Perform " xfId="57"/>
    <cellStyle name="_3GIS model v2.77_Fleet Overhead Costs 2_Retail Fin Perform " xfId="58"/>
    <cellStyle name="_3GIS model v2.77_Fleet Overhead Costs_Retail Fin Perform " xfId="59"/>
    <cellStyle name="_3GIS model v2.77_Forecast 2_Retail Fin Perform " xfId="60"/>
    <cellStyle name="_3GIS model v2.77_Forecast_Retail Fin Perform " xfId="61"/>
    <cellStyle name="_3GIS model v2.77_Funding &amp; Cashflow_1_Retail Fin Perform " xfId="62"/>
    <cellStyle name="_3GIS model v2.77_Funding &amp; Cashflow_Retail Fin Perform " xfId="63"/>
    <cellStyle name="_3GIS model v2.77_Group P&amp;L_1_Retail Fin Perform " xfId="64"/>
    <cellStyle name="_3GIS model v2.77_Group P&amp;L_Retail Fin Perform " xfId="65"/>
    <cellStyle name="_3GIS model v2.77_Opening  Detailed BS_Retail Fin Perform " xfId="66"/>
    <cellStyle name="_3GIS model v2.77_OUTPUT DB_Retail Fin Perform " xfId="67"/>
    <cellStyle name="_3GIS model v2.77_OUTPUT EB_Retail Fin Perform " xfId="68"/>
    <cellStyle name="_3GIS model v2.77_Report_Retail Fin Perform " xfId="69"/>
    <cellStyle name="_3GIS model v2.77_Retail Fin Perform " xfId="70"/>
    <cellStyle name="_3GIS model v2.77_Sheet2 2_Retail Fin Perform " xfId="71"/>
    <cellStyle name="_3GIS model v2.77_Sheet2_Retail Fin Perform " xfId="72"/>
    <cellStyle name="_Capex" xfId="78"/>
    <cellStyle name="_Capex 2" xfId="197"/>
    <cellStyle name="_Capex_29(d) - Gas extensions -tariffs" xfId="290"/>
    <cellStyle name="_UED AMP 2009-14 Final 250309 Less PU" xfId="79"/>
    <cellStyle name="_UED AMP 2009-14 Final 250309 Less PU_1011 monthly" xfId="80"/>
    <cellStyle name="20% - Accent1" xfId="2" builtinId="30" customBuiltin="1"/>
    <cellStyle name="20% - Accent1 2" xfId="236"/>
    <cellStyle name="20% - Accent1 3" xfId="312"/>
    <cellStyle name="20% - Accent2" xfId="3" builtinId="34" customBuiltin="1"/>
    <cellStyle name="20% - Accent2 2" xfId="237"/>
    <cellStyle name="20% - Accent3" xfId="4" builtinId="38" customBuiltin="1"/>
    <cellStyle name="20% - Accent3 2" xfId="238"/>
    <cellStyle name="20% - Accent4" xfId="5" builtinId="42" customBuiltin="1"/>
    <cellStyle name="20% - Accent4 2" xfId="239"/>
    <cellStyle name="20% - Accent5" xfId="6" builtinId="46" customBuiltin="1"/>
    <cellStyle name="20% - Accent5 2" xfId="240"/>
    <cellStyle name="20% - Accent6" xfId="7" builtinId="50" customBuiltin="1"/>
    <cellStyle name="20% - Accent6 2" xfId="241"/>
    <cellStyle name="40% - Accent1" xfId="8" builtinId="31" customBuiltin="1"/>
    <cellStyle name="40% - Accent1 2" xfId="242"/>
    <cellStyle name="40% - Accent1 3" xfId="313"/>
    <cellStyle name="40% - Accent2" xfId="9" builtinId="35" customBuiltin="1"/>
    <cellStyle name="40% - Accent2 2" xfId="243"/>
    <cellStyle name="40% - Accent3" xfId="10" builtinId="39" customBuiltin="1"/>
    <cellStyle name="40% - Accent3 2" xfId="244"/>
    <cellStyle name="40% - Accent4" xfId="11" builtinId="43" customBuiltin="1"/>
    <cellStyle name="40% - Accent4 2" xfId="245"/>
    <cellStyle name="40% - Accent5" xfId="12" builtinId="47" customBuiltin="1"/>
    <cellStyle name="40% - Accent5 2" xfId="246"/>
    <cellStyle name="40% - Accent6" xfId="13" builtinId="51" customBuiltin="1"/>
    <cellStyle name="40% - Accent6 2" xfId="247"/>
    <cellStyle name="60% - Accent1" xfId="14" builtinId="32" customBuiltin="1"/>
    <cellStyle name="60% - Accent1 2" xfId="248"/>
    <cellStyle name="60% - Accent2" xfId="15" builtinId="36" customBuiltin="1"/>
    <cellStyle name="60% - Accent2 2" xfId="249"/>
    <cellStyle name="60% - Accent3" xfId="16" builtinId="40" customBuiltin="1"/>
    <cellStyle name="60% - Accent3 2" xfId="250"/>
    <cellStyle name="60% - Accent4" xfId="17" builtinId="44" customBuiltin="1"/>
    <cellStyle name="60% - Accent4 2" xfId="251"/>
    <cellStyle name="60% - Accent5" xfId="18" builtinId="48" customBuiltin="1"/>
    <cellStyle name="60% - Accent5 2" xfId="252"/>
    <cellStyle name="60% - Accent6" xfId="19" builtinId="52" customBuiltin="1"/>
    <cellStyle name="60% - Accent6 2" xfId="253"/>
    <cellStyle name="Accent1" xfId="20" builtinId="29" customBuiltin="1"/>
    <cellStyle name="Accent1 - 20%" xfId="81"/>
    <cellStyle name="Accent1 - 40%" xfId="82"/>
    <cellStyle name="Accent1 - 60%" xfId="83"/>
    <cellStyle name="Accent1 2" xfId="254"/>
    <cellStyle name="Accent2" xfId="21" builtinId="33" customBuiltin="1"/>
    <cellStyle name="Accent2 - 20%" xfId="84"/>
    <cellStyle name="Accent2 - 40%" xfId="85"/>
    <cellStyle name="Accent2 - 60%" xfId="86"/>
    <cellStyle name="Accent2 2" xfId="255"/>
    <cellStyle name="Accent3" xfId="22" builtinId="37" customBuiltin="1"/>
    <cellStyle name="Accent3 - 20%" xfId="87"/>
    <cellStyle name="Accent3 - 40%" xfId="88"/>
    <cellStyle name="Accent3 - 60%" xfId="89"/>
    <cellStyle name="Accent3 2" xfId="256"/>
    <cellStyle name="Accent4" xfId="23" builtinId="41" customBuiltin="1"/>
    <cellStyle name="Accent4 - 20%" xfId="90"/>
    <cellStyle name="Accent4 - 40%" xfId="91"/>
    <cellStyle name="Accent4 - 60%" xfId="92"/>
    <cellStyle name="Accent4 2" xfId="257"/>
    <cellStyle name="Accent5" xfId="25" builtinId="45" customBuiltin="1"/>
    <cellStyle name="Accent5 - 20%" xfId="93"/>
    <cellStyle name="Accent5 - 40%" xfId="94"/>
    <cellStyle name="Accent5 - 60%" xfId="95"/>
    <cellStyle name="Accent5 2" xfId="258"/>
    <cellStyle name="Accent6" xfId="26" builtinId="49" customBuiltin="1"/>
    <cellStyle name="Accent6 - 20%" xfId="96"/>
    <cellStyle name="Accent6 - 40%" xfId="97"/>
    <cellStyle name="Accent6 - 60%" xfId="98"/>
    <cellStyle name="Accent6 2" xfId="259"/>
    <cellStyle name="Agara" xfId="99"/>
    <cellStyle name="B79812_.wvu.PrintTitlest" xfId="100"/>
    <cellStyle name="Bad" xfId="27" builtinId="27" customBuiltin="1"/>
    <cellStyle name="Bad 2" xfId="260"/>
    <cellStyle name="Black" xfId="101"/>
    <cellStyle name="Blockout" xfId="102"/>
    <cellStyle name="Blockout 2" xfId="198"/>
    <cellStyle name="Blockout 3" xfId="314"/>
    <cellStyle name="Blue" xfId="103"/>
    <cellStyle name="Calculation" xfId="28" builtinId="22" customBuiltin="1"/>
    <cellStyle name="Calculation 2" xfId="49"/>
    <cellStyle name="Calculation 2 2" xfId="315"/>
    <cellStyle name="Calculation 2 3" xfId="316"/>
    <cellStyle name="Check Cell" xfId="29" builtinId="23" customBuiltin="1"/>
    <cellStyle name="Check Cell 2" xfId="261"/>
    <cellStyle name="Check Cell 2 2 2 2" xfId="317"/>
    <cellStyle name="Comma" xfId="30" builtinId="3"/>
    <cellStyle name="Comma [0]7Z_87C" xfId="104"/>
    <cellStyle name="Comma 0" xfId="105"/>
    <cellStyle name="Comma 1" xfId="106"/>
    <cellStyle name="Comma 1 2" xfId="199"/>
    <cellStyle name="Comma 10" xfId="318"/>
    <cellStyle name="Comma 11" xfId="319"/>
    <cellStyle name="Comma 2" xfId="107"/>
    <cellStyle name="Comma 2 2" xfId="108"/>
    <cellStyle name="Comma 2 2 2" xfId="320"/>
    <cellStyle name="Comma 2 2 3" xfId="321"/>
    <cellStyle name="Comma 2 3" xfId="109"/>
    <cellStyle name="Comma 2 3 2" xfId="201"/>
    <cellStyle name="Comma 2 4" xfId="200"/>
    <cellStyle name="Comma 2 5" xfId="262"/>
    <cellStyle name="Comma 2 6" xfId="322"/>
    <cellStyle name="Comma 3" xfId="110"/>
    <cellStyle name="Comma 3 2" xfId="202"/>
    <cellStyle name="Comma 3 2 2" xfId="323"/>
    <cellStyle name="Comma 3 3" xfId="263"/>
    <cellStyle name="Comma 3 3 2" xfId="324"/>
    <cellStyle name="Comma 3 4" xfId="325"/>
    <cellStyle name="Comma 3 5" xfId="326"/>
    <cellStyle name="Comma 3 6" xfId="327"/>
    <cellStyle name="Comma 4" xfId="264"/>
    <cellStyle name="Comma 4 2" xfId="328"/>
    <cellStyle name="Comma 5" xfId="265"/>
    <cellStyle name="Comma 6" xfId="266"/>
    <cellStyle name="Comma 7" xfId="285"/>
    <cellStyle name="Comma 8" xfId="286"/>
    <cellStyle name="Comma 9" xfId="329"/>
    <cellStyle name="Comma 9 2" xfId="330"/>
    <cellStyle name="Comma 9 3" xfId="331"/>
    <cellStyle name="Comma0" xfId="111"/>
    <cellStyle name="Currency" xfId="31" builtinId="4"/>
    <cellStyle name="Currency 11" xfId="112"/>
    <cellStyle name="Currency 11 2" xfId="203"/>
    <cellStyle name="Currency 2" xfId="113"/>
    <cellStyle name="Currency 2 2" xfId="204"/>
    <cellStyle name="Currency 2 3" xfId="332"/>
    <cellStyle name="Currency 3" xfId="114"/>
    <cellStyle name="Currency 3 2" xfId="205"/>
    <cellStyle name="Currency 4" xfId="115"/>
    <cellStyle name="Currency 4 2" xfId="206"/>
    <cellStyle name="Currency 5" xfId="333"/>
    <cellStyle name="Currency 6" xfId="334"/>
    <cellStyle name="Currency 6 2" xfId="335"/>
    <cellStyle name="Currency 6 3" xfId="336"/>
    <cellStyle name="Currency 7" xfId="337"/>
    <cellStyle name="D4_B8B1_005004B79812_.wvu.PrintTitlest" xfId="116"/>
    <cellStyle name="Date" xfId="117"/>
    <cellStyle name="Date 2" xfId="207"/>
    <cellStyle name="dms_Blue_HDR" xfId="304"/>
    <cellStyle name="Emphasis 1" xfId="118"/>
    <cellStyle name="Emphasis 2" xfId="119"/>
    <cellStyle name="Emphasis 3" xfId="120"/>
    <cellStyle name="Euro" xfId="121"/>
    <cellStyle name="Explanatory Text" xfId="32" builtinId="53" customBuiltin="1"/>
    <cellStyle name="Explanatory Text 2" xfId="267"/>
    <cellStyle name="Fixed" xfId="122"/>
    <cellStyle name="Fixed 2" xfId="208"/>
    <cellStyle name="Gilsans" xfId="123"/>
    <cellStyle name="Gilsansl" xfId="124"/>
    <cellStyle name="Good" xfId="33" builtinId="26" customBuiltin="1"/>
    <cellStyle name="Good 2" xfId="268"/>
    <cellStyle name="Heading 1" xfId="34" builtinId="16" customBuiltin="1"/>
    <cellStyle name="Heading 1 2" xfId="125"/>
    <cellStyle name="Heading 1 2 2" xfId="269"/>
    <cellStyle name="Heading 1 3" xfId="126"/>
    <cellStyle name="Heading 2" xfId="35" builtinId="17" customBuiltin="1"/>
    <cellStyle name="Heading 2 2" xfId="127"/>
    <cellStyle name="Heading 2 2 2" xfId="270"/>
    <cellStyle name="Heading 2 3" xfId="128"/>
    <cellStyle name="Heading 3" xfId="36" builtinId="18" customBuiltin="1"/>
    <cellStyle name="Heading 3 2" xfId="73"/>
    <cellStyle name="Heading 3 2 2" xfId="271"/>
    <cellStyle name="Heading 3 2 2 2" xfId="338"/>
    <cellStyle name="Heading 3 2 2 2 2" xfId="339"/>
    <cellStyle name="Heading 3 2 2 2 2 2" xfId="340"/>
    <cellStyle name="Heading 3 2 2 2 2 3" xfId="341"/>
    <cellStyle name="Heading 3 2 2 2 2 4" xfId="342"/>
    <cellStyle name="Heading 3 2 2 2 3" xfId="343"/>
    <cellStyle name="Heading 3 2 2 2 4" xfId="344"/>
    <cellStyle name="Heading 3 2 2 2 5" xfId="345"/>
    <cellStyle name="Heading 3 2 2 3" xfId="346"/>
    <cellStyle name="Heading 3 2 2 3 2" xfId="347"/>
    <cellStyle name="Heading 3 2 2 3 2 2" xfId="348"/>
    <cellStyle name="Heading 3 2 2 3 2 3" xfId="349"/>
    <cellStyle name="Heading 3 2 2 3 2 4" xfId="350"/>
    <cellStyle name="Heading 3 2 2 3 3" xfId="351"/>
    <cellStyle name="Heading 3 2 2 3 4" xfId="352"/>
    <cellStyle name="Heading 3 2 2 3 5" xfId="353"/>
    <cellStyle name="Heading 3 2 2 4" xfId="354"/>
    <cellStyle name="Heading 3 2 2 4 2" xfId="355"/>
    <cellStyle name="Heading 3 2 2 4 3" xfId="356"/>
    <cellStyle name="Heading 3 2 2 4 4" xfId="357"/>
    <cellStyle name="Heading 3 2 2 5" xfId="358"/>
    <cellStyle name="Heading 3 2 2 5 2" xfId="359"/>
    <cellStyle name="Heading 3 2 2 5 3" xfId="360"/>
    <cellStyle name="Heading 3 2 3" xfId="129"/>
    <cellStyle name="Heading 3 2 4" xfId="361"/>
    <cellStyle name="Heading 3 2 4 2" xfId="362"/>
    <cellStyle name="Heading 3 2 4 2 2" xfId="363"/>
    <cellStyle name="Heading 3 2 4 2 3" xfId="364"/>
    <cellStyle name="Heading 3 2 4 2 4" xfId="365"/>
    <cellStyle name="Heading 3 2 4 3" xfId="366"/>
    <cellStyle name="Heading 3 2 4 4" xfId="367"/>
    <cellStyle name="Heading 3 2 4 5" xfId="368"/>
    <cellStyle name="Heading 3 2 5" xfId="369"/>
    <cellStyle name="Heading 3 2 5 2" xfId="370"/>
    <cellStyle name="Heading 3 2 5 2 2" xfId="371"/>
    <cellStyle name="Heading 3 2 5 2 3" xfId="372"/>
    <cellStyle name="Heading 3 2 5 2 4" xfId="373"/>
    <cellStyle name="Heading 3 2 5 3" xfId="374"/>
    <cellStyle name="Heading 3 2 5 4" xfId="375"/>
    <cellStyle name="Heading 3 2 5 5" xfId="376"/>
    <cellStyle name="Heading 3 2 6" xfId="377"/>
    <cellStyle name="Heading 3 2 6 2" xfId="378"/>
    <cellStyle name="Heading 3 2 6 3" xfId="379"/>
    <cellStyle name="Heading 3 2 6 4" xfId="380"/>
    <cellStyle name="Heading 3 2 7" xfId="381"/>
    <cellStyle name="Heading 3 2 7 2" xfId="382"/>
    <cellStyle name="Heading 3 2 7 3" xfId="383"/>
    <cellStyle name="Heading 3 3" xfId="130"/>
    <cellStyle name="Heading 4" xfId="37" builtinId="19" customBuiltin="1"/>
    <cellStyle name="Heading 4 2" xfId="131"/>
    <cellStyle name="Heading 4 2 2" xfId="272"/>
    <cellStyle name="Heading 4 3" xfId="132"/>
    <cellStyle name="Heading(4)" xfId="133"/>
    <cellStyle name="Hyperlink" xfId="38" builtinId="8"/>
    <cellStyle name="Hyperlink 2" xfId="134"/>
    <cellStyle name="Hyperlink 2 2" xfId="384"/>
    <cellStyle name="Hyperlink 2 3" xfId="385"/>
    <cellStyle name="Hyperlink 3" xfId="386"/>
    <cellStyle name="Hyperlink 4" xfId="387"/>
    <cellStyle name="Hyperlink Arrow" xfId="135"/>
    <cellStyle name="Hyperlink Text" xfId="136"/>
    <cellStyle name="import" xfId="388"/>
    <cellStyle name="import%" xfId="389"/>
    <cellStyle name="import_ICRC Electricity model 1-1  (1 Feb 2003) " xfId="51"/>
    <cellStyle name="Input" xfId="39" builtinId="20" customBuiltin="1"/>
    <cellStyle name="Input 2" xfId="74"/>
    <cellStyle name="Input 2 2" xfId="390"/>
    <cellStyle name="Input 2 3" xfId="391"/>
    <cellStyle name="Input1" xfId="137"/>
    <cellStyle name="Input1 2" xfId="209"/>
    <cellStyle name="Input1 2 2" xfId="392"/>
    <cellStyle name="Input1 3" xfId="393"/>
    <cellStyle name="Input1 3 2" xfId="394"/>
    <cellStyle name="Input1 4" xfId="395"/>
    <cellStyle name="Input1 5" xfId="396"/>
    <cellStyle name="Input1%" xfId="397"/>
    <cellStyle name="Input1_ICRC Electricity model 1-1  (1 Feb 2003) " xfId="52"/>
    <cellStyle name="Input1default" xfId="398"/>
    <cellStyle name="Input1default%" xfId="399"/>
    <cellStyle name="Input2" xfId="138"/>
    <cellStyle name="Input2 2" xfId="210"/>
    <cellStyle name="Input2 3" xfId="400"/>
    <cellStyle name="Input3" xfId="139"/>
    <cellStyle name="Input3 2" xfId="211"/>
    <cellStyle name="Input3 3" xfId="401"/>
    <cellStyle name="InputCell" xfId="402"/>
    <cellStyle name="InputCell 2" xfId="403"/>
    <cellStyle name="InputCell 3" xfId="404"/>
    <cellStyle name="InputCellText" xfId="405"/>
    <cellStyle name="InputCellText 2" xfId="406"/>
    <cellStyle name="InputCellText 3" xfId="407"/>
    <cellStyle name="key result" xfId="408"/>
    <cellStyle name="Lines" xfId="140"/>
    <cellStyle name="Linked Cell" xfId="40" builtinId="24" customBuiltin="1"/>
    <cellStyle name="Linked Cell 2" xfId="273"/>
    <cellStyle name="Local import" xfId="409"/>
    <cellStyle name="Local import %" xfId="410"/>
    <cellStyle name="Mine" xfId="141"/>
    <cellStyle name="Model Name" xfId="142"/>
    <cellStyle name="Neutral" xfId="41" builtinId="28" customBuiltin="1"/>
    <cellStyle name="Neutral 2" xfId="274"/>
    <cellStyle name="NonInputCell" xfId="411"/>
    <cellStyle name="NonInputCell 2" xfId="412"/>
    <cellStyle name="NonInputCell 3" xfId="413"/>
    <cellStyle name="Normal" xfId="0" builtinId="0"/>
    <cellStyle name="Normal - Style1" xfId="143"/>
    <cellStyle name="Normal 10" xfId="305"/>
    <cellStyle name="Normal 10 2" xfId="306"/>
    <cellStyle name="Normal 11" xfId="414"/>
    <cellStyle name="Normal 11 2" xfId="415"/>
    <cellStyle name="Normal 11 3" xfId="416"/>
    <cellStyle name="Normal 11 4" xfId="417"/>
    <cellStyle name="Normal 114" xfId="418"/>
    <cellStyle name="Normal 114 2" xfId="419"/>
    <cellStyle name="Normal 12" xfId="420"/>
    <cellStyle name="Normal 12 2" xfId="421"/>
    <cellStyle name="Normal 13" xfId="144"/>
    <cellStyle name="Normal 13 2" xfId="212"/>
    <cellStyle name="Normal 13_29(d) - Gas extensions -tariffs" xfId="291"/>
    <cellStyle name="Normal 14" xfId="310"/>
    <cellStyle name="Normal 14 2" xfId="422"/>
    <cellStyle name="Normal 14 3" xfId="423"/>
    <cellStyle name="Normal 14 3 2" xfId="424"/>
    <cellStyle name="Normal 14 3 3" xfId="425"/>
    <cellStyle name="Normal 14 4" xfId="426"/>
    <cellStyle name="Normal 14 5" xfId="427"/>
    <cellStyle name="Normal 15" xfId="287"/>
    <cellStyle name="Normal 15 2" xfId="428"/>
    <cellStyle name="Normal 16" xfId="288"/>
    <cellStyle name="Normal 16 2" xfId="429"/>
    <cellStyle name="Normal 17" xfId="430"/>
    <cellStyle name="Normal 17 2" xfId="431"/>
    <cellStyle name="Normal 17 2 2" xfId="432"/>
    <cellStyle name="Normal 17 2 2 2" xfId="433"/>
    <cellStyle name="Normal 17 2 2 3" xfId="434"/>
    <cellStyle name="Normal 17 2 3" xfId="435"/>
    <cellStyle name="Normal 17 2 4" xfId="436"/>
    <cellStyle name="Normal 17 3" xfId="437"/>
    <cellStyle name="Normal 17 3 2" xfId="438"/>
    <cellStyle name="Normal 17 3 2 2" xfId="439"/>
    <cellStyle name="Normal 17 3 2 3" xfId="440"/>
    <cellStyle name="Normal 17 3 3" xfId="441"/>
    <cellStyle name="Normal 17 3 4" xfId="442"/>
    <cellStyle name="Normal 17 4" xfId="443"/>
    <cellStyle name="Normal 17 4 2" xfId="444"/>
    <cellStyle name="Normal 17 4 3" xfId="445"/>
    <cellStyle name="Normal 17 5" xfId="446"/>
    <cellStyle name="Normal 17 6" xfId="447"/>
    <cellStyle name="Normal 18" xfId="448"/>
    <cellStyle name="Normal 18 2" xfId="449"/>
    <cellStyle name="Normal 19" xfId="450"/>
    <cellStyle name="Normal 2" xfId="24"/>
    <cellStyle name="Normal 2 2" xfId="145"/>
    <cellStyle name="Normal 2 2 2" xfId="275"/>
    <cellStyle name="Normal 2 2 3" xfId="451"/>
    <cellStyle name="Normal 2 2 4" xfId="452"/>
    <cellStyle name="Normal 2 2 5" xfId="453"/>
    <cellStyle name="Normal 2 3" xfId="146"/>
    <cellStyle name="Normal 2 3 2" xfId="214"/>
    <cellStyle name="Normal 2 3_29(d) - Gas extensions -tariffs" xfId="293"/>
    <cellStyle name="Normal 2 4" xfId="213"/>
    <cellStyle name="Normal 2 4 2" xfId="454"/>
    <cellStyle name="Normal 2 4 3" xfId="455"/>
    <cellStyle name="Normal 2 5" xfId="276"/>
    <cellStyle name="Normal 2_29(d) - Gas extensions -tariffs" xfId="292"/>
    <cellStyle name="Normal 20" xfId="456"/>
    <cellStyle name="Normal 20 2" xfId="457"/>
    <cellStyle name="Normal 20 2 2" xfId="458"/>
    <cellStyle name="Normal 20 3" xfId="459"/>
    <cellStyle name="Normal 20 4" xfId="460"/>
    <cellStyle name="Normal 21" xfId="461"/>
    <cellStyle name="Normal 21 2" xfId="462"/>
    <cellStyle name="Normal 21 3" xfId="463"/>
    <cellStyle name="Normal 22" xfId="464"/>
    <cellStyle name="Normal 23" xfId="465"/>
    <cellStyle name="Normal 23 2" xfId="466"/>
    <cellStyle name="Normal 23 2 2" xfId="467"/>
    <cellStyle name="Normal 23 3" xfId="468"/>
    <cellStyle name="Normal 23 4" xfId="469"/>
    <cellStyle name="Normal 24" xfId="470"/>
    <cellStyle name="Normal 24 2" xfId="471"/>
    <cellStyle name="Normal 24 2 2" xfId="472"/>
    <cellStyle name="Normal 24 3" xfId="473"/>
    <cellStyle name="Normal 24 4" xfId="474"/>
    <cellStyle name="Normal 25" xfId="475"/>
    <cellStyle name="Normal 25 2" xfId="476"/>
    <cellStyle name="Normal 25 2 2" xfId="477"/>
    <cellStyle name="Normal 25 3" xfId="478"/>
    <cellStyle name="Normal 25 4" xfId="479"/>
    <cellStyle name="Normal 26" xfId="480"/>
    <cellStyle name="Normal 26 2" xfId="481"/>
    <cellStyle name="Normal 26 2 2" xfId="482"/>
    <cellStyle name="Normal 26 3" xfId="483"/>
    <cellStyle name="Normal 26 4" xfId="484"/>
    <cellStyle name="Normal 27" xfId="485"/>
    <cellStyle name="Normal 28" xfId="309"/>
    <cellStyle name="Normal 29" xfId="486"/>
    <cellStyle name="Normal 3" xfId="147"/>
    <cellStyle name="Normal 3 2" xfId="215"/>
    <cellStyle name="Normal 3 3" xfId="487"/>
    <cellStyle name="Normal 3 3 2" xfId="488"/>
    <cellStyle name="Normal 3 3 3" xfId="489"/>
    <cellStyle name="Normal 3 4" xfId="490"/>
    <cellStyle name="Normal 3 5" xfId="491"/>
    <cellStyle name="Normal 3 5 2" xfId="492"/>
    <cellStyle name="Normal 3 5 3" xfId="493"/>
    <cellStyle name="Normal 3_29(d) - Gas extensions -tariffs" xfId="294"/>
    <cellStyle name="Normal 30" xfId="494"/>
    <cellStyle name="Normal 31" xfId="495"/>
    <cellStyle name="Normal 32" xfId="307"/>
    <cellStyle name="Normal 33" xfId="496"/>
    <cellStyle name="Normal 34" xfId="497"/>
    <cellStyle name="Normal 38" xfId="148"/>
    <cellStyle name="Normal 38 2" xfId="216"/>
    <cellStyle name="Normal 38_29(d) - Gas extensions -tariffs" xfId="295"/>
    <cellStyle name="Normal 4" xfId="149"/>
    <cellStyle name="Normal 4 2" xfId="217"/>
    <cellStyle name="Normal 4 2 2" xfId="498"/>
    <cellStyle name="Normal 4 2 2 2" xfId="499"/>
    <cellStyle name="Normal 4 2 2 2 2" xfId="500"/>
    <cellStyle name="Normal 4 2 2 2 3" xfId="501"/>
    <cellStyle name="Normal 4 2 2 3" xfId="502"/>
    <cellStyle name="Normal 4 2 2 4" xfId="503"/>
    <cellStyle name="Normal 4 2 3" xfId="504"/>
    <cellStyle name="Normal 4 2 3 2" xfId="505"/>
    <cellStyle name="Normal 4 2 3 2 2" xfId="506"/>
    <cellStyle name="Normal 4 2 3 2 3" xfId="507"/>
    <cellStyle name="Normal 4 2 3 3" xfId="508"/>
    <cellStyle name="Normal 4 2 3 4" xfId="509"/>
    <cellStyle name="Normal 4 3" xfId="277"/>
    <cellStyle name="Normal 4 3 2" xfId="510"/>
    <cellStyle name="Normal 4 3 2 2" xfId="511"/>
    <cellStyle name="Normal 4 3 2 3" xfId="512"/>
    <cellStyle name="Normal 4 3 3" xfId="513"/>
    <cellStyle name="Normal 4 3 3 2" xfId="514"/>
    <cellStyle name="Normal 4 3 4" xfId="515"/>
    <cellStyle name="Normal 4 4" xfId="516"/>
    <cellStyle name="Normal 4 5" xfId="517"/>
    <cellStyle name="Normal 4 6" xfId="518"/>
    <cellStyle name="Normal 4_29(d) - Gas extensions -tariffs" xfId="296"/>
    <cellStyle name="Normal 40" xfId="150"/>
    <cellStyle name="Normal 40 2" xfId="218"/>
    <cellStyle name="Normal 40_29(d) - Gas extensions -tariffs" xfId="297"/>
    <cellStyle name="Normal 5" xfId="151"/>
    <cellStyle name="Normal 5 2" xfId="278"/>
    <cellStyle name="Normal 5 3" xfId="519"/>
    <cellStyle name="Normal 6" xfId="152"/>
    <cellStyle name="Normal 6 2" xfId="279"/>
    <cellStyle name="Normal 6 2 2" xfId="520"/>
    <cellStyle name="Normal 7" xfId="196"/>
    <cellStyle name="Normal 7 2" xfId="280"/>
    <cellStyle name="Normal 7 2 2" xfId="521"/>
    <cellStyle name="Normal 7 2 2 2" xfId="522"/>
    <cellStyle name="Normal 7 2 2 3" xfId="523"/>
    <cellStyle name="Normal 7 2 3" xfId="524"/>
    <cellStyle name="Normal 7 2 4" xfId="525"/>
    <cellStyle name="Normal 8" xfId="233"/>
    <cellStyle name="Normal 8 2" xfId="526"/>
    <cellStyle name="Normal 8 2 2" xfId="527"/>
    <cellStyle name="Normal 8 2 3" xfId="528"/>
    <cellStyle name="Normal 8 2 3 2" xfId="529"/>
    <cellStyle name="Normal 8 2 3 3" xfId="530"/>
    <cellStyle name="Normal 8 2 4" xfId="531"/>
    <cellStyle name="Normal 9" xfId="281"/>
    <cellStyle name="Normal 9 2" xfId="532"/>
    <cellStyle name="Normal_2010 06 22 - IE - Scheme Template for data collection 2" xfId="533"/>
    <cellStyle name="Normal_2010 07 28 - AA - Template for data collection 2" xfId="308"/>
    <cellStyle name="Note" xfId="42" builtinId="10" customBuiltin="1"/>
    <cellStyle name="Note 2" xfId="75"/>
    <cellStyle name="Note 2 2" xfId="534"/>
    <cellStyle name="Note 2 3" xfId="535"/>
    <cellStyle name="Note 3" xfId="536"/>
    <cellStyle name="Note 3 2" xfId="537"/>
    <cellStyle name="Note 3 3" xfId="538"/>
    <cellStyle name="Note 4" xfId="539"/>
    <cellStyle name="Note 4 2" xfId="540"/>
    <cellStyle name="Note 4 3" xfId="541"/>
    <cellStyle name="Output" xfId="43" builtinId="21" customBuiltin="1"/>
    <cellStyle name="Output 2" xfId="76"/>
    <cellStyle name="Output 2 2" xfId="542"/>
    <cellStyle name="Output 2 3" xfId="543"/>
    <cellStyle name="Percent" xfId="44" builtinId="5"/>
    <cellStyle name="Percent [2]" xfId="153"/>
    <cellStyle name="Percent [2] 2" xfId="219"/>
    <cellStyle name="Percent [2]_29(d) - Gas extensions -tariffs" xfId="298"/>
    <cellStyle name="Percent 12" xfId="544"/>
    <cellStyle name="Percent 12 2" xfId="545"/>
    <cellStyle name="Percent 12 2 2" xfId="546"/>
    <cellStyle name="Percent 12 3" xfId="547"/>
    <cellStyle name="Percent 12 4" xfId="548"/>
    <cellStyle name="Percent 2" xfId="154"/>
    <cellStyle name="Percent 2 2" xfId="220"/>
    <cellStyle name="Percent 2 2 2" xfId="549"/>
    <cellStyle name="Percent 2 2 2 2" xfId="550"/>
    <cellStyle name="Percent 2 2 2 2 2" xfId="551"/>
    <cellStyle name="Percent 2 2 2 2 3" xfId="552"/>
    <cellStyle name="Percent 2 2 2 3" xfId="553"/>
    <cellStyle name="Percent 2 2 2 4" xfId="554"/>
    <cellStyle name="Percent 2 2 3" xfId="555"/>
    <cellStyle name="Percent 2 2 3 2" xfId="556"/>
    <cellStyle name="Percent 2 2 3 2 2" xfId="557"/>
    <cellStyle name="Percent 2 2 3 2 3" xfId="558"/>
    <cellStyle name="Percent 2 2 3 3" xfId="559"/>
    <cellStyle name="Percent 2 2 3 4" xfId="560"/>
    <cellStyle name="Percent 2 3" xfId="561"/>
    <cellStyle name="Percent 2 3 2" xfId="562"/>
    <cellStyle name="Percent 2 3 2 2" xfId="563"/>
    <cellStyle name="Percent 2 3 2 3" xfId="564"/>
    <cellStyle name="Percent 2 3 3" xfId="565"/>
    <cellStyle name="Percent 2 3 4" xfId="566"/>
    <cellStyle name="Percent 2 4" xfId="567"/>
    <cellStyle name="Percent 2 4 2" xfId="568"/>
    <cellStyle name="Percent 2 4 2 2" xfId="569"/>
    <cellStyle name="Percent 2 4 2 3" xfId="570"/>
    <cellStyle name="Percent 2 4 3" xfId="571"/>
    <cellStyle name="Percent 2 4 4" xfId="572"/>
    <cellStyle name="Percent 3" xfId="155"/>
    <cellStyle name="Percent 3 2" xfId="221"/>
    <cellStyle name="Percent 3 4" xfId="573"/>
    <cellStyle name="Percent 3 4 2" xfId="574"/>
    <cellStyle name="Percent 3 4 3" xfId="575"/>
    <cellStyle name="Percent 4" xfId="282"/>
    <cellStyle name="Percent 5" xfId="576"/>
    <cellStyle name="Percent 5 2" xfId="577"/>
    <cellStyle name="Percent 5 3" xfId="578"/>
    <cellStyle name="Percent 6" xfId="579"/>
    <cellStyle name="Percent 7" xfId="289"/>
    <cellStyle name="Percent 8" xfId="580"/>
    <cellStyle name="Percentage" xfId="156"/>
    <cellStyle name="Period Title" xfId="157"/>
    <cellStyle name="PSChar" xfId="158"/>
    <cellStyle name="PSDate" xfId="159"/>
    <cellStyle name="PSDec" xfId="160"/>
    <cellStyle name="PSDetail" xfId="161"/>
    <cellStyle name="PSHeading" xfId="162"/>
    <cellStyle name="PSHeading 2" xfId="581"/>
    <cellStyle name="PSHeading 2 2" xfId="582"/>
    <cellStyle name="PSHeading 3" xfId="583"/>
    <cellStyle name="PSHeading 3 2" xfId="584"/>
    <cellStyle name="PSHeading 3 2 2" xfId="585"/>
    <cellStyle name="PSHeading 4" xfId="586"/>
    <cellStyle name="PSInt" xfId="163"/>
    <cellStyle name="PSSpacer" xfId="164"/>
    <cellStyle name="Ratio" xfId="165"/>
    <cellStyle name="Ratio 2" xfId="222"/>
    <cellStyle name="Ratio_29(d) - Gas extensions -tariffs" xfId="299"/>
    <cellStyle name="Right Date" xfId="166"/>
    <cellStyle name="Right Number" xfId="167"/>
    <cellStyle name="Right Year" xfId="168"/>
    <cellStyle name="RIN_Input$_3dp" xfId="587"/>
    <cellStyle name="SAPError" xfId="169"/>
    <cellStyle name="SAPError 2" xfId="223"/>
    <cellStyle name="SAPKey" xfId="170"/>
    <cellStyle name="SAPKey 2" xfId="224"/>
    <cellStyle name="SAPLocked" xfId="171"/>
    <cellStyle name="SAPLocked 2" xfId="225"/>
    <cellStyle name="SAPOutput" xfId="172"/>
    <cellStyle name="SAPOutput 2" xfId="226"/>
    <cellStyle name="SAPSpace" xfId="173"/>
    <cellStyle name="SAPSpace 2" xfId="227"/>
    <cellStyle name="SAPText" xfId="174"/>
    <cellStyle name="SAPText 2" xfId="228"/>
    <cellStyle name="SAPUnLocked" xfId="175"/>
    <cellStyle name="SAPUnLocked 2" xfId="229"/>
    <cellStyle name="Sheet Title" xfId="176"/>
    <cellStyle name="SheetHeader1" xfId="588"/>
    <cellStyle name="Style 1" xfId="177"/>
    <cellStyle name="Style 1 2" xfId="230"/>
    <cellStyle name="Style 1 2 2" xfId="589"/>
    <cellStyle name="Style 1 3" xfId="590"/>
    <cellStyle name="Style 1 3 2" xfId="591"/>
    <cellStyle name="Style 1 3 3" xfId="592"/>
    <cellStyle name="Style 1 4" xfId="593"/>
    <cellStyle name="Style 1_29(d) - Gas extensions -tariffs" xfId="300"/>
    <cellStyle name="Style2" xfId="178"/>
    <cellStyle name="Style3" xfId="179"/>
    <cellStyle name="Style4" xfId="180"/>
    <cellStyle name="Style4 2" xfId="231"/>
    <cellStyle name="Style4_29(d) - Gas extensions -tariffs" xfId="301"/>
    <cellStyle name="Style5" xfId="181"/>
    <cellStyle name="Style5 2" xfId="232"/>
    <cellStyle name="Style5_29(d) - Gas extensions -tariffs" xfId="302"/>
    <cellStyle name="Table Head Green" xfId="182"/>
    <cellStyle name="Table Head_pldt" xfId="183"/>
    <cellStyle name="Table Source" xfId="184"/>
    <cellStyle name="Table Units" xfId="185"/>
    <cellStyle name="TableLvl2" xfId="594"/>
    <cellStyle name="TableLvl3" xfId="595"/>
    <cellStyle name="Text" xfId="186"/>
    <cellStyle name="Text 2" xfId="187"/>
    <cellStyle name="Text 3" xfId="234"/>
    <cellStyle name="Text Head 1" xfId="188"/>
    <cellStyle name="Text Head 2" xfId="189"/>
    <cellStyle name="Text Indent 2" xfId="190"/>
    <cellStyle name="Theirs" xfId="191"/>
    <cellStyle name="Title" xfId="45" builtinId="15" customBuiltin="1"/>
    <cellStyle name="Title 2" xfId="283"/>
    <cellStyle name="TOC 1" xfId="192"/>
    <cellStyle name="TOC 2" xfId="193"/>
    <cellStyle name="TOC 3" xfId="194"/>
    <cellStyle name="Total" xfId="46" builtinId="25" customBuiltin="1"/>
    <cellStyle name="Total 2" xfId="77"/>
    <cellStyle name="Total 2 2" xfId="596"/>
    <cellStyle name="Total 2 3" xfId="597"/>
    <cellStyle name="Warning Text" xfId="47" builtinId="11" customBuiltin="1"/>
    <cellStyle name="Warning Text 2" xfId="284"/>
    <cellStyle name="year" xfId="195"/>
    <cellStyle name="year 2" xfId="235"/>
    <cellStyle name="year_29(d) - Gas extensions -tariffs" xfId="303"/>
  </cellStyles>
  <dxfs count="31">
    <dxf>
      <font>
        <b/>
        <i val="0"/>
        <color rgb="FFFF0000"/>
      </font>
    </dxf>
    <dxf>
      <font>
        <b/>
        <i val="0"/>
        <color rgb="FFFF0000"/>
      </font>
    </dxf>
    <dxf>
      <font>
        <color theme="0" tint="-0.34998626667073579"/>
      </font>
    </dxf>
    <dxf>
      <font>
        <color theme="0" tint="-0.34998626667073579"/>
      </font>
    </dxf>
    <dxf>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numFmt numFmtId="30" formatCode="@"/>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medium">
          <color auto="1"/>
        </left>
        <right style="thin">
          <color theme="0" tint="-0.24994659260841701"/>
        </right>
        <top style="thin">
          <color theme="0" tint="-0.24994659260841701"/>
        </top>
        <bottom style="thin">
          <color theme="0" tint="-0.24994659260841701"/>
        </bottom>
        <vertical/>
        <horizontal/>
      </border>
    </dxf>
    <dxf>
      <numFmt numFmtId="30" formatCode="@"/>
      <alignment horizontal="general"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medium">
          <color auto="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medium">
          <color indexed="64"/>
        </left>
        <right style="thin">
          <color theme="0" tint="-0.24994659260841701"/>
        </right>
        <top style="thin">
          <color theme="0" tint="-0.24994659260841701"/>
        </top>
        <bottom style="thin">
          <color theme="0" tint="-0.24994659260841701"/>
        </bottom>
        <vertical/>
        <horizontal/>
      </border>
    </dxf>
    <dxf>
      <numFmt numFmtId="1" formatCode="0"/>
      <alignment horizontal="center" vertical="top"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alignment horizontal="center"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center"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medium">
          <color indexed="64"/>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numFmt numFmtId="179" formatCode="##\ ###\ ###\ ###\ ##0"/>
      <fill>
        <patternFill patternType="solid">
          <fgColor indexed="64"/>
          <bgColor theme="0"/>
        </patternFill>
      </fill>
      <alignment horizontal="left" vertical="top" textRotation="0" wrapText="0" indent="0" justifyLastLine="0" shrinkToFit="0" readingOrder="0"/>
      <border diagonalUp="0" diagonalDown="0">
        <left style="thin">
          <color theme="0" tint="-0.34998626667073579"/>
        </left>
        <right/>
        <top style="thin">
          <color theme="0" tint="-0.34998626667073579"/>
        </top>
        <bottom style="thin">
          <color theme="0" tint="-0.34998626667073579"/>
        </bottom>
        <vertical/>
        <horizontal/>
      </border>
      <protection locked="1" hidden="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medium">
          <color indexed="64"/>
        </left>
        <right style="thin">
          <color theme="0" tint="-0.34998626667073579"/>
        </right>
        <top style="thin">
          <color theme="0" tint="-0.34998626667073579"/>
        </top>
        <bottom style="thin">
          <color theme="0" tint="-0.34998626667073579"/>
        </bottom>
        <vertical/>
        <horizontal/>
      </border>
      <protection locked="1" hidden="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1" hidden="0"/>
    </dxf>
    <dxf>
      <border outline="0">
        <left style="medium">
          <color indexed="64"/>
        </left>
        <top style="medium">
          <color indexed="64"/>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s>
  <tableStyles count="0" defaultTableStyle="TableStyleMedium2" defaultPivotStyle="PivotStyleLight16"/>
  <colors>
    <mruColors>
      <color rgb="FFFFFFCC"/>
      <color rgb="FFCCFFFF"/>
      <color rgb="FF333399"/>
      <color rgb="FF99FF99"/>
      <color rgb="FFCCFFCC"/>
      <color rgb="FFFF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hyperlink" Target="#'23.2 Opex excl. RPM'!A1"/><Relationship Id="rId13" Type="http://schemas.openxmlformats.org/officeDocument/2006/relationships/hyperlink" Target="#Instructions!A1"/><Relationship Id="rId18" Type="http://schemas.openxmlformats.org/officeDocument/2006/relationships/hyperlink" Target="#'6. Mains replacement'!A1"/><Relationship Id="rId26" Type="http://schemas.openxmlformats.org/officeDocument/2006/relationships/hyperlink" Target="#'27. Customer numbers'!A1"/><Relationship Id="rId3" Type="http://schemas.openxmlformats.org/officeDocument/2006/relationships/hyperlink" Target="#'16. Capex allocation'!A1"/><Relationship Id="rId21" Type="http://schemas.openxmlformats.org/officeDocument/2006/relationships/hyperlink" Target="#'9. Other capex'!A1"/><Relationship Id="rId34" Type="http://schemas.openxmlformats.org/officeDocument/2006/relationships/hyperlink" Target="#'20. Changes in provisions'!A1"/><Relationship Id="rId7" Type="http://schemas.openxmlformats.org/officeDocument/2006/relationships/hyperlink" Target="#'23.1 Opex incl. RPM'!A1"/><Relationship Id="rId12" Type="http://schemas.openxmlformats.org/officeDocument/2006/relationships/hyperlink" Target="#'15. Related party transactions'!A1"/><Relationship Id="rId17" Type="http://schemas.openxmlformats.org/officeDocument/2006/relationships/hyperlink" Target="#'5. Mains augmentation'!A1"/><Relationship Id="rId25" Type="http://schemas.openxmlformats.org/officeDocument/2006/relationships/hyperlink" Target="#'26. Allocation of total revenue'!A1"/><Relationship Id="rId33" Type="http://schemas.openxmlformats.org/officeDocument/2006/relationships/hyperlink" Target="#'30. Network characteristics'!A1"/><Relationship Id="rId2" Type="http://schemas.openxmlformats.org/officeDocument/2006/relationships/hyperlink" Target="#'14. Overheads'!A1"/><Relationship Id="rId16" Type="http://schemas.openxmlformats.org/officeDocument/2006/relationships/hyperlink" Target="#'4. Connections market expansn'!A1"/><Relationship Id="rId20" Type="http://schemas.openxmlformats.org/officeDocument/2006/relationships/hyperlink" Target="#'8. Meter replacement'!A1"/><Relationship Id="rId29" Type="http://schemas.openxmlformats.org/officeDocument/2006/relationships/hyperlink" Target="#'29.3 Gas extensions - demand'!A1"/><Relationship Id="rId1" Type="http://schemas.openxmlformats.org/officeDocument/2006/relationships/image" Target="../media/image1.png"/><Relationship Id="rId6" Type="http://schemas.openxmlformats.org/officeDocument/2006/relationships/hyperlink" Target="#'22. WACC Inputs'!A1"/><Relationship Id="rId11" Type="http://schemas.openxmlformats.org/officeDocument/2006/relationships/hyperlink" Target="#'24. Cost category matrix'!A1"/><Relationship Id="rId24" Type="http://schemas.openxmlformats.org/officeDocument/2006/relationships/hyperlink" Target="#'25. ARS'!A1"/><Relationship Id="rId32" Type="http://schemas.openxmlformats.org/officeDocument/2006/relationships/hyperlink" Target="#'31 - Pass throughs'!A1"/><Relationship Id="rId5" Type="http://schemas.openxmlformats.org/officeDocument/2006/relationships/hyperlink" Target="#'21 - Indicative bill impacts'!A1"/><Relationship Id="rId15" Type="http://schemas.openxmlformats.org/officeDocument/2006/relationships/hyperlink" Target="#'2. Escalators'!A1"/><Relationship Id="rId23" Type="http://schemas.openxmlformats.org/officeDocument/2006/relationships/hyperlink" Target="#'Business &amp; other details'!A1"/><Relationship Id="rId28" Type="http://schemas.openxmlformats.org/officeDocument/2006/relationships/hyperlink" Target="#'29.1 Gas extenstions ($)'!A1"/><Relationship Id="rId10" Type="http://schemas.openxmlformats.org/officeDocument/2006/relationships/hyperlink" Target="#'23.4 Opex incentive mechanism'!A1"/><Relationship Id="rId19" Type="http://schemas.openxmlformats.org/officeDocument/2006/relationships/hyperlink" Target="#'7. Telemetry'!A1"/><Relationship Id="rId31" Type="http://schemas.openxmlformats.org/officeDocument/2006/relationships/hyperlink" Target="#'29.2 Gas extenstions cust no'!A1"/><Relationship Id="rId4" Type="http://schemas.openxmlformats.org/officeDocument/2006/relationships/hyperlink" Target="#'17. Gross Capex '!A1"/><Relationship Id="rId9" Type="http://schemas.openxmlformats.org/officeDocument/2006/relationships/hyperlink" Target="#'23.3 Opex rate-of-change'!A1"/><Relationship Id="rId14" Type="http://schemas.openxmlformats.org/officeDocument/2006/relationships/hyperlink" Target="#'1. CPI'!A1"/><Relationship Id="rId22" Type="http://schemas.openxmlformats.org/officeDocument/2006/relationships/hyperlink" Target="#'12. IT'!A1"/><Relationship Id="rId27" Type="http://schemas.openxmlformats.org/officeDocument/2006/relationships/hyperlink" Target="#'28. Consumption and demand'!A1"/><Relationship Id="rId30" Type="http://schemas.openxmlformats.org/officeDocument/2006/relationships/hyperlink" Target="#'29.4 Gas extensions - tariffs'!A1"/></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42</xdr:col>
      <xdr:colOff>155864</xdr:colOff>
      <xdr:row>6</xdr:row>
      <xdr:rowOff>294409</xdr:rowOff>
    </xdr:from>
    <xdr:to>
      <xdr:col>52</xdr:col>
      <xdr:colOff>77847</xdr:colOff>
      <xdr:row>12</xdr:row>
      <xdr:rowOff>37246</xdr:rowOff>
    </xdr:to>
    <xdr:grpSp>
      <xdr:nvGrpSpPr>
        <xdr:cNvPr id="2" name="Group 1"/>
        <xdr:cNvGrpSpPr/>
      </xdr:nvGrpSpPr>
      <xdr:grpSpPr>
        <a:xfrm>
          <a:off x="63320221" y="1546266"/>
          <a:ext cx="6045197" cy="1035516"/>
          <a:chOff x="6257924" y="76200"/>
          <a:chExt cx="5973778" cy="1034035"/>
        </a:xfrm>
      </xdr:grpSpPr>
      <xdr:grpSp>
        <xdr:nvGrpSpPr>
          <xdr:cNvPr id="3" name="Group 2"/>
          <xdr:cNvGrpSpPr/>
        </xdr:nvGrpSpPr>
        <xdr:grpSpPr>
          <a:xfrm>
            <a:off x="6257924" y="94034"/>
            <a:ext cx="1753561" cy="971060"/>
            <a:chOff x="11448892" y="2483864"/>
            <a:chExt cx="1750813" cy="517167"/>
          </a:xfrm>
        </xdr:grpSpPr>
        <xdr:sp macro="[0]!MarkConfidential" textlink="">
          <xdr:nvSpPr>
            <xdr:cNvPr id="10" name="Rounded Rectangle 9"/>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xdr:cNvGrpSpPr/>
        </xdr:nvGrpSpPr>
        <xdr:grpSpPr>
          <a:xfrm>
            <a:off x="9047916" y="76200"/>
            <a:ext cx="3183786" cy="1034035"/>
            <a:chOff x="8959453" y="47625"/>
            <a:chExt cx="3191911" cy="1037397"/>
          </a:xfrm>
        </xdr:grpSpPr>
        <xdr:sp macro="" textlink="">
          <xdr:nvSpPr>
            <xdr:cNvPr id="5" name="Rounded Rectangle 4"/>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xdr:cNvGrpSpPr/>
          </xdr:nvGrpSpPr>
          <xdr:grpSpPr>
            <a:xfrm>
              <a:off x="10422881" y="79536"/>
              <a:ext cx="1576451" cy="972629"/>
              <a:chOff x="24351211" y="420304"/>
              <a:chExt cx="1935032" cy="711040"/>
            </a:xfrm>
          </xdr:grpSpPr>
          <xdr:sp macro="[0]!dms_ReturnNonAmended" textlink="">
            <xdr:nvSpPr>
              <xdr:cNvPr id="8" name="Rounded Rectangle 7"/>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8"/>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425800</xdr:colOff>
      <xdr:row>0</xdr:row>
      <xdr:rowOff>74686</xdr:rowOff>
    </xdr:from>
    <xdr:to>
      <xdr:col>3</xdr:col>
      <xdr:colOff>1171386</xdr:colOff>
      <xdr:row>3</xdr:row>
      <xdr:rowOff>289903</xdr:rowOff>
    </xdr:to>
    <xdr:grpSp>
      <xdr:nvGrpSpPr>
        <xdr:cNvPr id="7" name="Group 6"/>
        <xdr:cNvGrpSpPr/>
      </xdr:nvGrpSpPr>
      <xdr:grpSpPr>
        <a:xfrm>
          <a:off x="425800" y="74686"/>
          <a:ext cx="745586" cy="1129617"/>
          <a:chOff x="0" y="1560739"/>
          <a:chExt cx="762000" cy="931132"/>
        </a:xfrm>
      </xdr:grpSpPr>
      <xdr:pic>
        <xdr:nvPicPr>
          <xdr:cNvPr id="8"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0"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13</xdr:col>
      <xdr:colOff>51954</xdr:colOff>
      <xdr:row>0</xdr:row>
      <xdr:rowOff>138545</xdr:rowOff>
    </xdr:from>
    <xdr:to>
      <xdr:col>15</xdr:col>
      <xdr:colOff>633053</xdr:colOff>
      <xdr:row>2</xdr:row>
      <xdr:rowOff>183761</xdr:rowOff>
    </xdr:to>
    <xdr:grpSp>
      <xdr:nvGrpSpPr>
        <xdr:cNvPr id="6" name="Group 5"/>
        <xdr:cNvGrpSpPr/>
      </xdr:nvGrpSpPr>
      <xdr:grpSpPr>
        <a:xfrm>
          <a:off x="16977879" y="138545"/>
          <a:ext cx="3105224" cy="654816"/>
          <a:chOff x="7608794" y="145676"/>
          <a:chExt cx="3047258" cy="652342"/>
        </a:xfrm>
      </xdr:grpSpPr>
      <xdr:sp macro="[0]!MarkConfidential" textlink="">
        <xdr:nvSpPr>
          <xdr:cNvPr id="11" name="Rounded Rectangle 10"/>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268940</xdr:colOff>
      <xdr:row>0</xdr:row>
      <xdr:rowOff>44823</xdr:rowOff>
    </xdr:from>
    <xdr:to>
      <xdr:col>3</xdr:col>
      <xdr:colOff>1277469</xdr:colOff>
      <xdr:row>3</xdr:row>
      <xdr:rowOff>156882</xdr:rowOff>
    </xdr:to>
    <xdr:grpSp>
      <xdr:nvGrpSpPr>
        <xdr:cNvPr id="9" name="Group 8"/>
        <xdr:cNvGrpSpPr/>
      </xdr:nvGrpSpPr>
      <xdr:grpSpPr>
        <a:xfrm>
          <a:off x="268940" y="44823"/>
          <a:ext cx="1008529" cy="1010130"/>
          <a:chOff x="0" y="1560739"/>
          <a:chExt cx="762000" cy="931132"/>
        </a:xfrm>
      </xdr:grpSpPr>
      <xdr:pic>
        <xdr:nvPicPr>
          <xdr:cNvPr id="10"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2"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217714</xdr:colOff>
      <xdr:row>0</xdr:row>
      <xdr:rowOff>136071</xdr:rowOff>
    </xdr:from>
    <xdr:to>
      <xdr:col>13</xdr:col>
      <xdr:colOff>184017</xdr:colOff>
      <xdr:row>2</xdr:row>
      <xdr:rowOff>206028</xdr:rowOff>
    </xdr:to>
    <xdr:grpSp>
      <xdr:nvGrpSpPr>
        <xdr:cNvPr id="6" name="Group 5"/>
        <xdr:cNvGrpSpPr/>
      </xdr:nvGrpSpPr>
      <xdr:grpSpPr>
        <a:xfrm>
          <a:off x="13307785" y="136071"/>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168087</xdr:colOff>
      <xdr:row>0</xdr:row>
      <xdr:rowOff>44823</xdr:rowOff>
    </xdr:from>
    <xdr:to>
      <xdr:col>0</xdr:col>
      <xdr:colOff>987237</xdr:colOff>
      <xdr:row>3</xdr:row>
      <xdr:rowOff>156882</xdr:rowOff>
    </xdr:to>
    <xdr:grpSp>
      <xdr:nvGrpSpPr>
        <xdr:cNvPr id="2" name="Group 1"/>
        <xdr:cNvGrpSpPr/>
      </xdr:nvGrpSpPr>
      <xdr:grpSpPr>
        <a:xfrm>
          <a:off x="168087" y="44823"/>
          <a:ext cx="819150" cy="101013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13608</xdr:colOff>
      <xdr:row>0</xdr:row>
      <xdr:rowOff>163286</xdr:rowOff>
    </xdr:from>
    <xdr:to>
      <xdr:col>10</xdr:col>
      <xdr:colOff>1027661</xdr:colOff>
      <xdr:row>2</xdr:row>
      <xdr:rowOff>233243</xdr:rowOff>
    </xdr:to>
    <xdr:grpSp>
      <xdr:nvGrpSpPr>
        <xdr:cNvPr id="6" name="Group 5"/>
        <xdr:cNvGrpSpPr/>
      </xdr:nvGrpSpPr>
      <xdr:grpSpPr>
        <a:xfrm>
          <a:off x="11511644" y="163286"/>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112058</xdr:colOff>
      <xdr:row>0</xdr:row>
      <xdr:rowOff>123264</xdr:rowOff>
    </xdr:from>
    <xdr:to>
      <xdr:col>3</xdr:col>
      <xdr:colOff>806262</xdr:colOff>
      <xdr:row>3</xdr:row>
      <xdr:rowOff>159123</xdr:rowOff>
    </xdr:to>
    <xdr:grpSp>
      <xdr:nvGrpSpPr>
        <xdr:cNvPr id="2" name="Group 1"/>
        <xdr:cNvGrpSpPr/>
      </xdr:nvGrpSpPr>
      <xdr:grpSpPr>
        <a:xfrm>
          <a:off x="112058" y="123264"/>
          <a:ext cx="694204" cy="95025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13</xdr:col>
      <xdr:colOff>432955</xdr:colOff>
      <xdr:row>0</xdr:row>
      <xdr:rowOff>155864</xdr:rowOff>
    </xdr:from>
    <xdr:to>
      <xdr:col>16</xdr:col>
      <xdr:colOff>252053</xdr:colOff>
      <xdr:row>2</xdr:row>
      <xdr:rowOff>201080</xdr:rowOff>
    </xdr:to>
    <xdr:grpSp>
      <xdr:nvGrpSpPr>
        <xdr:cNvPr id="6" name="Group 5"/>
        <xdr:cNvGrpSpPr/>
      </xdr:nvGrpSpPr>
      <xdr:grpSpPr>
        <a:xfrm>
          <a:off x="16025380" y="155864"/>
          <a:ext cx="3095698" cy="654816"/>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112058</xdr:colOff>
      <xdr:row>0</xdr:row>
      <xdr:rowOff>123264</xdr:rowOff>
    </xdr:from>
    <xdr:to>
      <xdr:col>3</xdr:col>
      <xdr:colOff>806262</xdr:colOff>
      <xdr:row>3</xdr:row>
      <xdr:rowOff>159123</xdr:rowOff>
    </xdr:to>
    <xdr:grpSp>
      <xdr:nvGrpSpPr>
        <xdr:cNvPr id="2" name="Group 1"/>
        <xdr:cNvGrpSpPr/>
      </xdr:nvGrpSpPr>
      <xdr:grpSpPr>
        <a:xfrm>
          <a:off x="112058" y="123264"/>
          <a:ext cx="694204" cy="93393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163286</xdr:colOff>
      <xdr:row>0</xdr:row>
      <xdr:rowOff>95249</xdr:rowOff>
    </xdr:from>
    <xdr:to>
      <xdr:col>14</xdr:col>
      <xdr:colOff>129589</xdr:colOff>
      <xdr:row>2</xdr:row>
      <xdr:rowOff>165206</xdr:rowOff>
    </xdr:to>
    <xdr:grpSp>
      <xdr:nvGrpSpPr>
        <xdr:cNvPr id="6" name="Group 5"/>
        <xdr:cNvGrpSpPr/>
      </xdr:nvGrpSpPr>
      <xdr:grpSpPr>
        <a:xfrm>
          <a:off x="12831536" y="95249"/>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a:solidFill>
            <a:srgbClr val="FFFFCC"/>
          </a:solidFill>
          <a:ln>
            <a:solidFill>
              <a:srgbClr val="FFFFCC"/>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159123</xdr:rowOff>
    </xdr:to>
    <xdr:grpSp>
      <xdr:nvGrpSpPr>
        <xdr:cNvPr id="2" name="Group 1"/>
        <xdr:cNvGrpSpPr/>
      </xdr:nvGrpSpPr>
      <xdr:grpSpPr>
        <a:xfrm>
          <a:off x="112058" y="123264"/>
          <a:ext cx="694204" cy="93393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163286</xdr:colOff>
      <xdr:row>0</xdr:row>
      <xdr:rowOff>122464</xdr:rowOff>
    </xdr:from>
    <xdr:to>
      <xdr:col>9</xdr:col>
      <xdr:colOff>129589</xdr:colOff>
      <xdr:row>2</xdr:row>
      <xdr:rowOff>192421</xdr:rowOff>
    </xdr:to>
    <xdr:grpSp>
      <xdr:nvGrpSpPr>
        <xdr:cNvPr id="6" name="Group 5"/>
        <xdr:cNvGrpSpPr/>
      </xdr:nvGrpSpPr>
      <xdr:grpSpPr>
        <a:xfrm>
          <a:off x="11430000" y="122464"/>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1488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201705</xdr:colOff>
      <xdr:row>0</xdr:row>
      <xdr:rowOff>134471</xdr:rowOff>
    </xdr:from>
    <xdr:to>
      <xdr:col>7</xdr:col>
      <xdr:colOff>801141</xdr:colOff>
      <xdr:row>2</xdr:row>
      <xdr:rowOff>198024</xdr:rowOff>
    </xdr:to>
    <xdr:grpSp>
      <xdr:nvGrpSpPr>
        <xdr:cNvPr id="6" name="Group 5"/>
        <xdr:cNvGrpSpPr/>
      </xdr:nvGrpSpPr>
      <xdr:grpSpPr>
        <a:xfrm>
          <a:off x="11182669" y="134471"/>
          <a:ext cx="3116758" cy="662267"/>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312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217715</xdr:colOff>
      <xdr:row>0</xdr:row>
      <xdr:rowOff>163285</xdr:rowOff>
    </xdr:from>
    <xdr:to>
      <xdr:col>11</xdr:col>
      <xdr:colOff>184018</xdr:colOff>
      <xdr:row>2</xdr:row>
      <xdr:rowOff>233242</xdr:rowOff>
    </xdr:to>
    <xdr:grpSp>
      <xdr:nvGrpSpPr>
        <xdr:cNvPr id="6" name="Group 5"/>
        <xdr:cNvGrpSpPr/>
      </xdr:nvGrpSpPr>
      <xdr:grpSpPr>
        <a:xfrm>
          <a:off x="10676165" y="163285"/>
          <a:ext cx="3109553" cy="679557"/>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1488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544286</xdr:colOff>
      <xdr:row>0</xdr:row>
      <xdr:rowOff>149678</xdr:rowOff>
    </xdr:from>
    <xdr:to>
      <xdr:col>11</xdr:col>
      <xdr:colOff>510589</xdr:colOff>
      <xdr:row>2</xdr:row>
      <xdr:rowOff>219635</xdr:rowOff>
    </xdr:to>
    <xdr:grpSp>
      <xdr:nvGrpSpPr>
        <xdr:cNvPr id="6" name="Group 5"/>
        <xdr:cNvGrpSpPr/>
      </xdr:nvGrpSpPr>
      <xdr:grpSpPr>
        <a:xfrm>
          <a:off x="11389179" y="149678"/>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24485"/>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3</xdr:col>
      <xdr:colOff>114300</xdr:colOff>
      <xdr:row>0</xdr:row>
      <xdr:rowOff>114300</xdr:rowOff>
    </xdr:from>
    <xdr:to>
      <xdr:col>6</xdr:col>
      <xdr:colOff>80603</xdr:colOff>
      <xdr:row>2</xdr:row>
      <xdr:rowOff>173371</xdr:rowOff>
    </xdr:to>
    <xdr:grpSp>
      <xdr:nvGrpSpPr>
        <xdr:cNvPr id="6" name="Group 5"/>
        <xdr:cNvGrpSpPr/>
      </xdr:nvGrpSpPr>
      <xdr:grpSpPr>
        <a:xfrm>
          <a:off x="5806888" y="114300"/>
          <a:ext cx="3126362" cy="664189"/>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616884</xdr:colOff>
      <xdr:row>3</xdr:row>
      <xdr:rowOff>268381</xdr:rowOff>
    </xdr:from>
    <xdr:to>
      <xdr:col>12</xdr:col>
      <xdr:colOff>456080</xdr:colOff>
      <xdr:row>6</xdr:row>
      <xdr:rowOff>12887</xdr:rowOff>
    </xdr:to>
    <xdr:pic>
      <xdr:nvPicPr>
        <xdr:cNvPr id="105546" name="Picture 7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43590" y="739028"/>
          <a:ext cx="1139078" cy="708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314325</xdr:colOff>
      <xdr:row>40</xdr:row>
      <xdr:rowOff>71437</xdr:rowOff>
    </xdr:from>
    <xdr:ext cx="2815200" cy="352800"/>
    <xdr:sp macro="" textlink="">
      <xdr:nvSpPr>
        <xdr:cNvPr id="62" name="Label13"/>
        <xdr:cNvSpPr txBox="1"/>
      </xdr:nvSpPr>
      <xdr:spPr>
        <a:xfrm>
          <a:off x="3095625" y="7843837"/>
          <a:ext cx="2815200" cy="35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lang="en-AU" sz="1100"/>
            <a:t>10 - Meter renewal &amp; upgrade</a:t>
          </a:r>
        </a:p>
      </xdr:txBody>
    </xdr:sp>
    <xdr:clientData/>
  </xdr:oneCellAnchor>
  <xdr:twoCellAnchor>
    <xdr:from>
      <xdr:col>6</xdr:col>
      <xdr:colOff>332977</xdr:colOff>
      <xdr:row>10</xdr:row>
      <xdr:rowOff>9525</xdr:rowOff>
    </xdr:from>
    <xdr:to>
      <xdr:col>8</xdr:col>
      <xdr:colOff>746634</xdr:colOff>
      <xdr:row>12</xdr:row>
      <xdr:rowOff>39462</xdr:rowOff>
    </xdr:to>
    <xdr:sp macro="" textlink="">
      <xdr:nvSpPr>
        <xdr:cNvPr id="63" name="Rounded Rectangle 62">
          <a:hlinkClick xmlns:r="http://schemas.openxmlformats.org/officeDocument/2006/relationships" r:id="rId2"/>
        </xdr:cNvPr>
        <xdr:cNvSpPr/>
      </xdr:nvSpPr>
      <xdr:spPr>
        <a:xfrm>
          <a:off x="6790927" y="2924175"/>
          <a:ext cx="2813957" cy="35378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14. Overheads</a:t>
          </a:r>
        </a:p>
      </xdr:txBody>
    </xdr:sp>
    <xdr:clientData/>
  </xdr:twoCellAnchor>
  <xdr:twoCellAnchor>
    <xdr:from>
      <xdr:col>6</xdr:col>
      <xdr:colOff>332355</xdr:colOff>
      <xdr:row>16</xdr:row>
      <xdr:rowOff>139633</xdr:rowOff>
    </xdr:from>
    <xdr:to>
      <xdr:col>8</xdr:col>
      <xdr:colOff>747255</xdr:colOff>
      <xdr:row>19</xdr:row>
      <xdr:rowOff>6658</xdr:rowOff>
    </xdr:to>
    <xdr:sp macro="" textlink="">
      <xdr:nvSpPr>
        <xdr:cNvPr id="64" name="Rounded Rectangle 63">
          <a:hlinkClick xmlns:r="http://schemas.openxmlformats.org/officeDocument/2006/relationships" r:id="rId3"/>
        </xdr:cNvPr>
        <xdr:cNvSpPr/>
      </xdr:nvSpPr>
      <xdr:spPr>
        <a:xfrm>
          <a:off x="6790305" y="402583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16. Capex allocation</a:t>
          </a:r>
          <a:endParaRPr lang="en-AU" sz="1100" b="1">
            <a:solidFill>
              <a:schemeClr val="tx1"/>
            </a:solidFill>
          </a:endParaRPr>
        </a:p>
      </xdr:txBody>
    </xdr:sp>
    <xdr:clientData/>
  </xdr:twoCellAnchor>
  <xdr:twoCellAnchor>
    <xdr:from>
      <xdr:col>6</xdr:col>
      <xdr:colOff>332355</xdr:colOff>
      <xdr:row>20</xdr:row>
      <xdr:rowOff>34042</xdr:rowOff>
    </xdr:from>
    <xdr:to>
      <xdr:col>8</xdr:col>
      <xdr:colOff>747255</xdr:colOff>
      <xdr:row>22</xdr:row>
      <xdr:rowOff>62992</xdr:rowOff>
    </xdr:to>
    <xdr:sp macro="" textlink="">
      <xdr:nvSpPr>
        <xdr:cNvPr id="65" name="Rounded Rectangle 64">
          <a:hlinkClick xmlns:r="http://schemas.openxmlformats.org/officeDocument/2006/relationships" r:id="rId4"/>
        </xdr:cNvPr>
        <xdr:cNvSpPr/>
      </xdr:nvSpPr>
      <xdr:spPr>
        <a:xfrm>
          <a:off x="6790305" y="4567942"/>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17. Gross</a:t>
          </a:r>
          <a:r>
            <a:rPr lang="en-AU" sz="1200" b="1" baseline="0">
              <a:solidFill>
                <a:schemeClr val="tx1"/>
              </a:solidFill>
            </a:rPr>
            <a:t> capex</a:t>
          </a:r>
          <a:endParaRPr lang="en-AU" sz="1100" b="1">
            <a:solidFill>
              <a:schemeClr val="tx1"/>
            </a:solidFill>
          </a:endParaRPr>
        </a:p>
      </xdr:txBody>
    </xdr:sp>
    <xdr:clientData/>
  </xdr:twoCellAnchor>
  <xdr:twoCellAnchor>
    <xdr:from>
      <xdr:col>6</xdr:col>
      <xdr:colOff>332355</xdr:colOff>
      <xdr:row>26</xdr:row>
      <xdr:rowOff>146710</xdr:rowOff>
    </xdr:from>
    <xdr:to>
      <xdr:col>8</xdr:col>
      <xdr:colOff>747255</xdr:colOff>
      <xdr:row>29</xdr:row>
      <xdr:rowOff>13735</xdr:rowOff>
    </xdr:to>
    <xdr:sp macro="" textlink="">
      <xdr:nvSpPr>
        <xdr:cNvPr id="66" name="Rounded Rectangle 65">
          <a:hlinkClick xmlns:r="http://schemas.openxmlformats.org/officeDocument/2006/relationships" r:id="rId5"/>
        </xdr:cNvPr>
        <xdr:cNvSpPr/>
      </xdr:nvSpPr>
      <xdr:spPr>
        <a:xfrm>
          <a:off x="6790305" y="56521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21. Indicative bill impacts</a:t>
          </a:r>
          <a:endParaRPr lang="en-AU" sz="1100" b="1">
            <a:solidFill>
              <a:schemeClr val="tx1"/>
            </a:solidFill>
          </a:endParaRPr>
        </a:p>
      </xdr:txBody>
    </xdr:sp>
    <xdr:clientData/>
  </xdr:twoCellAnchor>
  <xdr:twoCellAnchor>
    <xdr:from>
      <xdr:col>6</xdr:col>
      <xdr:colOff>332355</xdr:colOff>
      <xdr:row>30</xdr:row>
      <xdr:rowOff>41120</xdr:rowOff>
    </xdr:from>
    <xdr:to>
      <xdr:col>8</xdr:col>
      <xdr:colOff>747255</xdr:colOff>
      <xdr:row>32</xdr:row>
      <xdr:rowOff>70070</xdr:rowOff>
    </xdr:to>
    <xdr:sp macro="" textlink="">
      <xdr:nvSpPr>
        <xdr:cNvPr id="67" name="Rounded Rectangle 66">
          <a:hlinkClick xmlns:r="http://schemas.openxmlformats.org/officeDocument/2006/relationships" r:id="rId6"/>
        </xdr:cNvPr>
        <xdr:cNvSpPr/>
      </xdr:nvSpPr>
      <xdr:spPr>
        <a:xfrm>
          <a:off x="6790305" y="619427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22. WACC inputs</a:t>
          </a:r>
          <a:endParaRPr lang="en-AU" sz="1100" b="1">
            <a:solidFill>
              <a:schemeClr val="tx1"/>
            </a:solidFill>
          </a:endParaRPr>
        </a:p>
      </xdr:txBody>
    </xdr:sp>
    <xdr:clientData/>
  </xdr:twoCellAnchor>
  <xdr:twoCellAnchor>
    <xdr:from>
      <xdr:col>6</xdr:col>
      <xdr:colOff>332355</xdr:colOff>
      <xdr:row>33</xdr:row>
      <xdr:rowOff>97455</xdr:rowOff>
    </xdr:from>
    <xdr:to>
      <xdr:col>8</xdr:col>
      <xdr:colOff>747255</xdr:colOff>
      <xdr:row>35</xdr:row>
      <xdr:rowOff>126405</xdr:rowOff>
    </xdr:to>
    <xdr:sp macro="" textlink="">
      <xdr:nvSpPr>
        <xdr:cNvPr id="68" name="Rounded Rectangle 67">
          <a:hlinkClick xmlns:r="http://schemas.openxmlformats.org/officeDocument/2006/relationships" r:id="rId7"/>
        </xdr:cNvPr>
        <xdr:cNvSpPr/>
      </xdr:nvSpPr>
      <xdr:spPr>
        <a:xfrm>
          <a:off x="6790305" y="673638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23.1 Opex including RPM</a:t>
          </a:r>
          <a:endParaRPr lang="en-AU" sz="1100" b="1">
            <a:solidFill>
              <a:schemeClr val="tx1"/>
            </a:solidFill>
          </a:endParaRPr>
        </a:p>
      </xdr:txBody>
    </xdr:sp>
    <xdr:clientData/>
  </xdr:twoCellAnchor>
  <xdr:twoCellAnchor>
    <xdr:from>
      <xdr:col>6</xdr:col>
      <xdr:colOff>332355</xdr:colOff>
      <xdr:row>36</xdr:row>
      <xdr:rowOff>151748</xdr:rowOff>
    </xdr:from>
    <xdr:to>
      <xdr:col>8</xdr:col>
      <xdr:colOff>747255</xdr:colOff>
      <xdr:row>39</xdr:row>
      <xdr:rowOff>18773</xdr:rowOff>
    </xdr:to>
    <xdr:sp macro="" textlink="">
      <xdr:nvSpPr>
        <xdr:cNvPr id="69" name="Rounded Rectangle 68">
          <a:hlinkClick xmlns:r="http://schemas.openxmlformats.org/officeDocument/2006/relationships" r:id="rId8"/>
        </xdr:cNvPr>
        <xdr:cNvSpPr/>
      </xdr:nvSpPr>
      <xdr:spPr>
        <a:xfrm>
          <a:off x="6790305" y="7276448"/>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23.2 Opex excluding RPM</a:t>
          </a:r>
          <a:endParaRPr lang="en-AU" sz="1100" b="1">
            <a:solidFill>
              <a:schemeClr val="tx1"/>
            </a:solidFill>
          </a:endParaRPr>
        </a:p>
      </xdr:txBody>
    </xdr:sp>
    <xdr:clientData/>
  </xdr:twoCellAnchor>
  <xdr:twoCellAnchor>
    <xdr:from>
      <xdr:col>6</xdr:col>
      <xdr:colOff>332355</xdr:colOff>
      <xdr:row>40</xdr:row>
      <xdr:rowOff>52779</xdr:rowOff>
    </xdr:from>
    <xdr:to>
      <xdr:col>8</xdr:col>
      <xdr:colOff>747255</xdr:colOff>
      <xdr:row>42</xdr:row>
      <xdr:rowOff>81729</xdr:rowOff>
    </xdr:to>
    <xdr:sp macro="" textlink="">
      <xdr:nvSpPr>
        <xdr:cNvPr id="70" name="Rounded Rectangle 69">
          <a:hlinkClick xmlns:r="http://schemas.openxmlformats.org/officeDocument/2006/relationships" r:id="rId9"/>
        </xdr:cNvPr>
        <xdr:cNvSpPr/>
      </xdr:nvSpPr>
      <xdr:spPr>
        <a:xfrm>
          <a:off x="6790305" y="7825179"/>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23.3 Opex</a:t>
          </a:r>
          <a:r>
            <a:rPr lang="en-AU" sz="1200" b="1" baseline="0">
              <a:solidFill>
                <a:schemeClr val="tx1"/>
              </a:solidFill>
            </a:rPr>
            <a:t> base-step-trend</a:t>
          </a:r>
          <a:endParaRPr lang="en-AU" sz="1100" b="1">
            <a:solidFill>
              <a:schemeClr val="tx1"/>
            </a:solidFill>
          </a:endParaRPr>
        </a:p>
      </xdr:txBody>
    </xdr:sp>
    <xdr:clientData/>
  </xdr:twoCellAnchor>
  <xdr:twoCellAnchor>
    <xdr:from>
      <xdr:col>6</xdr:col>
      <xdr:colOff>332355</xdr:colOff>
      <xdr:row>43</xdr:row>
      <xdr:rowOff>102496</xdr:rowOff>
    </xdr:from>
    <xdr:to>
      <xdr:col>8</xdr:col>
      <xdr:colOff>747255</xdr:colOff>
      <xdr:row>45</xdr:row>
      <xdr:rowOff>131446</xdr:rowOff>
    </xdr:to>
    <xdr:sp macro="" textlink="">
      <xdr:nvSpPr>
        <xdr:cNvPr id="71" name="Rounded Rectangle 70">
          <a:hlinkClick xmlns:r="http://schemas.openxmlformats.org/officeDocument/2006/relationships" r:id="rId10"/>
        </xdr:cNvPr>
        <xdr:cNvSpPr/>
      </xdr:nvSpPr>
      <xdr:spPr>
        <a:xfrm>
          <a:off x="6790305" y="8360671"/>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23.4 Opex incentive mechanism</a:t>
          </a:r>
          <a:endParaRPr lang="en-AU" sz="1100" b="1">
            <a:solidFill>
              <a:schemeClr val="tx1"/>
            </a:solidFill>
          </a:endParaRPr>
        </a:p>
      </xdr:txBody>
    </xdr:sp>
    <xdr:clientData/>
  </xdr:twoCellAnchor>
  <xdr:twoCellAnchor>
    <xdr:from>
      <xdr:col>10</xdr:col>
      <xdr:colOff>365634</xdr:colOff>
      <xdr:row>10</xdr:row>
      <xdr:rowOff>9525</xdr:rowOff>
    </xdr:from>
    <xdr:to>
      <xdr:col>13</xdr:col>
      <xdr:colOff>283991</xdr:colOff>
      <xdr:row>12</xdr:row>
      <xdr:rowOff>39462</xdr:rowOff>
    </xdr:to>
    <xdr:sp macro="" textlink="">
      <xdr:nvSpPr>
        <xdr:cNvPr id="72" name="Rounded Rectangle 71">
          <a:hlinkClick xmlns:r="http://schemas.openxmlformats.org/officeDocument/2006/relationships" r:id="rId11"/>
        </xdr:cNvPr>
        <xdr:cNvSpPr/>
      </xdr:nvSpPr>
      <xdr:spPr>
        <a:xfrm>
          <a:off x="10652634" y="2924175"/>
          <a:ext cx="2813957" cy="35378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24. Cost category matrix</a:t>
          </a:r>
          <a:endParaRPr lang="en-AU" sz="1100" b="1">
            <a:solidFill>
              <a:schemeClr val="tx1"/>
            </a:solidFill>
          </a:endParaRPr>
        </a:p>
      </xdr:txBody>
    </xdr:sp>
    <xdr:clientData/>
  </xdr:twoCellAnchor>
  <xdr:twoCellAnchor>
    <xdr:from>
      <xdr:col>6</xdr:col>
      <xdr:colOff>332355</xdr:colOff>
      <xdr:row>13</xdr:row>
      <xdr:rowOff>75335</xdr:rowOff>
    </xdr:from>
    <xdr:to>
      <xdr:col>8</xdr:col>
      <xdr:colOff>747255</xdr:colOff>
      <xdr:row>15</xdr:row>
      <xdr:rowOff>104285</xdr:rowOff>
    </xdr:to>
    <xdr:sp macro="" textlink="">
      <xdr:nvSpPr>
        <xdr:cNvPr id="73" name="Rounded Rectangle 72">
          <a:hlinkClick xmlns:r="http://schemas.openxmlformats.org/officeDocument/2006/relationships" r:id="rId12"/>
        </xdr:cNvPr>
        <xdr:cNvSpPr/>
      </xdr:nvSpPr>
      <xdr:spPr>
        <a:xfrm>
          <a:off x="6790305" y="34757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15. Related</a:t>
          </a:r>
          <a:r>
            <a:rPr lang="en-AU" sz="1200" b="1" baseline="0">
              <a:solidFill>
                <a:schemeClr val="tx1"/>
              </a:solidFill>
            </a:rPr>
            <a:t> party transactions</a:t>
          </a:r>
          <a:endParaRPr lang="en-AU" sz="1100" b="1">
            <a:solidFill>
              <a:schemeClr val="tx1"/>
            </a:solidFill>
          </a:endParaRPr>
        </a:p>
      </xdr:txBody>
    </xdr:sp>
    <xdr:clientData/>
  </xdr:twoCellAnchor>
  <xdr:twoCellAnchor>
    <xdr:from>
      <xdr:col>1</xdr:col>
      <xdr:colOff>314325</xdr:colOff>
      <xdr:row>10</xdr:row>
      <xdr:rowOff>14287</xdr:rowOff>
    </xdr:from>
    <xdr:to>
      <xdr:col>4</xdr:col>
      <xdr:colOff>881625</xdr:colOff>
      <xdr:row>12</xdr:row>
      <xdr:rowOff>43237</xdr:rowOff>
    </xdr:to>
    <xdr:sp macro="" textlink="">
      <xdr:nvSpPr>
        <xdr:cNvPr id="74" name="Rounded Rectangle 73">
          <a:hlinkClick xmlns:r="http://schemas.openxmlformats.org/officeDocument/2006/relationships" r:id="rId13"/>
        </xdr:cNvPr>
        <xdr:cNvSpPr/>
      </xdr:nvSpPr>
      <xdr:spPr>
        <a:xfrm>
          <a:off x="3095625" y="2928937"/>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1" algn="l"/>
          <a:r>
            <a:rPr lang="en-AU" sz="1200" b="1">
              <a:solidFill>
                <a:schemeClr val="tx1"/>
              </a:solidFill>
            </a:rPr>
            <a:t>Instructions</a:t>
          </a:r>
          <a:endParaRPr lang="en-AU" sz="1100" b="1">
            <a:solidFill>
              <a:schemeClr val="tx1"/>
            </a:solidFill>
          </a:endParaRPr>
        </a:p>
      </xdr:txBody>
    </xdr:sp>
    <xdr:clientData/>
  </xdr:twoCellAnchor>
  <xdr:twoCellAnchor>
    <xdr:from>
      <xdr:col>1</xdr:col>
      <xdr:colOff>314325</xdr:colOff>
      <xdr:row>16</xdr:row>
      <xdr:rowOff>139633</xdr:rowOff>
    </xdr:from>
    <xdr:to>
      <xdr:col>4</xdr:col>
      <xdr:colOff>881625</xdr:colOff>
      <xdr:row>19</xdr:row>
      <xdr:rowOff>6658</xdr:rowOff>
    </xdr:to>
    <xdr:sp macro="" textlink="">
      <xdr:nvSpPr>
        <xdr:cNvPr id="75" name="Rounded Rectangle 74">
          <a:hlinkClick xmlns:r="http://schemas.openxmlformats.org/officeDocument/2006/relationships" r:id="rId14"/>
        </xdr:cNvPr>
        <xdr:cNvSpPr/>
      </xdr:nvSpPr>
      <xdr:spPr>
        <a:xfrm>
          <a:off x="3095625" y="402583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 CPI</a:t>
          </a:r>
          <a:endParaRPr lang="en-AU" sz="1100" b="1">
            <a:solidFill>
              <a:schemeClr val="tx1"/>
            </a:solidFill>
          </a:endParaRPr>
        </a:p>
      </xdr:txBody>
    </xdr:sp>
    <xdr:clientData/>
  </xdr:twoCellAnchor>
  <xdr:twoCellAnchor>
    <xdr:from>
      <xdr:col>1</xdr:col>
      <xdr:colOff>314325</xdr:colOff>
      <xdr:row>20</xdr:row>
      <xdr:rowOff>34042</xdr:rowOff>
    </xdr:from>
    <xdr:to>
      <xdr:col>4</xdr:col>
      <xdr:colOff>881625</xdr:colOff>
      <xdr:row>22</xdr:row>
      <xdr:rowOff>62992</xdr:rowOff>
    </xdr:to>
    <xdr:sp macro="" textlink="">
      <xdr:nvSpPr>
        <xdr:cNvPr id="76" name="Rounded Rectangle 75">
          <a:hlinkClick xmlns:r="http://schemas.openxmlformats.org/officeDocument/2006/relationships" r:id="rId15"/>
        </xdr:cNvPr>
        <xdr:cNvSpPr/>
      </xdr:nvSpPr>
      <xdr:spPr>
        <a:xfrm>
          <a:off x="3095625" y="4567942"/>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a:t>
          </a:r>
          <a:r>
            <a:rPr lang="en-AU" sz="1200" b="1" baseline="0">
              <a:solidFill>
                <a:schemeClr val="tx1"/>
              </a:solidFill>
            </a:rPr>
            <a:t> Escalators</a:t>
          </a:r>
          <a:endParaRPr lang="en-AU" sz="1100" b="1">
            <a:solidFill>
              <a:schemeClr val="tx1"/>
            </a:solidFill>
          </a:endParaRPr>
        </a:p>
      </xdr:txBody>
    </xdr:sp>
    <xdr:clientData/>
  </xdr:twoCellAnchor>
  <xdr:twoCellAnchor>
    <xdr:from>
      <xdr:col>1</xdr:col>
      <xdr:colOff>314325</xdr:colOff>
      <xdr:row>23</xdr:row>
      <xdr:rowOff>80851</xdr:rowOff>
    </xdr:from>
    <xdr:to>
      <xdr:col>4</xdr:col>
      <xdr:colOff>881625</xdr:colOff>
      <xdr:row>25</xdr:row>
      <xdr:rowOff>109801</xdr:rowOff>
    </xdr:to>
    <xdr:sp macro="" textlink="">
      <xdr:nvSpPr>
        <xdr:cNvPr id="77" name="Rounded Rectangle 76">
          <a:hlinkClick xmlns:r="http://schemas.openxmlformats.org/officeDocument/2006/relationships" r:id="rId16"/>
        </xdr:cNvPr>
        <xdr:cNvSpPr/>
      </xdr:nvSpPr>
      <xdr:spPr>
        <a:xfrm>
          <a:off x="3095625" y="5100526"/>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4.</a:t>
          </a:r>
          <a:r>
            <a:rPr lang="en-AU" sz="1200" b="1" baseline="0">
              <a:solidFill>
                <a:schemeClr val="tx1"/>
              </a:solidFill>
            </a:rPr>
            <a:t> Connections market expansion</a:t>
          </a:r>
          <a:endParaRPr lang="en-AU" sz="1200" b="1">
            <a:solidFill>
              <a:schemeClr val="tx1"/>
            </a:solidFill>
          </a:endParaRPr>
        </a:p>
      </xdr:txBody>
    </xdr:sp>
    <xdr:clientData/>
  </xdr:twoCellAnchor>
  <xdr:twoCellAnchor>
    <xdr:from>
      <xdr:col>1</xdr:col>
      <xdr:colOff>314325</xdr:colOff>
      <xdr:row>26</xdr:row>
      <xdr:rowOff>146710</xdr:rowOff>
    </xdr:from>
    <xdr:to>
      <xdr:col>4</xdr:col>
      <xdr:colOff>881625</xdr:colOff>
      <xdr:row>29</xdr:row>
      <xdr:rowOff>13735</xdr:rowOff>
    </xdr:to>
    <xdr:sp macro="" textlink="">
      <xdr:nvSpPr>
        <xdr:cNvPr id="78" name="Rounded Rectangle 77">
          <a:hlinkClick xmlns:r="http://schemas.openxmlformats.org/officeDocument/2006/relationships" r:id="rId17"/>
        </xdr:cNvPr>
        <xdr:cNvSpPr/>
      </xdr:nvSpPr>
      <xdr:spPr>
        <a:xfrm>
          <a:off x="3095625" y="56521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5.</a:t>
          </a:r>
          <a:r>
            <a:rPr lang="en-AU" sz="1200" b="1" baseline="0">
              <a:solidFill>
                <a:schemeClr val="tx1"/>
              </a:solidFill>
            </a:rPr>
            <a:t> Mains augmentation</a:t>
          </a:r>
          <a:endParaRPr lang="en-AU" sz="1100" b="1">
            <a:solidFill>
              <a:schemeClr val="tx1"/>
            </a:solidFill>
          </a:endParaRPr>
        </a:p>
      </xdr:txBody>
    </xdr:sp>
    <xdr:clientData/>
  </xdr:twoCellAnchor>
  <xdr:twoCellAnchor>
    <xdr:from>
      <xdr:col>1</xdr:col>
      <xdr:colOff>314325</xdr:colOff>
      <xdr:row>30</xdr:row>
      <xdr:rowOff>41120</xdr:rowOff>
    </xdr:from>
    <xdr:to>
      <xdr:col>4</xdr:col>
      <xdr:colOff>881625</xdr:colOff>
      <xdr:row>32</xdr:row>
      <xdr:rowOff>70070</xdr:rowOff>
    </xdr:to>
    <xdr:sp macro="" textlink="">
      <xdr:nvSpPr>
        <xdr:cNvPr id="79" name="Rounded Rectangle 78">
          <a:hlinkClick xmlns:r="http://schemas.openxmlformats.org/officeDocument/2006/relationships" r:id="rId18"/>
        </xdr:cNvPr>
        <xdr:cNvSpPr/>
      </xdr:nvSpPr>
      <xdr:spPr>
        <a:xfrm>
          <a:off x="3095625" y="619427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6. Mains replacement</a:t>
          </a:r>
          <a:endParaRPr lang="en-AU" sz="1100" b="1">
            <a:solidFill>
              <a:schemeClr val="tx1"/>
            </a:solidFill>
          </a:endParaRPr>
        </a:p>
      </xdr:txBody>
    </xdr:sp>
    <xdr:clientData/>
  </xdr:twoCellAnchor>
  <xdr:twoCellAnchor>
    <xdr:from>
      <xdr:col>1</xdr:col>
      <xdr:colOff>314325</xdr:colOff>
      <xdr:row>33</xdr:row>
      <xdr:rowOff>97455</xdr:rowOff>
    </xdr:from>
    <xdr:to>
      <xdr:col>4</xdr:col>
      <xdr:colOff>881625</xdr:colOff>
      <xdr:row>35</xdr:row>
      <xdr:rowOff>126405</xdr:rowOff>
    </xdr:to>
    <xdr:sp macro="" textlink="">
      <xdr:nvSpPr>
        <xdr:cNvPr id="80" name="Rounded Rectangle 79">
          <a:hlinkClick xmlns:r="http://schemas.openxmlformats.org/officeDocument/2006/relationships" r:id="rId19"/>
        </xdr:cNvPr>
        <xdr:cNvSpPr/>
      </xdr:nvSpPr>
      <xdr:spPr>
        <a:xfrm>
          <a:off x="3095625" y="673638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7. Telemetry</a:t>
          </a:r>
          <a:endParaRPr lang="en-AU" sz="1100" b="1">
            <a:solidFill>
              <a:schemeClr val="tx1"/>
            </a:solidFill>
          </a:endParaRPr>
        </a:p>
      </xdr:txBody>
    </xdr:sp>
    <xdr:clientData/>
  </xdr:twoCellAnchor>
  <xdr:twoCellAnchor>
    <xdr:from>
      <xdr:col>1</xdr:col>
      <xdr:colOff>314325</xdr:colOff>
      <xdr:row>36</xdr:row>
      <xdr:rowOff>151748</xdr:rowOff>
    </xdr:from>
    <xdr:to>
      <xdr:col>4</xdr:col>
      <xdr:colOff>881625</xdr:colOff>
      <xdr:row>39</xdr:row>
      <xdr:rowOff>18773</xdr:rowOff>
    </xdr:to>
    <xdr:sp macro="" textlink="">
      <xdr:nvSpPr>
        <xdr:cNvPr id="81" name="Rounded Rectangle 80">
          <a:hlinkClick xmlns:r="http://schemas.openxmlformats.org/officeDocument/2006/relationships" r:id="rId20"/>
        </xdr:cNvPr>
        <xdr:cNvSpPr/>
      </xdr:nvSpPr>
      <xdr:spPr>
        <a:xfrm>
          <a:off x="3095625" y="7276448"/>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8. Meter replacement</a:t>
          </a:r>
          <a:endParaRPr lang="en-AU" sz="1100" b="1">
            <a:solidFill>
              <a:schemeClr val="tx1"/>
            </a:solidFill>
          </a:endParaRPr>
        </a:p>
      </xdr:txBody>
    </xdr:sp>
    <xdr:clientData/>
  </xdr:twoCellAnchor>
  <xdr:twoCellAnchor>
    <xdr:from>
      <xdr:col>1</xdr:col>
      <xdr:colOff>314325</xdr:colOff>
      <xdr:row>40</xdr:row>
      <xdr:rowOff>52779</xdr:rowOff>
    </xdr:from>
    <xdr:to>
      <xdr:col>4</xdr:col>
      <xdr:colOff>881625</xdr:colOff>
      <xdr:row>42</xdr:row>
      <xdr:rowOff>81729</xdr:rowOff>
    </xdr:to>
    <xdr:sp macro="" textlink="">
      <xdr:nvSpPr>
        <xdr:cNvPr id="82" name="Rounded Rectangle 81">
          <a:hlinkClick xmlns:r="http://schemas.openxmlformats.org/officeDocument/2006/relationships" r:id="rId21"/>
        </xdr:cNvPr>
        <xdr:cNvSpPr/>
      </xdr:nvSpPr>
      <xdr:spPr>
        <a:xfrm>
          <a:off x="3095625" y="7825179"/>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9. Other capex</a:t>
          </a:r>
          <a:endParaRPr lang="en-AU" sz="1100" b="1">
            <a:solidFill>
              <a:schemeClr val="tx1"/>
            </a:solidFill>
          </a:endParaRPr>
        </a:p>
      </xdr:txBody>
    </xdr:sp>
    <xdr:clientData/>
  </xdr:twoCellAnchor>
  <xdr:twoCellAnchor>
    <xdr:from>
      <xdr:col>1</xdr:col>
      <xdr:colOff>314325</xdr:colOff>
      <xdr:row>43</xdr:row>
      <xdr:rowOff>102496</xdr:rowOff>
    </xdr:from>
    <xdr:to>
      <xdr:col>4</xdr:col>
      <xdr:colOff>881625</xdr:colOff>
      <xdr:row>45</xdr:row>
      <xdr:rowOff>131446</xdr:rowOff>
    </xdr:to>
    <xdr:sp macro="" textlink="">
      <xdr:nvSpPr>
        <xdr:cNvPr id="83" name="Rounded Rectangle 82">
          <a:hlinkClick xmlns:r="http://schemas.openxmlformats.org/officeDocument/2006/relationships" r:id="rId22"/>
        </xdr:cNvPr>
        <xdr:cNvSpPr/>
      </xdr:nvSpPr>
      <xdr:spPr>
        <a:xfrm>
          <a:off x="3095625" y="8360671"/>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12. IT</a:t>
          </a:r>
          <a:endParaRPr lang="en-AU" sz="1100" b="1">
            <a:solidFill>
              <a:schemeClr val="tx1"/>
            </a:solidFill>
          </a:endParaRPr>
        </a:p>
      </xdr:txBody>
    </xdr:sp>
    <xdr:clientData/>
  </xdr:twoCellAnchor>
  <xdr:twoCellAnchor>
    <xdr:from>
      <xdr:col>1</xdr:col>
      <xdr:colOff>314325</xdr:colOff>
      <xdr:row>13</xdr:row>
      <xdr:rowOff>75335</xdr:rowOff>
    </xdr:from>
    <xdr:to>
      <xdr:col>4</xdr:col>
      <xdr:colOff>881625</xdr:colOff>
      <xdr:row>15</xdr:row>
      <xdr:rowOff>104285</xdr:rowOff>
    </xdr:to>
    <xdr:sp macro="" textlink="">
      <xdr:nvSpPr>
        <xdr:cNvPr id="84" name="Rounded Rectangle 83">
          <a:hlinkClick xmlns:r="http://schemas.openxmlformats.org/officeDocument/2006/relationships" r:id="rId23"/>
        </xdr:cNvPr>
        <xdr:cNvSpPr/>
      </xdr:nvSpPr>
      <xdr:spPr>
        <a:xfrm>
          <a:off x="3095625" y="34757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Business</a:t>
          </a:r>
          <a:r>
            <a:rPr lang="en-AU" sz="1200" b="1" baseline="0">
              <a:solidFill>
                <a:schemeClr val="tx1"/>
              </a:solidFill>
            </a:rPr>
            <a:t> &amp; other details</a:t>
          </a:r>
          <a:endParaRPr lang="en-AU" sz="1100" b="1">
            <a:solidFill>
              <a:schemeClr val="tx1"/>
            </a:solidFill>
          </a:endParaRPr>
        </a:p>
      </xdr:txBody>
    </xdr:sp>
    <xdr:clientData/>
  </xdr:twoCellAnchor>
  <xdr:twoCellAnchor>
    <xdr:from>
      <xdr:col>10</xdr:col>
      <xdr:colOff>365012</xdr:colOff>
      <xdr:row>13</xdr:row>
      <xdr:rowOff>75335</xdr:rowOff>
    </xdr:from>
    <xdr:to>
      <xdr:col>13</xdr:col>
      <xdr:colOff>284612</xdr:colOff>
      <xdr:row>15</xdr:row>
      <xdr:rowOff>104285</xdr:rowOff>
    </xdr:to>
    <xdr:sp macro="" textlink="">
      <xdr:nvSpPr>
        <xdr:cNvPr id="85" name="Rounded Rectangle 84">
          <a:hlinkClick xmlns:r="http://schemas.openxmlformats.org/officeDocument/2006/relationships" r:id="rId24"/>
        </xdr:cNvPr>
        <xdr:cNvSpPr/>
      </xdr:nvSpPr>
      <xdr:spPr>
        <a:xfrm>
          <a:off x="10652012" y="34757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25. Ancilliary reference services</a:t>
          </a:r>
          <a:endParaRPr lang="en-AU" sz="1100" b="1">
            <a:solidFill>
              <a:schemeClr val="tx1"/>
            </a:solidFill>
          </a:endParaRPr>
        </a:p>
      </xdr:txBody>
    </xdr:sp>
    <xdr:clientData/>
  </xdr:twoCellAnchor>
  <xdr:twoCellAnchor>
    <xdr:from>
      <xdr:col>10</xdr:col>
      <xdr:colOff>365012</xdr:colOff>
      <xdr:row>16</xdr:row>
      <xdr:rowOff>139633</xdr:rowOff>
    </xdr:from>
    <xdr:to>
      <xdr:col>13</xdr:col>
      <xdr:colOff>284612</xdr:colOff>
      <xdr:row>19</xdr:row>
      <xdr:rowOff>6658</xdr:rowOff>
    </xdr:to>
    <xdr:sp macro="" textlink="">
      <xdr:nvSpPr>
        <xdr:cNvPr id="86" name="Rounded Rectangle 85">
          <a:hlinkClick xmlns:r="http://schemas.openxmlformats.org/officeDocument/2006/relationships" r:id="rId25"/>
        </xdr:cNvPr>
        <xdr:cNvSpPr/>
      </xdr:nvSpPr>
      <xdr:spPr>
        <a:xfrm>
          <a:off x="10652012" y="402583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26. Allocation</a:t>
          </a:r>
          <a:r>
            <a:rPr lang="en-AU" sz="1200" b="1" baseline="0">
              <a:solidFill>
                <a:schemeClr val="tx1"/>
              </a:solidFill>
            </a:rPr>
            <a:t> of total revenue</a:t>
          </a:r>
          <a:endParaRPr lang="en-AU" sz="1100" b="1">
            <a:solidFill>
              <a:schemeClr val="tx1"/>
            </a:solidFill>
          </a:endParaRPr>
        </a:p>
      </xdr:txBody>
    </xdr:sp>
    <xdr:clientData/>
  </xdr:twoCellAnchor>
  <xdr:twoCellAnchor>
    <xdr:from>
      <xdr:col>10</xdr:col>
      <xdr:colOff>365012</xdr:colOff>
      <xdr:row>20</xdr:row>
      <xdr:rowOff>34042</xdr:rowOff>
    </xdr:from>
    <xdr:to>
      <xdr:col>13</xdr:col>
      <xdr:colOff>284612</xdr:colOff>
      <xdr:row>22</xdr:row>
      <xdr:rowOff>62992</xdr:rowOff>
    </xdr:to>
    <xdr:sp macro="" textlink="">
      <xdr:nvSpPr>
        <xdr:cNvPr id="87" name="Rounded Rectangle 86">
          <a:hlinkClick xmlns:r="http://schemas.openxmlformats.org/officeDocument/2006/relationships" r:id="rId26"/>
        </xdr:cNvPr>
        <xdr:cNvSpPr/>
      </xdr:nvSpPr>
      <xdr:spPr>
        <a:xfrm>
          <a:off x="10652012" y="4567942"/>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27. Customer numbers</a:t>
          </a:r>
          <a:endParaRPr lang="en-AU" sz="1100" b="1">
            <a:solidFill>
              <a:schemeClr val="tx1"/>
            </a:solidFill>
          </a:endParaRPr>
        </a:p>
      </xdr:txBody>
    </xdr:sp>
    <xdr:clientData/>
  </xdr:twoCellAnchor>
  <xdr:twoCellAnchor>
    <xdr:from>
      <xdr:col>10</xdr:col>
      <xdr:colOff>365012</xdr:colOff>
      <xdr:row>23</xdr:row>
      <xdr:rowOff>80851</xdr:rowOff>
    </xdr:from>
    <xdr:to>
      <xdr:col>13</xdr:col>
      <xdr:colOff>284612</xdr:colOff>
      <xdr:row>25</xdr:row>
      <xdr:rowOff>109801</xdr:rowOff>
    </xdr:to>
    <xdr:sp macro="" textlink="">
      <xdr:nvSpPr>
        <xdr:cNvPr id="88" name="Rounded Rectangle 87">
          <a:hlinkClick xmlns:r="http://schemas.openxmlformats.org/officeDocument/2006/relationships" r:id="rId27"/>
        </xdr:cNvPr>
        <xdr:cNvSpPr/>
      </xdr:nvSpPr>
      <xdr:spPr>
        <a:xfrm>
          <a:off x="10652012" y="5100526"/>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28. Consumption and demand</a:t>
          </a:r>
          <a:endParaRPr lang="en-AU" sz="1100" b="1">
            <a:solidFill>
              <a:schemeClr val="tx1"/>
            </a:solidFill>
          </a:endParaRPr>
        </a:p>
      </xdr:txBody>
    </xdr:sp>
    <xdr:clientData/>
  </xdr:twoCellAnchor>
  <xdr:twoCellAnchor>
    <xdr:from>
      <xdr:col>10</xdr:col>
      <xdr:colOff>365012</xdr:colOff>
      <xdr:row>26</xdr:row>
      <xdr:rowOff>146710</xdr:rowOff>
    </xdr:from>
    <xdr:to>
      <xdr:col>13</xdr:col>
      <xdr:colOff>284612</xdr:colOff>
      <xdr:row>29</xdr:row>
      <xdr:rowOff>13735</xdr:rowOff>
    </xdr:to>
    <xdr:sp macro="" textlink="">
      <xdr:nvSpPr>
        <xdr:cNvPr id="89" name="Rounded Rectangle 88">
          <a:hlinkClick xmlns:r="http://schemas.openxmlformats.org/officeDocument/2006/relationships" r:id="rId28"/>
        </xdr:cNvPr>
        <xdr:cNvSpPr/>
      </xdr:nvSpPr>
      <xdr:spPr>
        <a:xfrm>
          <a:off x="10652012" y="565216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29.1 Gas extensions - ($)</a:t>
          </a:r>
          <a:endParaRPr lang="en-AU" sz="1100" b="1">
            <a:solidFill>
              <a:schemeClr val="tx1"/>
            </a:solidFill>
          </a:endParaRPr>
        </a:p>
      </xdr:txBody>
    </xdr:sp>
    <xdr:clientData/>
  </xdr:twoCellAnchor>
  <xdr:twoCellAnchor>
    <xdr:from>
      <xdr:col>10</xdr:col>
      <xdr:colOff>365012</xdr:colOff>
      <xdr:row>33</xdr:row>
      <xdr:rowOff>97455</xdr:rowOff>
    </xdr:from>
    <xdr:to>
      <xdr:col>13</xdr:col>
      <xdr:colOff>284612</xdr:colOff>
      <xdr:row>35</xdr:row>
      <xdr:rowOff>126405</xdr:rowOff>
    </xdr:to>
    <xdr:sp macro="" textlink="">
      <xdr:nvSpPr>
        <xdr:cNvPr id="90" name="Rounded Rectangle 89">
          <a:hlinkClick xmlns:r="http://schemas.openxmlformats.org/officeDocument/2006/relationships" r:id="rId29"/>
        </xdr:cNvPr>
        <xdr:cNvSpPr/>
      </xdr:nvSpPr>
      <xdr:spPr>
        <a:xfrm>
          <a:off x="10652012" y="673638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29.3 Gas extensions - demand</a:t>
          </a:r>
          <a:endParaRPr lang="en-AU" sz="1100" b="1">
            <a:solidFill>
              <a:schemeClr val="tx1"/>
            </a:solidFill>
          </a:endParaRPr>
        </a:p>
      </xdr:txBody>
    </xdr:sp>
    <xdr:clientData/>
  </xdr:twoCellAnchor>
  <xdr:twoCellAnchor>
    <xdr:from>
      <xdr:col>10</xdr:col>
      <xdr:colOff>365012</xdr:colOff>
      <xdr:row>36</xdr:row>
      <xdr:rowOff>151748</xdr:rowOff>
    </xdr:from>
    <xdr:to>
      <xdr:col>13</xdr:col>
      <xdr:colOff>284612</xdr:colOff>
      <xdr:row>39</xdr:row>
      <xdr:rowOff>18773</xdr:rowOff>
    </xdr:to>
    <xdr:sp macro="" textlink="">
      <xdr:nvSpPr>
        <xdr:cNvPr id="91" name="Rounded Rectangle 90">
          <a:hlinkClick xmlns:r="http://schemas.openxmlformats.org/officeDocument/2006/relationships" r:id="rId30"/>
        </xdr:cNvPr>
        <xdr:cNvSpPr/>
      </xdr:nvSpPr>
      <xdr:spPr>
        <a:xfrm>
          <a:off x="10652012" y="7276448"/>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29.4 Gas extensions</a:t>
          </a:r>
          <a:r>
            <a:rPr lang="en-AU" sz="1200" b="1" baseline="0">
              <a:solidFill>
                <a:schemeClr val="tx1"/>
              </a:solidFill>
            </a:rPr>
            <a:t> - tariffs</a:t>
          </a:r>
          <a:endParaRPr lang="en-AU" sz="1100" b="1">
            <a:solidFill>
              <a:schemeClr val="tx1"/>
            </a:solidFill>
          </a:endParaRPr>
        </a:p>
      </xdr:txBody>
    </xdr:sp>
    <xdr:clientData/>
  </xdr:twoCellAnchor>
  <xdr:twoCellAnchor>
    <xdr:from>
      <xdr:col>10</xdr:col>
      <xdr:colOff>365012</xdr:colOff>
      <xdr:row>30</xdr:row>
      <xdr:rowOff>41120</xdr:rowOff>
    </xdr:from>
    <xdr:to>
      <xdr:col>13</xdr:col>
      <xdr:colOff>284612</xdr:colOff>
      <xdr:row>32</xdr:row>
      <xdr:rowOff>70070</xdr:rowOff>
    </xdr:to>
    <xdr:sp macro="" textlink="">
      <xdr:nvSpPr>
        <xdr:cNvPr id="92" name="Rounded Rectangle 91">
          <a:hlinkClick xmlns:r="http://schemas.openxmlformats.org/officeDocument/2006/relationships" r:id="rId31"/>
        </xdr:cNvPr>
        <xdr:cNvSpPr/>
      </xdr:nvSpPr>
      <xdr:spPr>
        <a:xfrm>
          <a:off x="10652012" y="619427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29.2 Gas extensions</a:t>
          </a:r>
          <a:r>
            <a:rPr lang="en-AU" sz="1200" b="1" baseline="0">
              <a:solidFill>
                <a:schemeClr val="tx1"/>
              </a:solidFill>
            </a:rPr>
            <a:t> -customer numbers</a:t>
          </a:r>
          <a:endParaRPr lang="en-AU" sz="1100" b="1">
            <a:solidFill>
              <a:schemeClr val="tx1"/>
            </a:solidFill>
          </a:endParaRPr>
        </a:p>
      </xdr:txBody>
    </xdr:sp>
    <xdr:clientData/>
  </xdr:twoCellAnchor>
  <xdr:twoCellAnchor>
    <xdr:from>
      <xdr:col>10</xdr:col>
      <xdr:colOff>365012</xdr:colOff>
      <xdr:row>43</xdr:row>
      <xdr:rowOff>102496</xdr:rowOff>
    </xdr:from>
    <xdr:to>
      <xdr:col>13</xdr:col>
      <xdr:colOff>284612</xdr:colOff>
      <xdr:row>45</xdr:row>
      <xdr:rowOff>131446</xdr:rowOff>
    </xdr:to>
    <xdr:sp macro="" textlink="">
      <xdr:nvSpPr>
        <xdr:cNvPr id="93" name="Rounded Rectangle 92">
          <a:hlinkClick xmlns:r="http://schemas.openxmlformats.org/officeDocument/2006/relationships" r:id="rId32"/>
        </xdr:cNvPr>
        <xdr:cNvSpPr/>
      </xdr:nvSpPr>
      <xdr:spPr>
        <a:xfrm>
          <a:off x="10652012" y="8360671"/>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31. Pass throughs</a:t>
          </a:r>
          <a:endParaRPr lang="en-AU" sz="1100" b="1">
            <a:solidFill>
              <a:schemeClr val="tx1"/>
            </a:solidFill>
          </a:endParaRPr>
        </a:p>
      </xdr:txBody>
    </xdr:sp>
    <xdr:clientData/>
  </xdr:twoCellAnchor>
  <xdr:twoCellAnchor>
    <xdr:from>
      <xdr:col>10</xdr:col>
      <xdr:colOff>365012</xdr:colOff>
      <xdr:row>40</xdr:row>
      <xdr:rowOff>52779</xdr:rowOff>
    </xdr:from>
    <xdr:to>
      <xdr:col>13</xdr:col>
      <xdr:colOff>284612</xdr:colOff>
      <xdr:row>42</xdr:row>
      <xdr:rowOff>81729</xdr:rowOff>
    </xdr:to>
    <xdr:sp macro="" textlink="">
      <xdr:nvSpPr>
        <xdr:cNvPr id="94" name="Rounded Rectangle 93">
          <a:hlinkClick xmlns:r="http://schemas.openxmlformats.org/officeDocument/2006/relationships" r:id="rId33"/>
        </xdr:cNvPr>
        <xdr:cNvSpPr/>
      </xdr:nvSpPr>
      <xdr:spPr>
        <a:xfrm>
          <a:off x="10652012" y="7825179"/>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30. Network characteristics</a:t>
          </a:r>
          <a:endParaRPr lang="en-AU" sz="1100" b="1">
            <a:solidFill>
              <a:schemeClr val="tx1"/>
            </a:solidFill>
          </a:endParaRPr>
        </a:p>
      </xdr:txBody>
    </xdr:sp>
    <xdr:clientData/>
  </xdr:twoCellAnchor>
  <xdr:twoCellAnchor>
    <xdr:from>
      <xdr:col>6</xdr:col>
      <xdr:colOff>332355</xdr:colOff>
      <xdr:row>23</xdr:row>
      <xdr:rowOff>80851</xdr:rowOff>
    </xdr:from>
    <xdr:to>
      <xdr:col>8</xdr:col>
      <xdr:colOff>747255</xdr:colOff>
      <xdr:row>25</xdr:row>
      <xdr:rowOff>109801</xdr:rowOff>
    </xdr:to>
    <xdr:sp macro="" textlink="">
      <xdr:nvSpPr>
        <xdr:cNvPr id="95" name="Rounded Rectangle 94">
          <a:hlinkClick xmlns:r="http://schemas.openxmlformats.org/officeDocument/2006/relationships" r:id="rId34"/>
        </xdr:cNvPr>
        <xdr:cNvSpPr/>
      </xdr:nvSpPr>
      <xdr:spPr>
        <a:xfrm>
          <a:off x="6790305" y="5100526"/>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20.</a:t>
          </a:r>
          <a:r>
            <a:rPr lang="en-AU" sz="1200" b="1" baseline="0">
              <a:solidFill>
                <a:schemeClr val="tx1"/>
              </a:solidFill>
            </a:rPr>
            <a:t> Changes in provisions</a:t>
          </a:r>
          <a:endParaRPr lang="en-AU" sz="1100" b="1">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112058</xdr:colOff>
      <xdr:row>0</xdr:row>
      <xdr:rowOff>123264</xdr:rowOff>
    </xdr:from>
    <xdr:to>
      <xdr:col>1</xdr:col>
      <xdr:colOff>806262</xdr:colOff>
      <xdr:row>3</xdr:row>
      <xdr:rowOff>140073</xdr:rowOff>
    </xdr:to>
    <xdr:grpSp>
      <xdr:nvGrpSpPr>
        <xdr:cNvPr id="2" name="Group 1"/>
        <xdr:cNvGrpSpPr/>
      </xdr:nvGrpSpPr>
      <xdr:grpSpPr>
        <a:xfrm>
          <a:off x="112058" y="123264"/>
          <a:ext cx="694204" cy="924485"/>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7</xdr:col>
      <xdr:colOff>33618</xdr:colOff>
      <xdr:row>0</xdr:row>
      <xdr:rowOff>89647</xdr:rowOff>
    </xdr:from>
    <xdr:to>
      <xdr:col>9</xdr:col>
      <xdr:colOff>655465</xdr:colOff>
      <xdr:row>2</xdr:row>
      <xdr:rowOff>153200</xdr:rowOff>
    </xdr:to>
    <xdr:grpSp>
      <xdr:nvGrpSpPr>
        <xdr:cNvPr id="6" name="Group 5"/>
        <xdr:cNvGrpSpPr/>
      </xdr:nvGrpSpPr>
      <xdr:grpSpPr>
        <a:xfrm>
          <a:off x="10432677" y="89647"/>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316165</xdr:colOff>
      <xdr:row>0</xdr:row>
      <xdr:rowOff>109657</xdr:rowOff>
    </xdr:from>
    <xdr:to>
      <xdr:col>0</xdr:col>
      <xdr:colOff>1010369</xdr:colOff>
      <xdr:row>3</xdr:row>
      <xdr:rowOff>126466</xdr:rowOff>
    </xdr:to>
    <xdr:grpSp>
      <xdr:nvGrpSpPr>
        <xdr:cNvPr id="5" name="Group 4"/>
        <xdr:cNvGrpSpPr/>
      </xdr:nvGrpSpPr>
      <xdr:grpSpPr>
        <a:xfrm>
          <a:off x="316165" y="109657"/>
          <a:ext cx="694204" cy="926014"/>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2</xdr:col>
      <xdr:colOff>742950</xdr:colOff>
      <xdr:row>0</xdr:row>
      <xdr:rowOff>133350</xdr:rowOff>
    </xdr:from>
    <xdr:to>
      <xdr:col>4</xdr:col>
      <xdr:colOff>709253</xdr:colOff>
      <xdr:row>2</xdr:row>
      <xdr:rowOff>192421</xdr:rowOff>
    </xdr:to>
    <xdr:grpSp>
      <xdr:nvGrpSpPr>
        <xdr:cNvPr id="9" name="Group 8"/>
        <xdr:cNvGrpSpPr/>
      </xdr:nvGrpSpPr>
      <xdr:grpSpPr>
        <a:xfrm>
          <a:off x="6302086" y="133350"/>
          <a:ext cx="3109553" cy="665207"/>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421822</xdr:colOff>
      <xdr:row>0</xdr:row>
      <xdr:rowOff>81643</xdr:rowOff>
    </xdr:from>
    <xdr:to>
      <xdr:col>8</xdr:col>
      <xdr:colOff>388125</xdr:colOff>
      <xdr:row>2</xdr:row>
      <xdr:rowOff>178814</xdr:rowOff>
    </xdr:to>
    <xdr:grpSp>
      <xdr:nvGrpSpPr>
        <xdr:cNvPr id="10" name="Group 9"/>
        <xdr:cNvGrpSpPr/>
      </xdr:nvGrpSpPr>
      <xdr:grpSpPr>
        <a:xfrm>
          <a:off x="14409965" y="81643"/>
          <a:ext cx="3109553" cy="668671"/>
          <a:chOff x="7608794" y="145676"/>
          <a:chExt cx="3047258" cy="652342"/>
        </a:xfrm>
      </xdr:grpSpPr>
      <xdr:sp macro="[0]!MarkConfidential" textlink="">
        <xdr:nvSpPr>
          <xdr:cNvPr id="11" name="Rounded Rectangle 10"/>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twoCellAnchor>
    <xdr:from>
      <xdr:col>0</xdr:col>
      <xdr:colOff>216833</xdr:colOff>
      <xdr:row>0</xdr:row>
      <xdr:rowOff>113739</xdr:rowOff>
    </xdr:from>
    <xdr:to>
      <xdr:col>0</xdr:col>
      <xdr:colOff>1152525</xdr:colOff>
      <xdr:row>3</xdr:row>
      <xdr:rowOff>130548</xdr:rowOff>
    </xdr:to>
    <xdr:grpSp>
      <xdr:nvGrpSpPr>
        <xdr:cNvPr id="17" name="Group 16"/>
        <xdr:cNvGrpSpPr/>
      </xdr:nvGrpSpPr>
      <xdr:grpSpPr>
        <a:xfrm>
          <a:off x="216833" y="113739"/>
          <a:ext cx="935692" cy="874059"/>
          <a:chOff x="0" y="1560739"/>
          <a:chExt cx="762000" cy="931132"/>
        </a:xfrm>
      </xdr:grpSpPr>
      <xdr:pic>
        <xdr:nvPicPr>
          <xdr:cNvPr id="18"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20"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87405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5</xdr:col>
      <xdr:colOff>421822</xdr:colOff>
      <xdr:row>0</xdr:row>
      <xdr:rowOff>81643</xdr:rowOff>
    </xdr:from>
    <xdr:to>
      <xdr:col>8</xdr:col>
      <xdr:colOff>388125</xdr:colOff>
      <xdr:row>2</xdr:row>
      <xdr:rowOff>178814</xdr:rowOff>
    </xdr:to>
    <xdr:grpSp>
      <xdr:nvGrpSpPr>
        <xdr:cNvPr id="6" name="Group 5"/>
        <xdr:cNvGrpSpPr/>
      </xdr:nvGrpSpPr>
      <xdr:grpSpPr>
        <a:xfrm>
          <a:off x="14042572" y="81643"/>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8103"/>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5</xdr:col>
      <xdr:colOff>44823</xdr:colOff>
      <xdr:row>0</xdr:row>
      <xdr:rowOff>145677</xdr:rowOff>
    </xdr:from>
    <xdr:to>
      <xdr:col>7</xdr:col>
      <xdr:colOff>1047670</xdr:colOff>
      <xdr:row>2</xdr:row>
      <xdr:rowOff>186819</xdr:rowOff>
    </xdr:to>
    <xdr:grpSp>
      <xdr:nvGrpSpPr>
        <xdr:cNvPr id="6" name="Group 5"/>
        <xdr:cNvGrpSpPr/>
      </xdr:nvGrpSpPr>
      <xdr:grpSpPr>
        <a:xfrm>
          <a:off x="10970558" y="145677"/>
          <a:ext cx="3109553" cy="668671"/>
          <a:chOff x="7608794" y="145676"/>
          <a:chExt cx="3047258" cy="652342"/>
        </a:xfrm>
      </xdr:grpSpPr>
      <xdr:sp macro=""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179294</xdr:colOff>
      <xdr:row>0</xdr:row>
      <xdr:rowOff>1</xdr:rowOff>
    </xdr:from>
    <xdr:to>
      <xdr:col>1</xdr:col>
      <xdr:colOff>1243853</xdr:colOff>
      <xdr:row>4</xdr:row>
      <xdr:rowOff>179294</xdr:rowOff>
    </xdr:to>
    <xdr:grpSp>
      <xdr:nvGrpSpPr>
        <xdr:cNvPr id="2" name="Group 1"/>
        <xdr:cNvGrpSpPr>
          <a:grpSpLocks/>
        </xdr:cNvGrpSpPr>
      </xdr:nvGrpSpPr>
      <xdr:grpSpPr bwMode="auto">
        <a:xfrm>
          <a:off x="179294" y="1"/>
          <a:ext cx="1064559" cy="1423146"/>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11</xdr:col>
      <xdr:colOff>56830</xdr:colOff>
      <xdr:row>0</xdr:row>
      <xdr:rowOff>145676</xdr:rowOff>
    </xdr:from>
    <xdr:to>
      <xdr:col>14</xdr:col>
      <xdr:colOff>108858</xdr:colOff>
      <xdr:row>2</xdr:row>
      <xdr:rowOff>212911</xdr:rowOff>
    </xdr:to>
    <xdr:grpSp>
      <xdr:nvGrpSpPr>
        <xdr:cNvPr id="8" name="Group 7"/>
        <xdr:cNvGrpSpPr/>
      </xdr:nvGrpSpPr>
      <xdr:grpSpPr>
        <a:xfrm>
          <a:off x="15969183" y="145676"/>
          <a:ext cx="3111234" cy="661147"/>
          <a:chOff x="7608794" y="145676"/>
          <a:chExt cx="3047258" cy="652342"/>
        </a:xfrm>
      </xdr:grpSpPr>
      <xdr:sp macro="[0]!MarkConfidential" textlink="">
        <xdr:nvSpPr>
          <xdr:cNvPr id="9" name="Rounded Rectangle 8"/>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0" name="Rounded Rectangle 9"/>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272143</xdr:colOff>
      <xdr:row>0</xdr:row>
      <xdr:rowOff>136071</xdr:rowOff>
    </xdr:from>
    <xdr:to>
      <xdr:col>11</xdr:col>
      <xdr:colOff>238446</xdr:colOff>
      <xdr:row>2</xdr:row>
      <xdr:rowOff>178813</xdr:rowOff>
    </xdr:to>
    <xdr:grpSp>
      <xdr:nvGrpSpPr>
        <xdr:cNvPr id="6" name="Group 5"/>
        <xdr:cNvGrpSpPr/>
      </xdr:nvGrpSpPr>
      <xdr:grpSpPr>
        <a:xfrm>
          <a:off x="11375572" y="136071"/>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381001</xdr:colOff>
      <xdr:row>0</xdr:row>
      <xdr:rowOff>156883</xdr:rowOff>
    </xdr:from>
    <xdr:to>
      <xdr:col>13</xdr:col>
      <xdr:colOff>666671</xdr:colOff>
      <xdr:row>2</xdr:row>
      <xdr:rowOff>198025</xdr:rowOff>
    </xdr:to>
    <xdr:grpSp>
      <xdr:nvGrpSpPr>
        <xdr:cNvPr id="6" name="Group 5"/>
        <xdr:cNvGrpSpPr/>
      </xdr:nvGrpSpPr>
      <xdr:grpSpPr>
        <a:xfrm>
          <a:off x="10885715" y="156883"/>
          <a:ext cx="2816599" cy="6670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384201</xdr:colOff>
      <xdr:row>0</xdr:row>
      <xdr:rowOff>136871</xdr:rowOff>
    </xdr:from>
    <xdr:to>
      <xdr:col>0</xdr:col>
      <xdr:colOff>1078405</xdr:colOff>
      <xdr:row>3</xdr:row>
      <xdr:rowOff>153680</xdr:rowOff>
    </xdr:to>
    <xdr:grpSp>
      <xdr:nvGrpSpPr>
        <xdr:cNvPr id="2" name="Group 1"/>
        <xdr:cNvGrpSpPr/>
      </xdr:nvGrpSpPr>
      <xdr:grpSpPr>
        <a:xfrm>
          <a:off x="384201" y="136871"/>
          <a:ext cx="694204" cy="991721"/>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493060</xdr:colOff>
      <xdr:row>0</xdr:row>
      <xdr:rowOff>179292</xdr:rowOff>
    </xdr:from>
    <xdr:to>
      <xdr:col>8</xdr:col>
      <xdr:colOff>1114907</xdr:colOff>
      <xdr:row>2</xdr:row>
      <xdr:rowOff>198022</xdr:rowOff>
    </xdr:to>
    <xdr:grpSp>
      <xdr:nvGrpSpPr>
        <xdr:cNvPr id="6" name="Group 5"/>
        <xdr:cNvGrpSpPr/>
      </xdr:nvGrpSpPr>
      <xdr:grpSpPr>
        <a:xfrm>
          <a:off x="10062884" y="179292"/>
          <a:ext cx="2534130"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5" name="Group 4"/>
        <xdr:cNvGrpSpPr/>
      </xdr:nvGrpSpPr>
      <xdr:grpSpPr>
        <a:xfrm>
          <a:off x="112058" y="123264"/>
          <a:ext cx="694204" cy="955702"/>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952500</xdr:colOff>
      <xdr:row>0</xdr:row>
      <xdr:rowOff>136071</xdr:rowOff>
    </xdr:from>
    <xdr:to>
      <xdr:col>11</xdr:col>
      <xdr:colOff>918803</xdr:colOff>
      <xdr:row>2</xdr:row>
      <xdr:rowOff>178813</xdr:rowOff>
    </xdr:to>
    <xdr:grpSp>
      <xdr:nvGrpSpPr>
        <xdr:cNvPr id="9" name="Group 8"/>
        <xdr:cNvGrpSpPr/>
      </xdr:nvGrpSpPr>
      <xdr:grpSpPr>
        <a:xfrm>
          <a:off x="14396357" y="136071"/>
          <a:ext cx="3109553" cy="668671"/>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2892368</xdr:colOff>
      <xdr:row>13</xdr:row>
      <xdr:rowOff>101546</xdr:rowOff>
    </xdr:from>
    <xdr:to>
      <xdr:col>4</xdr:col>
      <xdr:colOff>4142959</xdr:colOff>
      <xdr:row>13</xdr:row>
      <xdr:rowOff>280616</xdr:rowOff>
    </xdr:to>
    <xdr:sp macro="" textlink="">
      <xdr:nvSpPr>
        <xdr:cNvPr id="101379" name="Rectangle 22"/>
        <xdr:cNvSpPr>
          <a:spLocks noChangeArrowheads="1"/>
        </xdr:cNvSpPr>
      </xdr:nvSpPr>
      <xdr:spPr bwMode="auto">
        <a:xfrm>
          <a:off x="5509672" y="2694003"/>
          <a:ext cx="1250591" cy="179070"/>
        </a:xfrm>
        <a:prstGeom prst="rect">
          <a:avLst/>
        </a:prstGeom>
        <a:solidFill>
          <a:srgbClr val="FFFFCC"/>
        </a:solidFill>
        <a:ln w="9525" algn="ctr">
          <a:solidFill>
            <a:srgbClr val="000000"/>
          </a:solidFill>
          <a:miter lim="800000"/>
          <a:headEnd/>
          <a:tailEnd/>
        </a:ln>
      </xdr:spPr>
    </xdr:sp>
    <xdr:clientData/>
  </xdr:twoCellAnchor>
  <xdr:twoCellAnchor>
    <xdr:from>
      <xdr:col>1</xdr:col>
      <xdr:colOff>60814</xdr:colOff>
      <xdr:row>0</xdr:row>
      <xdr:rowOff>54219</xdr:rowOff>
    </xdr:from>
    <xdr:to>
      <xdr:col>2</xdr:col>
      <xdr:colOff>213214</xdr:colOff>
      <xdr:row>4</xdr:row>
      <xdr:rowOff>111650</xdr:rowOff>
    </xdr:to>
    <xdr:grpSp>
      <xdr:nvGrpSpPr>
        <xdr:cNvPr id="2" name="Group 1"/>
        <xdr:cNvGrpSpPr/>
      </xdr:nvGrpSpPr>
      <xdr:grpSpPr>
        <a:xfrm>
          <a:off x="527539" y="54219"/>
          <a:ext cx="762000" cy="705131"/>
          <a:chOff x="0" y="171450"/>
          <a:chExt cx="762000" cy="709527"/>
        </a:xfrm>
      </xdr:grpSpPr>
      <xdr:pic>
        <xdr:nvPicPr>
          <xdr:cNvPr id="101380"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
            <a:ext cx="7620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goToPage1" textlink="">
        <xdr:nvSpPr>
          <xdr:cNvPr id="9" name="AutoShape 4">
            <a:hlinkClick xmlns:r="http://schemas.openxmlformats.org/officeDocument/2006/relationships" r:id="rId2"/>
          </xdr:cNvPr>
          <xdr:cNvSpPr>
            <a:spLocks noChangeArrowheads="1"/>
          </xdr:cNvSpPr>
        </xdr:nvSpPr>
        <xdr:spPr bwMode="auto">
          <a:xfrm>
            <a:off x="19050" y="647700"/>
            <a:ext cx="736671" cy="233277"/>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257734</xdr:colOff>
      <xdr:row>0</xdr:row>
      <xdr:rowOff>134470</xdr:rowOff>
    </xdr:from>
    <xdr:to>
      <xdr:col>0</xdr:col>
      <xdr:colOff>951938</xdr:colOff>
      <xdr:row>3</xdr:row>
      <xdr:rowOff>151279</xdr:rowOff>
    </xdr:to>
    <xdr:grpSp>
      <xdr:nvGrpSpPr>
        <xdr:cNvPr id="5" name="Group 4"/>
        <xdr:cNvGrpSpPr/>
      </xdr:nvGrpSpPr>
      <xdr:grpSpPr>
        <a:xfrm>
          <a:off x="257734" y="134470"/>
          <a:ext cx="694204" cy="955702"/>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7</xdr:col>
      <xdr:colOff>993322</xdr:colOff>
      <xdr:row>0</xdr:row>
      <xdr:rowOff>163285</xdr:rowOff>
    </xdr:from>
    <xdr:to>
      <xdr:col>10</xdr:col>
      <xdr:colOff>959625</xdr:colOff>
      <xdr:row>2</xdr:row>
      <xdr:rowOff>206027</xdr:rowOff>
    </xdr:to>
    <xdr:grpSp>
      <xdr:nvGrpSpPr>
        <xdr:cNvPr id="9" name="Group 8"/>
        <xdr:cNvGrpSpPr/>
      </xdr:nvGrpSpPr>
      <xdr:grpSpPr>
        <a:xfrm>
          <a:off x="12681858" y="163285"/>
          <a:ext cx="3109553" cy="668671"/>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5" name="Group 4"/>
        <xdr:cNvGrpSpPr/>
      </xdr:nvGrpSpPr>
      <xdr:grpSpPr>
        <a:xfrm>
          <a:off x="112058" y="123264"/>
          <a:ext cx="694204" cy="955702"/>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353785</xdr:colOff>
      <xdr:row>0</xdr:row>
      <xdr:rowOff>136071</xdr:rowOff>
    </xdr:from>
    <xdr:to>
      <xdr:col>13</xdr:col>
      <xdr:colOff>524196</xdr:colOff>
      <xdr:row>2</xdr:row>
      <xdr:rowOff>178813</xdr:rowOff>
    </xdr:to>
    <xdr:grpSp>
      <xdr:nvGrpSpPr>
        <xdr:cNvPr id="9" name="Group 8"/>
        <xdr:cNvGrpSpPr/>
      </xdr:nvGrpSpPr>
      <xdr:grpSpPr>
        <a:xfrm>
          <a:off x="13552714" y="136071"/>
          <a:ext cx="3109553" cy="668671"/>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5" name="Group 4"/>
        <xdr:cNvGrpSpPr/>
      </xdr:nvGrpSpPr>
      <xdr:grpSpPr>
        <a:xfrm>
          <a:off x="112058" y="123264"/>
          <a:ext cx="694204" cy="955702"/>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830036</xdr:colOff>
      <xdr:row>0</xdr:row>
      <xdr:rowOff>190500</xdr:rowOff>
    </xdr:from>
    <xdr:to>
      <xdr:col>15</xdr:col>
      <xdr:colOff>565018</xdr:colOff>
      <xdr:row>2</xdr:row>
      <xdr:rowOff>233242</xdr:rowOff>
    </xdr:to>
    <xdr:grpSp>
      <xdr:nvGrpSpPr>
        <xdr:cNvPr id="9" name="Group 8"/>
        <xdr:cNvGrpSpPr/>
      </xdr:nvGrpSpPr>
      <xdr:grpSpPr>
        <a:xfrm>
          <a:off x="16002000" y="190500"/>
          <a:ext cx="3109554" cy="668671"/>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10" name="Group 9"/>
        <xdr:cNvGrpSpPr/>
      </xdr:nvGrpSpPr>
      <xdr:grpSpPr>
        <a:xfrm>
          <a:off x="112058" y="123264"/>
          <a:ext cx="694204" cy="955702"/>
          <a:chOff x="0" y="1560739"/>
          <a:chExt cx="762000" cy="931132"/>
        </a:xfrm>
      </xdr:grpSpPr>
      <xdr:pic>
        <xdr:nvPicPr>
          <xdr:cNvPr id="11"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3"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12</xdr:col>
      <xdr:colOff>277091</xdr:colOff>
      <xdr:row>0</xdr:row>
      <xdr:rowOff>138545</xdr:rowOff>
    </xdr:from>
    <xdr:to>
      <xdr:col>15</xdr:col>
      <xdr:colOff>217417</xdr:colOff>
      <xdr:row>2</xdr:row>
      <xdr:rowOff>183761</xdr:rowOff>
    </xdr:to>
    <xdr:grpSp>
      <xdr:nvGrpSpPr>
        <xdr:cNvPr id="6" name="Group 5"/>
        <xdr:cNvGrpSpPr/>
      </xdr:nvGrpSpPr>
      <xdr:grpSpPr>
        <a:xfrm>
          <a:off x="17313234" y="138545"/>
          <a:ext cx="3083576" cy="671145"/>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830036</xdr:colOff>
      <xdr:row>0</xdr:row>
      <xdr:rowOff>190500</xdr:rowOff>
    </xdr:from>
    <xdr:to>
      <xdr:col>15</xdr:col>
      <xdr:colOff>565018</xdr:colOff>
      <xdr:row>2</xdr:row>
      <xdr:rowOff>233242</xdr:rowOff>
    </xdr:to>
    <xdr:grpSp>
      <xdr:nvGrpSpPr>
        <xdr:cNvPr id="6" name="Group 5"/>
        <xdr:cNvGrpSpPr/>
      </xdr:nvGrpSpPr>
      <xdr:grpSpPr>
        <a:xfrm>
          <a:off x="16002000" y="190500"/>
          <a:ext cx="3109554"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12</xdr:col>
      <xdr:colOff>277091</xdr:colOff>
      <xdr:row>0</xdr:row>
      <xdr:rowOff>138545</xdr:rowOff>
    </xdr:from>
    <xdr:to>
      <xdr:col>15</xdr:col>
      <xdr:colOff>217417</xdr:colOff>
      <xdr:row>2</xdr:row>
      <xdr:rowOff>183761</xdr:rowOff>
    </xdr:to>
    <xdr:grpSp>
      <xdr:nvGrpSpPr>
        <xdr:cNvPr id="6" name="Group 5"/>
        <xdr:cNvGrpSpPr/>
      </xdr:nvGrpSpPr>
      <xdr:grpSpPr>
        <a:xfrm>
          <a:off x="17313234" y="138545"/>
          <a:ext cx="3083576" cy="671145"/>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830036</xdr:colOff>
      <xdr:row>0</xdr:row>
      <xdr:rowOff>190500</xdr:rowOff>
    </xdr:from>
    <xdr:to>
      <xdr:col>15</xdr:col>
      <xdr:colOff>565018</xdr:colOff>
      <xdr:row>2</xdr:row>
      <xdr:rowOff>233242</xdr:rowOff>
    </xdr:to>
    <xdr:grpSp>
      <xdr:nvGrpSpPr>
        <xdr:cNvPr id="6" name="Group 5"/>
        <xdr:cNvGrpSpPr/>
      </xdr:nvGrpSpPr>
      <xdr:grpSpPr>
        <a:xfrm>
          <a:off x="16002000" y="190500"/>
          <a:ext cx="3109554"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12</xdr:col>
      <xdr:colOff>277091</xdr:colOff>
      <xdr:row>0</xdr:row>
      <xdr:rowOff>138545</xdr:rowOff>
    </xdr:from>
    <xdr:to>
      <xdr:col>15</xdr:col>
      <xdr:colOff>217417</xdr:colOff>
      <xdr:row>2</xdr:row>
      <xdr:rowOff>183761</xdr:rowOff>
    </xdr:to>
    <xdr:grpSp>
      <xdr:nvGrpSpPr>
        <xdr:cNvPr id="6" name="Group 5"/>
        <xdr:cNvGrpSpPr/>
      </xdr:nvGrpSpPr>
      <xdr:grpSpPr>
        <a:xfrm>
          <a:off x="17313234" y="138545"/>
          <a:ext cx="3083576" cy="671145"/>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830036</xdr:colOff>
      <xdr:row>0</xdr:row>
      <xdr:rowOff>190500</xdr:rowOff>
    </xdr:from>
    <xdr:to>
      <xdr:col>15</xdr:col>
      <xdr:colOff>565018</xdr:colOff>
      <xdr:row>2</xdr:row>
      <xdr:rowOff>233242</xdr:rowOff>
    </xdr:to>
    <xdr:grpSp>
      <xdr:nvGrpSpPr>
        <xdr:cNvPr id="6" name="Group 5"/>
        <xdr:cNvGrpSpPr/>
      </xdr:nvGrpSpPr>
      <xdr:grpSpPr>
        <a:xfrm>
          <a:off x="16002000" y="190500"/>
          <a:ext cx="3109554"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12</xdr:col>
      <xdr:colOff>277091</xdr:colOff>
      <xdr:row>0</xdr:row>
      <xdr:rowOff>138545</xdr:rowOff>
    </xdr:from>
    <xdr:to>
      <xdr:col>15</xdr:col>
      <xdr:colOff>217417</xdr:colOff>
      <xdr:row>2</xdr:row>
      <xdr:rowOff>183761</xdr:rowOff>
    </xdr:to>
    <xdr:grpSp>
      <xdr:nvGrpSpPr>
        <xdr:cNvPr id="6" name="Group 5"/>
        <xdr:cNvGrpSpPr/>
      </xdr:nvGrpSpPr>
      <xdr:grpSpPr>
        <a:xfrm>
          <a:off x="17313234" y="138545"/>
          <a:ext cx="3083576" cy="671145"/>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997323</xdr:colOff>
      <xdr:row>0</xdr:row>
      <xdr:rowOff>22412</xdr:rowOff>
    </xdr:from>
    <xdr:to>
      <xdr:col>0</xdr:col>
      <xdr:colOff>2151529</xdr:colOff>
      <xdr:row>3</xdr:row>
      <xdr:rowOff>291353</xdr:rowOff>
    </xdr:to>
    <xdr:grpSp>
      <xdr:nvGrpSpPr>
        <xdr:cNvPr id="2" name="Group 1"/>
        <xdr:cNvGrpSpPr/>
      </xdr:nvGrpSpPr>
      <xdr:grpSpPr>
        <a:xfrm>
          <a:off x="997323" y="22412"/>
          <a:ext cx="1154206" cy="1176617"/>
          <a:chOff x="165320" y="2985326"/>
          <a:chExt cx="963805" cy="1410158"/>
        </a:xfrm>
      </xdr:grpSpPr>
      <xdr:grpSp>
        <xdr:nvGrpSpPr>
          <xdr:cNvPr id="3" name="Group 2"/>
          <xdr:cNvGrpSpPr>
            <a:grpSpLocks/>
          </xdr:cNvGrpSpPr>
        </xdr:nvGrpSpPr>
        <xdr:grpSpPr bwMode="auto">
          <a:xfrm>
            <a:off x="165320" y="2985326"/>
            <a:ext cx="963805" cy="1410158"/>
            <a:chOff x="59" y="246"/>
            <a:chExt cx="78" cy="119"/>
          </a:xfrm>
        </xdr:grpSpPr>
        <xdr:sp macro="" textlink="">
          <xdr:nvSpPr>
            <xdr:cNvPr id="6" name="Rectangle 3"/>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8" name="Group 7"/>
        <xdr:cNvGrpSpPr/>
      </xdr:nvGrpSpPr>
      <xdr:grpSpPr>
        <a:xfrm>
          <a:off x="112058" y="123264"/>
          <a:ext cx="694204" cy="955702"/>
          <a:chOff x="0" y="1560739"/>
          <a:chExt cx="762000" cy="931132"/>
        </a:xfrm>
      </xdr:grpSpPr>
      <xdr:pic>
        <xdr:nvPicPr>
          <xdr:cNvPr id="9"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1"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324971</xdr:colOff>
      <xdr:row>0</xdr:row>
      <xdr:rowOff>145677</xdr:rowOff>
    </xdr:from>
    <xdr:to>
      <xdr:col>9</xdr:col>
      <xdr:colOff>274465</xdr:colOff>
      <xdr:row>2</xdr:row>
      <xdr:rowOff>186819</xdr:rowOff>
    </xdr:to>
    <xdr:grpSp>
      <xdr:nvGrpSpPr>
        <xdr:cNvPr id="6" name="Group 5"/>
        <xdr:cNvGrpSpPr/>
      </xdr:nvGrpSpPr>
      <xdr:grpSpPr>
        <a:xfrm>
          <a:off x="12367292" y="145677"/>
          <a:ext cx="3092744" cy="6670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40821</xdr:colOff>
      <xdr:row>0</xdr:row>
      <xdr:rowOff>136071</xdr:rowOff>
    </xdr:from>
    <xdr:to>
      <xdr:col>13</xdr:col>
      <xdr:colOff>7124</xdr:colOff>
      <xdr:row>2</xdr:row>
      <xdr:rowOff>178813</xdr:rowOff>
    </xdr:to>
    <xdr:grpSp>
      <xdr:nvGrpSpPr>
        <xdr:cNvPr id="6" name="Group 5"/>
        <xdr:cNvGrpSpPr/>
      </xdr:nvGrpSpPr>
      <xdr:grpSpPr>
        <a:xfrm>
          <a:off x="16859250" y="136071"/>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134471</xdr:colOff>
      <xdr:row>0</xdr:row>
      <xdr:rowOff>179294</xdr:rowOff>
    </xdr:from>
    <xdr:to>
      <xdr:col>11</xdr:col>
      <xdr:colOff>83965</xdr:colOff>
      <xdr:row>2</xdr:row>
      <xdr:rowOff>220436</xdr:rowOff>
    </xdr:to>
    <xdr:grpSp>
      <xdr:nvGrpSpPr>
        <xdr:cNvPr id="6" name="Group 5"/>
        <xdr:cNvGrpSpPr/>
      </xdr:nvGrpSpPr>
      <xdr:grpSpPr>
        <a:xfrm>
          <a:off x="10176542" y="179294"/>
          <a:ext cx="3092744" cy="6670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119743</xdr:colOff>
      <xdr:row>0</xdr:row>
      <xdr:rowOff>146957</xdr:rowOff>
    </xdr:from>
    <xdr:to>
      <xdr:col>1</xdr:col>
      <xdr:colOff>990600</xdr:colOff>
      <xdr:row>3</xdr:row>
      <xdr:rowOff>180018</xdr:rowOff>
    </xdr:to>
    <xdr:grpSp>
      <xdr:nvGrpSpPr>
        <xdr:cNvPr id="2" name="Group 1"/>
        <xdr:cNvGrpSpPr/>
      </xdr:nvGrpSpPr>
      <xdr:grpSpPr>
        <a:xfrm>
          <a:off x="724861" y="146957"/>
          <a:ext cx="870857" cy="940737"/>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176893</xdr:colOff>
      <xdr:row>0</xdr:row>
      <xdr:rowOff>118382</xdr:rowOff>
    </xdr:from>
    <xdr:to>
      <xdr:col>0</xdr:col>
      <xdr:colOff>938893</xdr:colOff>
      <xdr:row>3</xdr:row>
      <xdr:rowOff>151443</xdr:rowOff>
    </xdr:to>
    <xdr:grpSp>
      <xdr:nvGrpSpPr>
        <xdr:cNvPr id="2" name="Group 1"/>
        <xdr:cNvGrpSpPr/>
      </xdr:nvGrpSpPr>
      <xdr:grpSpPr>
        <a:xfrm>
          <a:off x="176893" y="118382"/>
          <a:ext cx="762000" cy="93113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0</xdr:colOff>
      <xdr:row>0</xdr:row>
      <xdr:rowOff>171450</xdr:rowOff>
    </xdr:from>
    <xdr:to>
      <xdr:col>9</xdr:col>
      <xdr:colOff>252053</xdr:colOff>
      <xdr:row>2</xdr:row>
      <xdr:rowOff>230521</xdr:rowOff>
    </xdr:to>
    <xdr:grpSp>
      <xdr:nvGrpSpPr>
        <xdr:cNvPr id="6" name="Group 5"/>
        <xdr:cNvGrpSpPr/>
      </xdr:nvGrpSpPr>
      <xdr:grpSpPr>
        <a:xfrm>
          <a:off x="9348107" y="171450"/>
          <a:ext cx="3109553" cy="657785"/>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3781425</xdr:colOff>
      <xdr:row>4</xdr:row>
      <xdr:rowOff>0</xdr:rowOff>
    </xdr:to>
    <xdr:sp macro="" textlink="">
      <xdr:nvSpPr>
        <xdr:cNvPr id="2" name="Text Box 58"/>
        <xdr:cNvSpPr txBox="1">
          <a:spLocks noChangeArrowheads="1"/>
        </xdr:cNvSpPr>
      </xdr:nvSpPr>
      <xdr:spPr bwMode="auto">
        <a:xfrm>
          <a:off x="2209800" y="1219200"/>
          <a:ext cx="3781425"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0" bIns="0" anchor="t" upright="1"/>
        <a:lstStyle/>
        <a:p>
          <a:pPr algn="l" rtl="0">
            <a:defRPr sz="1000"/>
          </a:pPr>
          <a:r>
            <a:rPr lang="en-AU" sz="1600" b="1" i="0" u="none" strike="noStrike" baseline="0">
              <a:solidFill>
                <a:srgbClr val="FFFFFF"/>
              </a:solidFill>
              <a:latin typeface="Arial"/>
              <a:cs typeface="Arial"/>
            </a:rPr>
            <a:t>Non-Demand Capital Expenditure Including Related Party Margins</a:t>
          </a:r>
        </a:p>
        <a:p>
          <a:pPr algn="l" rtl="0">
            <a:defRPr sz="1000"/>
          </a:pPr>
          <a:endParaRPr lang="en-AU" sz="1600" b="1" i="0" u="none" strike="noStrike" baseline="0">
            <a:solidFill>
              <a:srgbClr val="FFFFFF"/>
            </a:solidFill>
            <a:latin typeface="Arial"/>
            <a:cs typeface="Arial"/>
          </a:endParaRPr>
        </a:p>
      </xdr:txBody>
    </xdr:sp>
    <xdr:clientData/>
  </xdr:twoCellAnchor>
  <xdr:twoCellAnchor>
    <xdr:from>
      <xdr:col>1</xdr:col>
      <xdr:colOff>0</xdr:colOff>
      <xdr:row>4</xdr:row>
      <xdr:rowOff>0</xdr:rowOff>
    </xdr:from>
    <xdr:to>
      <xdr:col>1</xdr:col>
      <xdr:colOff>4410075</xdr:colOff>
      <xdr:row>4</xdr:row>
      <xdr:rowOff>0</xdr:rowOff>
    </xdr:to>
    <xdr:sp macro="" textlink="">
      <xdr:nvSpPr>
        <xdr:cNvPr id="3" name="Text Box 59"/>
        <xdr:cNvSpPr txBox="1">
          <a:spLocks noChangeArrowheads="1"/>
        </xdr:cNvSpPr>
      </xdr:nvSpPr>
      <xdr:spPr bwMode="auto">
        <a:xfrm>
          <a:off x="2209800" y="1219200"/>
          <a:ext cx="44100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89807</xdr:colOff>
      <xdr:row>0</xdr:row>
      <xdr:rowOff>191522</xdr:rowOff>
    </xdr:from>
    <xdr:to>
      <xdr:col>0</xdr:col>
      <xdr:colOff>794657</xdr:colOff>
      <xdr:row>4</xdr:row>
      <xdr:rowOff>62658</xdr:rowOff>
    </xdr:to>
    <xdr:grpSp>
      <xdr:nvGrpSpPr>
        <xdr:cNvPr id="4" name="Group 3"/>
        <xdr:cNvGrpSpPr/>
      </xdr:nvGrpSpPr>
      <xdr:grpSpPr>
        <a:xfrm>
          <a:off x="89807" y="191522"/>
          <a:ext cx="704850" cy="1118045"/>
          <a:chOff x="0" y="1560739"/>
          <a:chExt cx="762000" cy="931132"/>
        </a:xfrm>
      </xdr:grpSpPr>
      <xdr:pic>
        <xdr:nvPicPr>
          <xdr:cNvPr id="5"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7"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68036</xdr:colOff>
      <xdr:row>0</xdr:row>
      <xdr:rowOff>131990</xdr:rowOff>
    </xdr:from>
    <xdr:to>
      <xdr:col>0</xdr:col>
      <xdr:colOff>985157</xdr:colOff>
      <xdr:row>4</xdr:row>
      <xdr:rowOff>0</xdr:rowOff>
    </xdr:to>
    <xdr:grpSp>
      <xdr:nvGrpSpPr>
        <xdr:cNvPr id="2" name="Group 1"/>
        <xdr:cNvGrpSpPr/>
      </xdr:nvGrpSpPr>
      <xdr:grpSpPr>
        <a:xfrm>
          <a:off x="68036" y="131990"/>
          <a:ext cx="917121" cy="89671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7</xdr:col>
      <xdr:colOff>895350</xdr:colOff>
      <xdr:row>0</xdr:row>
      <xdr:rowOff>114300</xdr:rowOff>
    </xdr:from>
    <xdr:to>
      <xdr:col>11</xdr:col>
      <xdr:colOff>347303</xdr:colOff>
      <xdr:row>2</xdr:row>
      <xdr:rowOff>192421</xdr:rowOff>
    </xdr:to>
    <xdr:grpSp>
      <xdr:nvGrpSpPr>
        <xdr:cNvPr id="6" name="Group 5"/>
        <xdr:cNvGrpSpPr/>
      </xdr:nvGrpSpPr>
      <xdr:grpSpPr>
        <a:xfrm>
          <a:off x="12249150" y="114300"/>
          <a:ext cx="3109553" cy="5924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227006</xdr:colOff>
      <xdr:row>0</xdr:row>
      <xdr:rowOff>21348</xdr:rowOff>
    </xdr:from>
    <xdr:to>
      <xdr:col>3</xdr:col>
      <xdr:colOff>1383418</xdr:colOff>
      <xdr:row>3</xdr:row>
      <xdr:rowOff>236565</xdr:rowOff>
    </xdr:to>
    <xdr:grpSp>
      <xdr:nvGrpSpPr>
        <xdr:cNvPr id="6" name="Group 5"/>
        <xdr:cNvGrpSpPr/>
      </xdr:nvGrpSpPr>
      <xdr:grpSpPr>
        <a:xfrm>
          <a:off x="227006" y="21348"/>
          <a:ext cx="1156412" cy="990824"/>
          <a:chOff x="0" y="1560739"/>
          <a:chExt cx="762000" cy="931132"/>
        </a:xfrm>
      </xdr:grpSpPr>
      <xdr:pic>
        <xdr:nvPicPr>
          <xdr:cNvPr id="7"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9"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69273</xdr:colOff>
      <xdr:row>0</xdr:row>
      <xdr:rowOff>173181</xdr:rowOff>
    </xdr:from>
    <xdr:to>
      <xdr:col>14</xdr:col>
      <xdr:colOff>9599</xdr:colOff>
      <xdr:row>2</xdr:row>
      <xdr:rowOff>218397</xdr:rowOff>
    </xdr:to>
    <xdr:grpSp>
      <xdr:nvGrpSpPr>
        <xdr:cNvPr id="10" name="Group 9"/>
        <xdr:cNvGrpSpPr/>
      </xdr:nvGrpSpPr>
      <xdr:grpSpPr>
        <a:xfrm>
          <a:off x="14247916" y="173181"/>
          <a:ext cx="3083576" cy="562287"/>
          <a:chOff x="7608794" y="145676"/>
          <a:chExt cx="3047258" cy="652342"/>
        </a:xfrm>
      </xdr:grpSpPr>
      <xdr:sp macro="[0]!MarkConfidential" textlink="">
        <xdr:nvSpPr>
          <xdr:cNvPr id="11" name="Rounded Rectangle 10"/>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ER\DMT\TEMPLATES\RIN%20Templates\Benchmarking\Benchmarking%202015-16\DNSP%20-%20Benchmarking%20RIN%20-%202015-16%20blank%20template%20(unlocked)%20@%202016032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rimdata\TRIM\TEMP\HPTRIM.8940\D16%20119079%20%20Vic%20GAAR%202018-22%20preliminary%20draft%20RIN%20templates%20-%20AusNet%20-%20201609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Unlocked worksheet"/>
    </sheetNames>
    <sheetDataSet>
      <sheetData sheetId="0">
        <row r="12">
          <cell r="G12" t="str">
            <v>dms_Segment_List</v>
          </cell>
        </row>
        <row r="13">
          <cell r="G13" t="str">
            <v>Distribution</v>
          </cell>
        </row>
        <row r="14">
          <cell r="G14" t="str">
            <v>Distribution</v>
          </cell>
        </row>
        <row r="15">
          <cell r="G15" t="str">
            <v>Distribution</v>
          </cell>
        </row>
        <row r="16">
          <cell r="G16" t="str">
            <v>Distribution</v>
          </cell>
        </row>
        <row r="17">
          <cell r="G17" t="str">
            <v>Distribution</v>
          </cell>
        </row>
        <row r="18">
          <cell r="G18" t="str">
            <v>Distribution</v>
          </cell>
        </row>
        <row r="19">
          <cell r="G19" t="str">
            <v>Transmission</v>
          </cell>
        </row>
        <row r="20">
          <cell r="G20" t="str">
            <v>Distribution</v>
          </cell>
        </row>
        <row r="21">
          <cell r="G21" t="str">
            <v>Transmission</v>
          </cell>
        </row>
        <row r="22">
          <cell r="G22" t="str">
            <v>Distribution</v>
          </cell>
        </row>
        <row r="23">
          <cell r="G23" t="str">
            <v>Transmission</v>
          </cell>
        </row>
        <row r="24">
          <cell r="G24" t="str">
            <v>Transmission</v>
          </cell>
        </row>
        <row r="25">
          <cell r="G25" t="str">
            <v>Distribution</v>
          </cell>
        </row>
        <row r="26">
          <cell r="G26" t="str">
            <v>Distribution</v>
          </cell>
        </row>
        <row r="27">
          <cell r="G27" t="str">
            <v>Distribution</v>
          </cell>
        </row>
        <row r="28">
          <cell r="G28" t="str">
            <v>Distribution</v>
          </cell>
        </row>
        <row r="29">
          <cell r="G29" t="str">
            <v>Distribution</v>
          </cell>
        </row>
        <row r="30">
          <cell r="G30" t="str">
            <v>Transmission</v>
          </cell>
        </row>
        <row r="31">
          <cell r="G31" t="str">
            <v>Distribution</v>
          </cell>
        </row>
        <row r="32">
          <cell r="G32" t="str">
            <v>Transmission</v>
          </cell>
        </row>
        <row r="33">
          <cell r="G33" t="str">
            <v>Distribution</v>
          </cell>
        </row>
        <row r="34">
          <cell r="G34" t="str">
            <v>Distribution</v>
          </cell>
        </row>
        <row r="35">
          <cell r="G35" t="str">
            <v>Distribution</v>
          </cell>
        </row>
        <row r="36">
          <cell r="G36" t="str">
            <v>Transmission</v>
          </cell>
        </row>
        <row r="37">
          <cell r="G37" t="str">
            <v>Transmission</v>
          </cell>
        </row>
        <row r="38">
          <cell r="G38" t="str">
            <v>Distribution</v>
          </cell>
        </row>
        <row r="39">
          <cell r="G39" t="str">
            <v>Distribution</v>
          </cell>
        </row>
        <row r="40">
          <cell r="G40" t="str">
            <v>Distribution</v>
          </cell>
        </row>
        <row r="41">
          <cell r="G41" t="str">
            <v>Distribution</v>
          </cell>
        </row>
        <row r="42">
          <cell r="G42" t="str">
            <v>Transmission</v>
          </cell>
        </row>
        <row r="58">
          <cell r="G58" t="str">
            <v>dms_CRCPlength_Num_List</v>
          </cell>
        </row>
        <row r="59">
          <cell r="G59">
            <v>1</v>
          </cell>
        </row>
        <row r="60">
          <cell r="G60">
            <v>2</v>
          </cell>
        </row>
        <row r="61">
          <cell r="G61">
            <v>3</v>
          </cell>
        </row>
        <row r="62">
          <cell r="G62">
            <v>4</v>
          </cell>
        </row>
        <row r="63">
          <cell r="G63">
            <v>5</v>
          </cell>
        </row>
        <row r="64">
          <cell r="G64">
            <v>6</v>
          </cell>
        </row>
        <row r="65">
          <cell r="G65">
            <v>7</v>
          </cell>
        </row>
        <row r="66">
          <cell r="G66">
            <v>8</v>
          </cell>
        </row>
        <row r="67">
          <cell r="G67">
            <v>9</v>
          </cell>
        </row>
        <row r="68">
          <cell r="G68">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 base step trend"/>
      <sheetName val="23.4 Opex incentive mechanism"/>
      <sheetName val="24. Cost category matrix"/>
      <sheetName val="25. ARS"/>
      <sheetName val="26. Allocation of total revenue"/>
      <sheetName val="27. Customer numbers"/>
      <sheetName val="28. Consumption and demand"/>
      <sheetName val="29.1 Gas extenstions ($)"/>
      <sheetName val="29.2 Gas extenstions cust no"/>
      <sheetName val="29.3 Gas extensions - demand"/>
      <sheetName val="29.4 Gas extensions - tariffs"/>
      <sheetName val="30. Network characteristics"/>
      <sheetName val="31 - Pass throughs"/>
      <sheetName val="D16 119079  Vic GAAR 2018-22 pr"/>
    </sheetNames>
    <sheetDataSet>
      <sheetData sheetId="0" refreshError="1">
        <row r="8">
          <cell r="B8" t="str">
            <v>ActewAGL Distribution</v>
          </cell>
          <cell r="C8" t="str">
            <v>ActewAGL Distribution</v>
          </cell>
        </row>
        <row r="9">
          <cell r="B9" t="str">
            <v>ActewAGL Distribution (Tx Assets)</v>
          </cell>
          <cell r="C9" t="str">
            <v>ActewAGL Distribution (Tx Assets)</v>
          </cell>
        </row>
        <row r="10">
          <cell r="B10" t="str">
            <v>ActewAGL Gas</v>
          </cell>
          <cell r="C10" t="str">
            <v>ActewAGL Gas</v>
          </cell>
        </row>
        <row r="11">
          <cell r="B11" t="str">
            <v>AGN (SA)</v>
          </cell>
          <cell r="C11" t="str">
            <v>AGN (SA)</v>
          </cell>
        </row>
        <row r="12">
          <cell r="B12" t="str">
            <v>AGN (Victoria)</v>
          </cell>
          <cell r="C12" t="str">
            <v>Australian Gas Networks Limited</v>
          </cell>
        </row>
        <row r="13">
          <cell r="B13" t="str">
            <v>Amadeus</v>
          </cell>
          <cell r="C13" t="str">
            <v>APT Pipelines (NT) Pty Ltd</v>
          </cell>
        </row>
        <row r="14">
          <cell r="B14" t="str">
            <v>APA GasNet</v>
          </cell>
          <cell r="C14" t="str">
            <v>APA VTS Australia Limited</v>
          </cell>
        </row>
        <row r="15">
          <cell r="B15" t="str">
            <v>Ausgrid</v>
          </cell>
          <cell r="C15" t="str">
            <v>Ausgrid</v>
          </cell>
        </row>
        <row r="16">
          <cell r="B16" t="str">
            <v>Ausgrid (Tx Assets)</v>
          </cell>
          <cell r="C16" t="str">
            <v>Ausgrid (Tx Assets)</v>
          </cell>
        </row>
        <row r="17">
          <cell r="B17" t="str">
            <v>AusNet (D)</v>
          </cell>
          <cell r="C17" t="str">
            <v>AusNet Services (D)</v>
          </cell>
        </row>
        <row r="18">
          <cell r="B18" t="str">
            <v>AusNet (Gas)</v>
          </cell>
          <cell r="C18" t="str">
            <v>AusNet Gas Services</v>
          </cell>
        </row>
        <row r="19">
          <cell r="B19" t="str">
            <v>AusNet (T)</v>
          </cell>
          <cell r="C19" t="str">
            <v>AusNet (T)</v>
          </cell>
        </row>
        <row r="20">
          <cell r="B20" t="str">
            <v>Australian Distribution Co.</v>
          </cell>
          <cell r="C20" t="str">
            <v>Australian Distribution Co.</v>
          </cell>
        </row>
        <row r="21">
          <cell r="B21" t="str">
            <v>Australian Transmission Co.</v>
          </cell>
          <cell r="C21" t="str">
            <v>Australian Transmission Co.</v>
          </cell>
        </row>
        <row r="22">
          <cell r="B22" t="str">
            <v>CitiPower</v>
          </cell>
          <cell r="C22" t="str">
            <v>CitiPower</v>
          </cell>
        </row>
        <row r="23">
          <cell r="B23" t="str">
            <v>Directlink</v>
          </cell>
          <cell r="C23" t="str">
            <v>Directlink</v>
          </cell>
        </row>
        <row r="24">
          <cell r="B24" t="str">
            <v>ElectraNet</v>
          </cell>
          <cell r="C24" t="str">
            <v>ElectraNet</v>
          </cell>
        </row>
        <row r="25">
          <cell r="B25" t="str">
            <v>Endeavour Energy</v>
          </cell>
          <cell r="C25" t="str">
            <v>Endeavour Energy</v>
          </cell>
        </row>
        <row r="26">
          <cell r="B26" t="str">
            <v>Energex</v>
          </cell>
          <cell r="C26" t="str">
            <v>Energex</v>
          </cell>
        </row>
        <row r="27">
          <cell r="B27" t="str">
            <v>Ergon Energy</v>
          </cell>
          <cell r="C27" t="str">
            <v>Ergon Energy</v>
          </cell>
        </row>
        <row r="28">
          <cell r="B28" t="str">
            <v>Essential Energy</v>
          </cell>
          <cell r="C28" t="str">
            <v>Essential Energy</v>
          </cell>
        </row>
        <row r="29">
          <cell r="B29" t="str">
            <v>Jemena Electricity</v>
          </cell>
          <cell r="C29" t="str">
            <v>Jemena Electricity</v>
          </cell>
        </row>
        <row r="30">
          <cell r="B30" t="str">
            <v>JGN</v>
          </cell>
          <cell r="C30" t="str">
            <v>Jemena Gas Networks</v>
          </cell>
        </row>
        <row r="31">
          <cell r="B31" t="str">
            <v>Multinet Gas</v>
          </cell>
          <cell r="C31" t="str">
            <v>Multinet Gas (DB No.1) Pty Ltd (ACN 086 026 986), Multinet Gas (DB No.2) Pty Ltd (ACN 086 230 122)</v>
          </cell>
        </row>
        <row r="32">
          <cell r="B32" t="str">
            <v>Murraylink</v>
          </cell>
          <cell r="C32" t="str">
            <v>Murraylink</v>
          </cell>
        </row>
        <row r="33">
          <cell r="B33" t="str">
            <v>Powercor Australia</v>
          </cell>
          <cell r="C33" t="str">
            <v>Powercor Australia</v>
          </cell>
        </row>
        <row r="34">
          <cell r="B34" t="str">
            <v>Powerlink</v>
          </cell>
          <cell r="C34" t="str">
            <v>Queensland Electricity Transmission Corporation Limited trading as Powerlink Queensland</v>
          </cell>
        </row>
        <row r="35">
          <cell r="B35" t="str">
            <v>Roma to Brisbane Pipeline</v>
          </cell>
          <cell r="C35" t="str">
            <v>APT Petroleum Pipelines Limited t/a Roma to Brisbane Pipeline</v>
          </cell>
        </row>
        <row r="36">
          <cell r="B36" t="str">
            <v>SA Power Networks</v>
          </cell>
          <cell r="C36" t="str">
            <v>SA Power Networks</v>
          </cell>
        </row>
        <row r="37">
          <cell r="B37" t="str">
            <v>TasNetworks (D)</v>
          </cell>
          <cell r="C37" t="str">
            <v>TasNetworks (D)</v>
          </cell>
        </row>
        <row r="38">
          <cell r="B38" t="str">
            <v>TasNetworks (T)</v>
          </cell>
          <cell r="C38" t="str">
            <v>TasNetworks (T)</v>
          </cell>
        </row>
        <row r="39">
          <cell r="B39" t="str">
            <v>TransGrid</v>
          </cell>
          <cell r="C39" t="str">
            <v>TransGrid</v>
          </cell>
        </row>
        <row r="40">
          <cell r="B40" t="str">
            <v>United Energy</v>
          </cell>
          <cell r="C40" t="str">
            <v>United Energy</v>
          </cell>
        </row>
        <row r="41">
          <cell r="B41" t="str">
            <v>Western Power (D)</v>
          </cell>
          <cell r="C41" t="str">
            <v>Western Power (D)</v>
          </cell>
        </row>
        <row r="42">
          <cell r="B42" t="str">
            <v>Western Power (T)</v>
          </cell>
          <cell r="C42" t="str">
            <v>Western Power (T)</v>
          </cell>
        </row>
        <row r="48">
          <cell r="B48" t="str">
            <v>ARR</v>
          </cell>
          <cell r="C48" t="str">
            <v>ANNUAL REPORTING STATEMENT</v>
          </cell>
        </row>
        <row r="49">
          <cell r="B49" t="str">
            <v>CA</v>
          </cell>
          <cell r="C49" t="str">
            <v>CATEGORY ANALYSIS</v>
          </cell>
        </row>
        <row r="50">
          <cell r="B50" t="str">
            <v>CPI</v>
          </cell>
          <cell r="C50" t="str">
            <v>CPI</v>
          </cell>
        </row>
        <row r="51">
          <cell r="B51" t="str">
            <v>EB</v>
          </cell>
          <cell r="C51" t="str">
            <v>ECONOMIC BENCHMARKING</v>
          </cell>
        </row>
        <row r="52">
          <cell r="B52" t="str">
            <v>PTRM</v>
          </cell>
          <cell r="C52" t="str">
            <v>POST TAX REVENUE MODEL</v>
          </cell>
        </row>
        <row r="53">
          <cell r="B53" t="str">
            <v>Reset</v>
          </cell>
          <cell r="C53" t="str">
            <v>REGULATORY REPORTING STATEMENT</v>
          </cell>
        </row>
        <row r="54">
          <cell r="B54" t="str">
            <v>RFM</v>
          </cell>
          <cell r="C54" t="str">
            <v>ROLL FORWARD MODEL</v>
          </cell>
        </row>
        <row r="55">
          <cell r="B55" t="str">
            <v>WACC</v>
          </cell>
          <cell r="C55" t="str">
            <v>WEIGHTED AVERAGE COST OF CAPITAL</v>
          </cell>
        </row>
        <row r="66">
          <cell r="I66" t="str">
            <v>2018</v>
          </cell>
          <cell r="K66">
            <v>2017</v>
          </cell>
        </row>
        <row r="67">
          <cell r="I67">
            <v>2019</v>
          </cell>
          <cell r="K67">
            <v>2016</v>
          </cell>
        </row>
        <row r="68">
          <cell r="I68">
            <v>2020</v>
          </cell>
          <cell r="K68">
            <v>2015</v>
          </cell>
        </row>
        <row r="69">
          <cell r="I69">
            <v>2021</v>
          </cell>
          <cell r="K69">
            <v>2014</v>
          </cell>
        </row>
        <row r="70">
          <cell r="I70">
            <v>2022</v>
          </cell>
          <cell r="K70">
            <v>2013</v>
          </cell>
        </row>
        <row r="71">
          <cell r="I71">
            <v>2023</v>
          </cell>
          <cell r="K71">
            <v>2012</v>
          </cell>
        </row>
        <row r="72">
          <cell r="I72">
            <v>2024</v>
          </cell>
          <cell r="K72">
            <v>2011</v>
          </cell>
        </row>
        <row r="73">
          <cell r="I73">
            <v>2025</v>
          </cell>
          <cell r="K73">
            <v>2010</v>
          </cell>
        </row>
        <row r="74">
          <cell r="I74">
            <v>2026</v>
          </cell>
          <cell r="K74">
            <v>2009</v>
          </cell>
        </row>
        <row r="75">
          <cell r="I75">
            <v>2027</v>
          </cell>
          <cell r="K75">
            <v>2008</v>
          </cell>
        </row>
        <row r="76">
          <cell r="I76">
            <v>2028</v>
          </cell>
          <cell r="K76">
            <v>2007</v>
          </cell>
        </row>
        <row r="77">
          <cell r="I77">
            <v>2029</v>
          </cell>
          <cell r="K77">
            <v>2006</v>
          </cell>
        </row>
        <row r="78">
          <cell r="I78">
            <v>2030</v>
          </cell>
          <cell r="K78">
            <v>2005</v>
          </cell>
        </row>
        <row r="79">
          <cell r="I79">
            <v>2031</v>
          </cell>
          <cell r="K79">
            <v>2004</v>
          </cell>
        </row>
      </sheetData>
      <sheetData sheetId="1" refreshError="1"/>
      <sheetData sheetId="2" refreshError="1"/>
      <sheetData sheetId="3" refreshError="1">
        <row r="1">
          <cell r="B1" t="str">
            <v>REGULATORY REPORTING STATEMENT</v>
          </cell>
        </row>
        <row r="3">
          <cell r="B3" t="str">
            <v>2018 to 2022</v>
          </cell>
        </row>
        <row r="14">
          <cell r="C14" t="str">
            <v>AusNet (Gas)</v>
          </cell>
        </row>
        <row r="35">
          <cell r="C35" t="str">
            <v>2018</v>
          </cell>
          <cell r="D35">
            <v>2019</v>
          </cell>
          <cell r="E35">
            <v>2020</v>
          </cell>
          <cell r="F35">
            <v>2021</v>
          </cell>
          <cell r="G35">
            <v>2022</v>
          </cell>
        </row>
        <row r="38">
          <cell r="C38">
            <v>2013</v>
          </cell>
          <cell r="D38">
            <v>2014</v>
          </cell>
          <cell r="E38">
            <v>2015</v>
          </cell>
          <cell r="F38">
            <v>2016</v>
          </cell>
          <cell r="G38">
            <v>2017</v>
          </cell>
          <cell r="H38">
            <v>2018</v>
          </cell>
          <cell r="I38">
            <v>2019</v>
          </cell>
          <cell r="J38">
            <v>2020</v>
          </cell>
          <cell r="K38">
            <v>2021</v>
          </cell>
        </row>
        <row r="41">
          <cell r="C41">
            <v>2008</v>
          </cell>
          <cell r="D41">
            <v>2009</v>
          </cell>
          <cell r="E41">
            <v>2010</v>
          </cell>
          <cell r="F41">
            <v>2011</v>
          </cell>
          <cell r="G41">
            <v>2012</v>
          </cell>
        </row>
        <row r="51">
          <cell r="C51" t="str">
            <v>Consolidated</v>
          </cell>
        </row>
        <row r="58">
          <cell r="C58" t="str">
            <v>Calendar</v>
          </cell>
        </row>
        <row r="59">
          <cell r="C59" t="str">
            <v>Reset</v>
          </cell>
        </row>
        <row r="62">
          <cell r="C62" t="str">
            <v>December</v>
          </cell>
        </row>
        <row r="63">
          <cell r="C63" t="str">
            <v>December 2017</v>
          </cell>
        </row>
        <row r="67">
          <cell r="C67">
            <v>0</v>
          </cell>
        </row>
        <row r="68">
          <cell r="C68">
            <v>2013</v>
          </cell>
        </row>
        <row r="69">
          <cell r="C69">
            <v>0</v>
          </cell>
        </row>
        <row r="70">
          <cell r="C70">
            <v>0</v>
          </cell>
        </row>
        <row r="71">
          <cell r="C71">
            <v>0</v>
          </cell>
        </row>
        <row r="72">
          <cell r="C72" t="str">
            <v>CRY</v>
          </cell>
        </row>
        <row r="73">
          <cell r="C73" t="e">
            <v>#REF!</v>
          </cell>
        </row>
        <row r="74">
          <cell r="C74">
            <v>5</v>
          </cell>
        </row>
        <row r="75">
          <cell r="C75" t="str">
            <v>dms_FRCP_y5</v>
          </cell>
        </row>
        <row r="76">
          <cell r="C76">
            <v>2022</v>
          </cell>
        </row>
        <row r="77">
          <cell r="C77">
            <v>5</v>
          </cell>
        </row>
        <row r="79">
          <cell r="C79">
            <v>2013</v>
          </cell>
        </row>
        <row r="80">
          <cell r="C80">
            <v>2017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ables/table1.xml><?xml version="1.0" encoding="utf-8"?>
<table xmlns="http://schemas.openxmlformats.org/spreadsheetml/2006/main" id="1" name="Table1" displayName="Table1" ref="B7:AA42" totalsRowShown="0" headerRowDxfId="30" tableBorderDxfId="29" headerRowCellStyle="Normal 10">
  <autoFilter ref="B7:AA42"/>
  <tableColumns count="26">
    <tableColumn id="1" name="dms_TradingName_List" dataDxfId="28" dataCellStyle="Normal 2 2 2"/>
    <tableColumn id="2" name="dms_TradingNameFull_List" dataDxfId="27" dataCellStyle="Normal 10"/>
    <tableColumn id="3" name="dms_ABN_List" dataDxfId="26" dataCellStyle="Normal 2 2 2"/>
    <tableColumn id="4" name="dms_JurisdictionList" dataDxfId="25" dataCellStyle="Normal 13 2"/>
    <tableColumn id="5" name="dms_Sector_List" dataDxfId="24" dataCellStyle="Normal 2 2 2"/>
    <tableColumn id="6" name="dms_Segment_List" dataDxfId="23" dataCellStyle="Normal 2 2 2"/>
    <tableColumn id="7" name="dms_FormControl_List" dataDxfId="22" dataCellStyle="Normal 2 2 2"/>
    <tableColumn id="8" name="dms_RPT_List" dataDxfId="21" dataCellStyle="Normal 2 2 2"/>
    <tableColumn id="9" name="dms_RPTMonth_List" dataDxfId="20" dataCellStyle="Normal 2 2 2"/>
    <tableColumn id="10" name="dms_CRCPlength_List" dataDxfId="19" dataCellStyle="Normal 2 2 2"/>
    <tableColumn id="11" name="dms_FRCPlength_List" dataDxfId="18" dataCellStyle="Normal 2 2 2"/>
    <tableColumn id="12" name="dms_663_List" dataDxfId="17" dataCellStyle="Normal 13 2"/>
    <tableColumn id="13" name="dms_DeterminationRef_List" dataDxfId="16" dataCellStyle="Normal 2 2 2"/>
    <tableColumn id="14" name="dms_Addr1_List" dataDxfId="15" dataCellStyle="Normal 2 2 2"/>
    <tableColumn id="15" name="dms_Addr2_List" dataDxfId="14" dataCellStyle="Normal 2 2 2"/>
    <tableColumn id="16" name="dms_Suburb_List" dataDxfId="13" dataCellStyle="Normal 2 2 2"/>
    <tableColumn id="17" name="dms_State_List" dataDxfId="12" dataCellStyle="Normal 13 2"/>
    <tableColumn id="18" name="dms_PostCode_List" dataDxfId="11" dataCellStyle="Normal 2 2 2"/>
    <tableColumn id="19" name="dms_PAddr1_List" dataDxfId="10" dataCellStyle="Normal 2 2 2"/>
    <tableColumn id="20" name="dms_PAddr2_List" dataDxfId="9" dataCellStyle="Normal 2 2 2"/>
    <tableColumn id="21" name="dms_PSuburb_List" dataDxfId="8" dataCellStyle="Normal 2 2 2"/>
    <tableColumn id="22" name="dms_PState_List" dataDxfId="7" dataCellStyle="Normal 2 2 2"/>
    <tableColumn id="23" name="dms_PPostCode_List" dataDxfId="6" dataCellStyle="Normal 2 2 2"/>
    <tableColumn id="24" name="dms_ContactName1_List" dataDxfId="5" dataCellStyle="Normal 2 2 2"/>
    <tableColumn id="25" name="dms_ContactPh1_List" dataDxfId="4" dataCellStyle="Normal 2 2 2"/>
    <tableColumn id="26" name="dms_ContactEmail_List"/>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5.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7.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28.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29.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38.bin"/><Relationship Id="rId1" Type="http://schemas.openxmlformats.org/officeDocument/2006/relationships/printerSettings" Target="../printerSettings/printerSettings38.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N132"/>
  <sheetViews>
    <sheetView showGridLines="0" zoomScale="70" zoomScaleNormal="70" workbookViewId="0">
      <selection activeCell="F12" sqref="F12"/>
    </sheetView>
  </sheetViews>
  <sheetFormatPr defaultRowHeight="15"/>
  <cols>
    <col min="1" max="1" width="23.140625" style="2674" customWidth="1"/>
    <col min="2" max="2" width="33.85546875" style="2687" bestFit="1" customWidth="1"/>
    <col min="3" max="3" width="53.85546875" style="2687" customWidth="1"/>
    <col min="4" max="4" width="19.85546875" style="2674" customWidth="1"/>
    <col min="5" max="5" width="25.140625" style="2335" customWidth="1"/>
    <col min="6" max="6" width="21" style="2674" customWidth="1"/>
    <col min="7" max="7" width="23" style="2674" customWidth="1"/>
    <col min="8" max="8" width="27.5703125" style="2687" customWidth="1"/>
    <col min="9" max="9" width="19" style="2688" customWidth="1"/>
    <col min="10" max="10" width="25.5703125" style="2687" customWidth="1"/>
    <col min="11" max="11" width="27" style="2687" customWidth="1"/>
    <col min="12" max="12" width="26.7109375" style="2689" customWidth="1"/>
    <col min="13" max="13" width="18.140625" style="2674" customWidth="1"/>
    <col min="14" max="14" width="36.28515625" style="2674" customWidth="1"/>
    <col min="15" max="15" width="19.85546875" style="2675" customWidth="1"/>
    <col min="16" max="16" width="20.140625" style="2675" customWidth="1"/>
    <col min="17" max="17" width="21.28515625" style="2675" customWidth="1"/>
    <col min="18" max="18" width="19.5703125" style="2675" customWidth="1"/>
    <col min="19" max="19" width="24.7109375" style="2675" customWidth="1"/>
    <col min="20" max="20" width="21.42578125" style="2675" customWidth="1"/>
    <col min="21" max="21" width="21.85546875" style="2675" customWidth="1"/>
    <col min="22" max="22" width="22.85546875" style="2675" customWidth="1"/>
    <col min="23" max="23" width="21.28515625" style="2675" customWidth="1"/>
    <col min="24" max="24" width="26.28515625" style="2674" customWidth="1"/>
    <col min="25" max="25" width="29.140625" style="2674" customWidth="1"/>
    <col min="26" max="26" width="26.140625" style="2674" customWidth="1"/>
    <col min="27" max="27" width="47.140625" style="2674" customWidth="1"/>
    <col min="28" max="28" width="3.42578125" style="2676" customWidth="1"/>
    <col min="29" max="29" width="12.140625" style="2676" bestFit="1" customWidth="1"/>
    <col min="30" max="30" width="13.140625" style="2674" bestFit="1" customWidth="1"/>
    <col min="31" max="31" width="13.5703125" style="2674" bestFit="1" customWidth="1"/>
    <col min="32" max="32" width="12.42578125" style="2674" bestFit="1" customWidth="1"/>
    <col min="33" max="33" width="16.7109375" style="2674" bestFit="1" customWidth="1"/>
    <col min="34" max="34" width="16.7109375" style="2674" customWidth="1"/>
    <col min="35" max="35" width="18" style="2674" customWidth="1"/>
    <col min="36" max="36" width="28.85546875" style="2674" customWidth="1"/>
    <col min="37" max="37" width="28.5703125" style="2674" customWidth="1"/>
    <col min="38" max="38" width="14.28515625" style="2674" bestFit="1" customWidth="1"/>
    <col min="39" max="39" width="12.42578125" style="2674" bestFit="1" customWidth="1"/>
    <col min="40" max="40" width="37" style="2674" customWidth="1"/>
    <col min="41" max="16384" width="9.140625" style="2674"/>
  </cols>
  <sheetData>
    <row r="1" spans="2:40" ht="18">
      <c r="B1" s="3447" t="s">
        <v>783</v>
      </c>
      <c r="C1" s="3447"/>
      <c r="D1" s="3447"/>
      <c r="E1" s="3447"/>
      <c r="F1" s="3447"/>
      <c r="G1" s="3447"/>
      <c r="H1" s="3447"/>
      <c r="I1" s="3447"/>
      <c r="J1" s="3447"/>
      <c r="K1" s="3447"/>
      <c r="L1" s="3447"/>
    </row>
    <row r="2" spans="2:40" ht="18">
      <c r="B2" s="2677" t="s">
        <v>684</v>
      </c>
      <c r="C2" s="2678">
        <v>42590</v>
      </c>
      <c r="D2" s="2679" t="s">
        <v>784</v>
      </c>
      <c r="E2" s="2679"/>
      <c r="F2" s="2680"/>
      <c r="G2" s="2680"/>
      <c r="H2" s="2681"/>
      <c r="I2" s="2682"/>
      <c r="J2" s="2681"/>
      <c r="K2" s="2681"/>
      <c r="L2" s="2683"/>
    </row>
    <row r="3" spans="2:40">
      <c r="B3" s="2684"/>
      <c r="C3" s="2685"/>
      <c r="D3" s="2679"/>
      <c r="E3" s="2679"/>
      <c r="F3" s="2680"/>
      <c r="G3" s="2680"/>
      <c r="H3" s="2681"/>
      <c r="I3" s="2682"/>
      <c r="J3" s="2681"/>
      <c r="K3" s="2681"/>
      <c r="L3" s="2683"/>
    </row>
    <row r="4" spans="2:40" ht="16.5" thickBot="1">
      <c r="B4" s="2681"/>
      <c r="C4" s="2686"/>
      <c r="D4" s="2680"/>
      <c r="E4" s="2679"/>
      <c r="F4" s="2680"/>
      <c r="G4" s="2680"/>
      <c r="H4" s="2681"/>
      <c r="I4" s="2682"/>
      <c r="J4" s="2681"/>
      <c r="K4" s="2681"/>
      <c r="L4" s="2683"/>
      <c r="AC4" s="3448" t="s">
        <v>785</v>
      </c>
      <c r="AD4" s="3448"/>
      <c r="AE4" s="3448"/>
      <c r="AF4" s="3448"/>
      <c r="AG4" s="3448"/>
      <c r="AH4" s="3448"/>
      <c r="AI4" s="3448"/>
      <c r="AJ4" s="3448"/>
      <c r="AK4" s="3448"/>
      <c r="AL4" s="3448"/>
      <c r="AM4" s="3448"/>
    </row>
    <row r="5" spans="2:40">
      <c r="AC5" s="3449" t="s">
        <v>786</v>
      </c>
      <c r="AD5" s="3450"/>
      <c r="AE5" s="3450"/>
      <c r="AF5" s="3450"/>
      <c r="AG5" s="2690" t="s">
        <v>331</v>
      </c>
      <c r="AH5" s="2691" t="s">
        <v>787</v>
      </c>
      <c r="AI5" s="3451" t="s">
        <v>788</v>
      </c>
      <c r="AJ5" s="3452"/>
      <c r="AK5" s="3452"/>
      <c r="AL5" s="3452"/>
      <c r="AM5" s="3453"/>
    </row>
    <row r="6" spans="2:40" ht="15.75" thickBot="1">
      <c r="C6" s="2692"/>
      <c r="AC6" s="2693" t="s">
        <v>789</v>
      </c>
      <c r="AD6" s="2694" t="s">
        <v>790</v>
      </c>
      <c r="AE6" s="2694" t="s">
        <v>791</v>
      </c>
      <c r="AF6" s="2694" t="s">
        <v>792</v>
      </c>
      <c r="AG6" s="2695" t="s">
        <v>793</v>
      </c>
      <c r="AH6" s="2696"/>
      <c r="AI6" s="2697"/>
      <c r="AJ6" s="2698"/>
      <c r="AK6" s="2698"/>
      <c r="AL6" s="2698"/>
      <c r="AM6" s="2699"/>
    </row>
    <row r="7" spans="2:40" ht="26.25" thickBot="1">
      <c r="B7" s="2700" t="s">
        <v>794</v>
      </c>
      <c r="C7" s="2701" t="s">
        <v>795</v>
      </c>
      <c r="D7" s="2702" t="s">
        <v>685</v>
      </c>
      <c r="E7" s="2703" t="s">
        <v>796</v>
      </c>
      <c r="F7" s="2704" t="s">
        <v>687</v>
      </c>
      <c r="G7" s="2704" t="s">
        <v>688</v>
      </c>
      <c r="H7" s="2704" t="s">
        <v>797</v>
      </c>
      <c r="I7" s="2704" t="s">
        <v>798</v>
      </c>
      <c r="J7" s="2704" t="s">
        <v>799</v>
      </c>
      <c r="K7" s="2704" t="s">
        <v>800</v>
      </c>
      <c r="L7" s="2705" t="s">
        <v>801</v>
      </c>
      <c r="M7" s="2706" t="s">
        <v>802</v>
      </c>
      <c r="N7" s="2707" t="s">
        <v>803</v>
      </c>
      <c r="O7" s="2708" t="s">
        <v>804</v>
      </c>
      <c r="P7" s="2709" t="s">
        <v>805</v>
      </c>
      <c r="Q7" s="2709" t="s">
        <v>806</v>
      </c>
      <c r="R7" s="2709" t="s">
        <v>686</v>
      </c>
      <c r="S7" s="2709" t="s">
        <v>807</v>
      </c>
      <c r="T7" s="2710" t="s">
        <v>808</v>
      </c>
      <c r="U7" s="2710" t="s">
        <v>809</v>
      </c>
      <c r="V7" s="2710" t="s">
        <v>810</v>
      </c>
      <c r="W7" s="2710" t="s">
        <v>811</v>
      </c>
      <c r="X7" s="2711" t="s">
        <v>812</v>
      </c>
      <c r="Y7" s="2712" t="s">
        <v>813</v>
      </c>
      <c r="Z7" s="2712" t="s">
        <v>814</v>
      </c>
      <c r="AA7" s="2713" t="s">
        <v>815</v>
      </c>
      <c r="AC7" s="2714" t="s">
        <v>816</v>
      </c>
      <c r="AD7" s="2715" t="s">
        <v>817</v>
      </c>
      <c r="AE7" s="2716" t="s">
        <v>818</v>
      </c>
      <c r="AF7" s="2717" t="s">
        <v>819</v>
      </c>
      <c r="AG7" s="2716" t="s">
        <v>820</v>
      </c>
      <c r="AH7" s="2718" t="s">
        <v>821</v>
      </c>
      <c r="AI7" s="2719" t="s">
        <v>822</v>
      </c>
      <c r="AJ7" s="2720" t="s">
        <v>823</v>
      </c>
      <c r="AK7" s="2720" t="s">
        <v>824</v>
      </c>
      <c r="AL7" s="2720" t="s">
        <v>825</v>
      </c>
      <c r="AM7" s="2721" t="s">
        <v>826</v>
      </c>
    </row>
    <row r="8" spans="2:40">
      <c r="B8" s="2722" t="s">
        <v>299</v>
      </c>
      <c r="C8" s="2723" t="s">
        <v>299</v>
      </c>
      <c r="D8" s="2724">
        <v>76670568688</v>
      </c>
      <c r="E8" s="2725" t="s">
        <v>690</v>
      </c>
      <c r="F8" s="2726" t="s">
        <v>691</v>
      </c>
      <c r="G8" s="2726" t="s">
        <v>337</v>
      </c>
      <c r="H8" s="2727" t="s">
        <v>694</v>
      </c>
      <c r="I8" s="2728" t="s">
        <v>827</v>
      </c>
      <c r="J8" s="2727" t="s">
        <v>828</v>
      </c>
      <c r="K8" s="2729">
        <v>5</v>
      </c>
      <c r="L8" s="2730">
        <v>5</v>
      </c>
      <c r="M8" s="2731">
        <v>5</v>
      </c>
      <c r="N8" s="2732" t="s">
        <v>829</v>
      </c>
      <c r="O8" s="2733" t="s">
        <v>830</v>
      </c>
      <c r="P8" s="2734"/>
      <c r="Q8" s="2735" t="s">
        <v>831</v>
      </c>
      <c r="R8" s="2736" t="s">
        <v>690</v>
      </c>
      <c r="S8" s="2737" t="s">
        <v>832</v>
      </c>
      <c r="T8" s="2738" t="s">
        <v>833</v>
      </c>
      <c r="U8" s="2734"/>
      <c r="V8" s="2734" t="s">
        <v>831</v>
      </c>
      <c r="W8" s="2734" t="s">
        <v>690</v>
      </c>
      <c r="X8" s="2739">
        <v>2601</v>
      </c>
      <c r="Y8" s="2738" t="s">
        <v>834</v>
      </c>
      <c r="Z8" s="2734" t="s">
        <v>835</v>
      </c>
      <c r="AA8" s="2740" t="s">
        <v>836</v>
      </c>
      <c r="AC8" s="2741" t="s">
        <v>837</v>
      </c>
      <c r="AD8" s="2742" t="s">
        <v>838</v>
      </c>
      <c r="AE8" s="2742" t="s">
        <v>838</v>
      </c>
      <c r="AF8" s="2743" t="s">
        <v>837</v>
      </c>
      <c r="AG8" s="2744" t="s">
        <v>837</v>
      </c>
      <c r="AH8" s="2745"/>
      <c r="AI8" s="2746" t="s">
        <v>789</v>
      </c>
      <c r="AJ8" s="2747" t="s">
        <v>790</v>
      </c>
      <c r="AK8" s="2747" t="s">
        <v>791</v>
      </c>
      <c r="AL8" s="2748" t="s">
        <v>839</v>
      </c>
      <c r="AM8" s="2749"/>
      <c r="AN8" s="2750" t="s">
        <v>299</v>
      </c>
    </row>
    <row r="9" spans="2:40">
      <c r="B9" s="2722" t="s">
        <v>693</v>
      </c>
      <c r="C9" s="2723" t="s">
        <v>693</v>
      </c>
      <c r="D9" s="2724">
        <v>76670568688</v>
      </c>
      <c r="E9" s="2751" t="s">
        <v>690</v>
      </c>
      <c r="F9" s="2752" t="s">
        <v>691</v>
      </c>
      <c r="G9" s="2752" t="s">
        <v>337</v>
      </c>
      <c r="H9" s="2753" t="s">
        <v>694</v>
      </c>
      <c r="I9" s="2754" t="s">
        <v>827</v>
      </c>
      <c r="J9" s="2753" t="s">
        <v>828</v>
      </c>
      <c r="K9" s="2755">
        <v>5</v>
      </c>
      <c r="L9" s="2756">
        <v>5</v>
      </c>
      <c r="M9" s="2757">
        <v>5</v>
      </c>
      <c r="N9" s="2758" t="s">
        <v>840</v>
      </c>
      <c r="O9" s="2759" t="s">
        <v>830</v>
      </c>
      <c r="P9" s="2760"/>
      <c r="Q9" s="2761" t="s">
        <v>831</v>
      </c>
      <c r="R9" s="2762" t="s">
        <v>690</v>
      </c>
      <c r="S9" s="2763" t="s">
        <v>832</v>
      </c>
      <c r="T9" s="2764" t="s">
        <v>833</v>
      </c>
      <c r="U9" s="2760"/>
      <c r="V9" s="2760" t="s">
        <v>831</v>
      </c>
      <c r="W9" s="2760" t="s">
        <v>690</v>
      </c>
      <c r="X9" s="2765">
        <v>2601</v>
      </c>
      <c r="Y9" s="2764" t="s">
        <v>834</v>
      </c>
      <c r="Z9" s="2760" t="s">
        <v>835</v>
      </c>
      <c r="AA9" s="2766" t="s">
        <v>836</v>
      </c>
      <c r="AC9" s="2767"/>
      <c r="AD9" s="2768"/>
      <c r="AE9" s="2768"/>
      <c r="AF9" s="2768"/>
      <c r="AG9" s="2769"/>
      <c r="AH9" s="2770"/>
      <c r="AI9" s="2767" t="s">
        <v>789</v>
      </c>
      <c r="AJ9" s="2768" t="s">
        <v>790</v>
      </c>
      <c r="AK9" s="2768" t="s">
        <v>791</v>
      </c>
      <c r="AL9" s="2771" t="s">
        <v>839</v>
      </c>
      <c r="AM9" s="2769"/>
      <c r="AN9" s="2772" t="s">
        <v>693</v>
      </c>
    </row>
    <row r="10" spans="2:40">
      <c r="B10" s="2773" t="s">
        <v>841</v>
      </c>
      <c r="C10" s="2774" t="s">
        <v>841</v>
      </c>
      <c r="D10" s="2724">
        <v>76670568688</v>
      </c>
      <c r="E10" s="2751" t="s">
        <v>690</v>
      </c>
      <c r="F10" s="2752" t="s">
        <v>334</v>
      </c>
      <c r="G10" s="2752" t="s">
        <v>337</v>
      </c>
      <c r="H10" s="2753" t="s">
        <v>703</v>
      </c>
      <c r="I10" s="2754" t="s">
        <v>827</v>
      </c>
      <c r="J10" s="2753" t="s">
        <v>828</v>
      </c>
      <c r="K10" s="2755">
        <v>5</v>
      </c>
      <c r="L10" s="2756">
        <v>5</v>
      </c>
      <c r="M10" s="2757" t="s">
        <v>842</v>
      </c>
      <c r="N10" s="2758"/>
      <c r="O10" s="2759" t="s">
        <v>830</v>
      </c>
      <c r="P10" s="2760"/>
      <c r="Q10" s="2761" t="s">
        <v>831</v>
      </c>
      <c r="R10" s="2762" t="s">
        <v>690</v>
      </c>
      <c r="S10" s="2763" t="s">
        <v>832</v>
      </c>
      <c r="T10" s="2764" t="s">
        <v>833</v>
      </c>
      <c r="U10" s="2760"/>
      <c r="V10" s="2760" t="s">
        <v>831</v>
      </c>
      <c r="W10" s="2760" t="s">
        <v>690</v>
      </c>
      <c r="X10" s="2765">
        <v>2601</v>
      </c>
      <c r="Y10" s="2764" t="s">
        <v>843</v>
      </c>
      <c r="Z10" s="2760" t="s">
        <v>844</v>
      </c>
      <c r="AA10" s="2766" t="s">
        <v>845</v>
      </c>
      <c r="AC10" s="2767"/>
      <c r="AD10" s="2768"/>
      <c r="AE10" s="2768"/>
      <c r="AF10" s="2768"/>
      <c r="AG10" s="2769"/>
      <c r="AH10" s="2770"/>
      <c r="AI10" s="2767"/>
      <c r="AJ10" s="2768"/>
      <c r="AK10" s="2768"/>
      <c r="AL10" s="2771"/>
      <c r="AM10" s="2769"/>
      <c r="AN10" s="2775" t="s">
        <v>841</v>
      </c>
    </row>
    <row r="11" spans="2:40">
      <c r="B11" s="2776" t="s">
        <v>846</v>
      </c>
      <c r="C11" s="2777" t="s">
        <v>846</v>
      </c>
      <c r="D11" s="2778">
        <v>78551685</v>
      </c>
      <c r="E11" s="2751" t="s">
        <v>695</v>
      </c>
      <c r="F11" s="2752" t="s">
        <v>334</v>
      </c>
      <c r="G11" s="2752" t="s">
        <v>337</v>
      </c>
      <c r="H11" s="2753" t="s">
        <v>694</v>
      </c>
      <c r="I11" s="2754" t="s">
        <v>827</v>
      </c>
      <c r="J11" s="2753" t="s">
        <v>828</v>
      </c>
      <c r="K11" s="2755">
        <v>5</v>
      </c>
      <c r="L11" s="2756">
        <v>5</v>
      </c>
      <c r="M11" s="2757">
        <v>5</v>
      </c>
      <c r="N11" s="2758" t="s">
        <v>840</v>
      </c>
      <c r="O11" s="2764"/>
      <c r="P11" s="2760"/>
      <c r="Q11" s="2760"/>
      <c r="R11" s="2779" t="s">
        <v>695</v>
      </c>
      <c r="S11" s="2763"/>
      <c r="T11" s="2764"/>
      <c r="U11" s="2760"/>
      <c r="V11" s="2760"/>
      <c r="W11" s="2760"/>
      <c r="X11" s="2763"/>
      <c r="Y11" s="2764"/>
      <c r="Z11" s="2760"/>
      <c r="AA11" s="2766"/>
      <c r="AC11" s="2767"/>
      <c r="AD11" s="2768"/>
      <c r="AE11" s="2768"/>
      <c r="AF11" s="2768"/>
      <c r="AG11" s="2769"/>
      <c r="AH11" s="2770"/>
      <c r="AI11" s="2767" t="s">
        <v>789</v>
      </c>
      <c r="AJ11" s="2768" t="s">
        <v>790</v>
      </c>
      <c r="AK11" s="2768" t="s">
        <v>791</v>
      </c>
      <c r="AL11" s="2771" t="s">
        <v>839</v>
      </c>
      <c r="AM11" s="2769"/>
      <c r="AN11" s="2780" t="s">
        <v>846</v>
      </c>
    </row>
    <row r="12" spans="2:40">
      <c r="B12" s="2776" t="s">
        <v>847</v>
      </c>
      <c r="C12" s="2777" t="s">
        <v>848</v>
      </c>
      <c r="D12" s="2778">
        <v>19078551685</v>
      </c>
      <c r="E12" s="2751" t="s">
        <v>698</v>
      </c>
      <c r="F12" s="2752" t="s">
        <v>334</v>
      </c>
      <c r="G12" s="2752" t="s">
        <v>337</v>
      </c>
      <c r="H12" s="2781" t="s">
        <v>703</v>
      </c>
      <c r="I12" s="2782" t="s">
        <v>782</v>
      </c>
      <c r="J12" s="2752" t="s">
        <v>849</v>
      </c>
      <c r="K12" s="2755">
        <v>5</v>
      </c>
      <c r="L12" s="2756">
        <v>5</v>
      </c>
      <c r="M12" s="2757" t="s">
        <v>842</v>
      </c>
      <c r="N12" s="2783"/>
      <c r="O12" s="2764" t="s">
        <v>850</v>
      </c>
      <c r="P12" s="2760" t="s">
        <v>851</v>
      </c>
      <c r="Q12" s="2760" t="s">
        <v>852</v>
      </c>
      <c r="R12" s="2760" t="s">
        <v>695</v>
      </c>
      <c r="S12" s="2763" t="s">
        <v>853</v>
      </c>
      <c r="T12" s="2764"/>
      <c r="U12" s="2760"/>
      <c r="V12" s="2760"/>
      <c r="W12" s="2760"/>
      <c r="X12" s="2765"/>
      <c r="Y12" s="2767"/>
      <c r="Z12" s="2768" t="s">
        <v>854</v>
      </c>
      <c r="AA12" s="2769"/>
      <c r="AC12" s="2784"/>
      <c r="AD12" s="2785"/>
      <c r="AE12" s="2785"/>
      <c r="AF12" s="2785"/>
      <c r="AG12" s="2786"/>
      <c r="AH12" s="2787"/>
      <c r="AI12" s="2767"/>
      <c r="AJ12" s="2768"/>
      <c r="AK12" s="2768"/>
      <c r="AL12" s="2771"/>
      <c r="AM12" s="2769"/>
      <c r="AN12" s="2780" t="s">
        <v>847</v>
      </c>
    </row>
    <row r="13" spans="2:40">
      <c r="B13" s="2776" t="s">
        <v>855</v>
      </c>
      <c r="C13" s="2777" t="s">
        <v>856</v>
      </c>
      <c r="D13" s="2778">
        <v>39009737393</v>
      </c>
      <c r="E13" s="2751" t="s">
        <v>857</v>
      </c>
      <c r="F13" s="2752" t="s">
        <v>334</v>
      </c>
      <c r="G13" s="2752" t="s">
        <v>699</v>
      </c>
      <c r="H13" s="2753" t="s">
        <v>703</v>
      </c>
      <c r="I13" s="2754" t="s">
        <v>827</v>
      </c>
      <c r="J13" s="2753" t="s">
        <v>828</v>
      </c>
      <c r="K13" s="2755">
        <v>5</v>
      </c>
      <c r="L13" s="2756">
        <v>5</v>
      </c>
      <c r="M13" s="2757" t="s">
        <v>842</v>
      </c>
      <c r="N13" s="2758" t="s">
        <v>858</v>
      </c>
      <c r="O13" s="2764" t="s">
        <v>859</v>
      </c>
      <c r="P13" s="2760" t="s">
        <v>860</v>
      </c>
      <c r="Q13" s="2760" t="s">
        <v>861</v>
      </c>
      <c r="R13" s="2779" t="s">
        <v>696</v>
      </c>
      <c r="S13" s="2763" t="s">
        <v>862</v>
      </c>
      <c r="T13" s="2764" t="s">
        <v>859</v>
      </c>
      <c r="U13" s="2760" t="s">
        <v>860</v>
      </c>
      <c r="V13" s="2760" t="s">
        <v>861</v>
      </c>
      <c r="W13" s="2779" t="s">
        <v>696</v>
      </c>
      <c r="X13" s="2763" t="s">
        <v>862</v>
      </c>
      <c r="Y13" s="2764" t="s">
        <v>863</v>
      </c>
      <c r="Z13" s="2760" t="s">
        <v>864</v>
      </c>
      <c r="AA13" s="2766" t="s">
        <v>865</v>
      </c>
      <c r="AC13" s="2767"/>
      <c r="AD13" s="2768"/>
      <c r="AE13" s="2768"/>
      <c r="AF13" s="2768"/>
      <c r="AG13" s="2769"/>
      <c r="AH13" s="2770"/>
      <c r="AI13" s="2767"/>
      <c r="AJ13" s="2768"/>
      <c r="AK13" s="2768"/>
      <c r="AL13" s="2771"/>
      <c r="AM13" s="2769"/>
      <c r="AN13" s="2780" t="s">
        <v>855</v>
      </c>
    </row>
    <row r="14" spans="2:40">
      <c r="B14" s="2776" t="s">
        <v>866</v>
      </c>
      <c r="C14" s="2777" t="s">
        <v>867</v>
      </c>
      <c r="D14" s="2778">
        <v>79096457868</v>
      </c>
      <c r="E14" s="2751" t="s">
        <v>698</v>
      </c>
      <c r="F14" s="2752" t="s">
        <v>334</v>
      </c>
      <c r="G14" s="2752" t="s">
        <v>699</v>
      </c>
      <c r="H14" s="2781" t="s">
        <v>703</v>
      </c>
      <c r="I14" s="2754" t="s">
        <v>782</v>
      </c>
      <c r="J14" s="2753" t="s">
        <v>849</v>
      </c>
      <c r="K14" s="2755">
        <v>5</v>
      </c>
      <c r="L14" s="2788">
        <v>5</v>
      </c>
      <c r="M14" s="2757" t="s">
        <v>842</v>
      </c>
      <c r="N14" s="2758"/>
      <c r="O14" s="2764" t="s">
        <v>859</v>
      </c>
      <c r="P14" s="2760" t="s">
        <v>860</v>
      </c>
      <c r="Q14" s="2760" t="s">
        <v>861</v>
      </c>
      <c r="R14" s="2779" t="s">
        <v>696</v>
      </c>
      <c r="S14" s="2763" t="s">
        <v>862</v>
      </c>
      <c r="T14" s="2764" t="s">
        <v>868</v>
      </c>
      <c r="U14" s="2760"/>
      <c r="V14" s="2760" t="s">
        <v>869</v>
      </c>
      <c r="W14" s="2779" t="s">
        <v>696</v>
      </c>
      <c r="X14" s="2763" t="s">
        <v>870</v>
      </c>
      <c r="Y14" s="2764"/>
      <c r="Z14" s="2760" t="s">
        <v>871</v>
      </c>
      <c r="AA14" s="2766"/>
      <c r="AC14" s="2767"/>
      <c r="AD14" s="2768"/>
      <c r="AE14" s="2768"/>
      <c r="AF14" s="2768"/>
      <c r="AG14" s="2769"/>
      <c r="AH14" s="2770"/>
      <c r="AI14" s="2767"/>
      <c r="AJ14" s="2768"/>
      <c r="AK14" s="2768"/>
      <c r="AL14" s="2771"/>
      <c r="AM14" s="2769"/>
      <c r="AN14" s="2780" t="s">
        <v>866</v>
      </c>
    </row>
    <row r="15" spans="2:40">
      <c r="B15" s="2789" t="s">
        <v>317</v>
      </c>
      <c r="C15" s="2777" t="s">
        <v>317</v>
      </c>
      <c r="D15" s="2778">
        <v>67505337385</v>
      </c>
      <c r="E15" s="2751" t="s">
        <v>696</v>
      </c>
      <c r="F15" s="2752" t="s">
        <v>691</v>
      </c>
      <c r="G15" s="2752" t="s">
        <v>337</v>
      </c>
      <c r="H15" s="2753" t="s">
        <v>694</v>
      </c>
      <c r="I15" s="2754" t="s">
        <v>827</v>
      </c>
      <c r="J15" s="2753" t="s">
        <v>828</v>
      </c>
      <c r="K15" s="2755">
        <v>5</v>
      </c>
      <c r="L15" s="2756">
        <v>5</v>
      </c>
      <c r="M15" s="2757">
        <v>5</v>
      </c>
      <c r="N15" s="2783" t="s">
        <v>829</v>
      </c>
      <c r="O15" s="2764" t="s">
        <v>872</v>
      </c>
      <c r="P15" s="2760"/>
      <c r="Q15" s="2760" t="s">
        <v>861</v>
      </c>
      <c r="R15" s="2779" t="s">
        <v>696</v>
      </c>
      <c r="S15" s="2763">
        <v>2000</v>
      </c>
      <c r="T15" s="2764"/>
      <c r="U15" s="2760"/>
      <c r="V15" s="2760"/>
      <c r="W15" s="2760"/>
      <c r="X15" s="2763"/>
      <c r="Y15" s="2764" t="s">
        <v>873</v>
      </c>
      <c r="Z15" s="2760" t="s">
        <v>874</v>
      </c>
      <c r="AA15" s="2766" t="s">
        <v>875</v>
      </c>
      <c r="AC15" s="2790" t="s">
        <v>838</v>
      </c>
      <c r="AD15" s="2785" t="s">
        <v>838</v>
      </c>
      <c r="AE15" s="2785" t="s">
        <v>838</v>
      </c>
      <c r="AF15" s="2785" t="s">
        <v>838</v>
      </c>
      <c r="AG15" s="2786" t="s">
        <v>837</v>
      </c>
      <c r="AH15" s="2791"/>
      <c r="AI15" s="2767" t="s">
        <v>789</v>
      </c>
      <c r="AJ15" s="2768" t="s">
        <v>790</v>
      </c>
      <c r="AK15" s="2768" t="s">
        <v>791</v>
      </c>
      <c r="AL15" s="2771" t="s">
        <v>839</v>
      </c>
      <c r="AM15" s="2769"/>
      <c r="AN15" s="2792" t="s">
        <v>317</v>
      </c>
    </row>
    <row r="16" spans="2:40">
      <c r="B16" s="2789" t="s">
        <v>697</v>
      </c>
      <c r="C16" s="2777" t="s">
        <v>697</v>
      </c>
      <c r="D16" s="2724">
        <v>67505337385</v>
      </c>
      <c r="E16" s="2751" t="s">
        <v>696</v>
      </c>
      <c r="F16" s="2752" t="s">
        <v>691</v>
      </c>
      <c r="G16" s="2752" t="s">
        <v>337</v>
      </c>
      <c r="H16" s="2753" t="s">
        <v>694</v>
      </c>
      <c r="I16" s="2754" t="s">
        <v>827</v>
      </c>
      <c r="J16" s="2753" t="s">
        <v>828</v>
      </c>
      <c r="K16" s="2755">
        <v>5</v>
      </c>
      <c r="L16" s="2756">
        <v>5</v>
      </c>
      <c r="M16" s="2757">
        <v>5</v>
      </c>
      <c r="N16" s="2758" t="s">
        <v>840</v>
      </c>
      <c r="O16" s="2764"/>
      <c r="P16" s="2760"/>
      <c r="Q16" s="2760"/>
      <c r="R16" s="2779" t="s">
        <v>696</v>
      </c>
      <c r="S16" s="2763"/>
      <c r="T16" s="2764"/>
      <c r="U16" s="2760"/>
      <c r="V16" s="2760"/>
      <c r="W16" s="2760"/>
      <c r="X16" s="2763"/>
      <c r="Y16" s="2764"/>
      <c r="Z16" s="2760"/>
      <c r="AA16" s="2766"/>
      <c r="AC16" s="2767"/>
      <c r="AD16" s="2768"/>
      <c r="AE16" s="2768"/>
      <c r="AF16" s="2768"/>
      <c r="AG16" s="2769"/>
      <c r="AH16" s="2770"/>
      <c r="AI16" s="2767" t="s">
        <v>789</v>
      </c>
      <c r="AJ16" s="2768" t="s">
        <v>790</v>
      </c>
      <c r="AK16" s="2768" t="s">
        <v>791</v>
      </c>
      <c r="AL16" s="2771" t="s">
        <v>839</v>
      </c>
      <c r="AM16" s="2769"/>
      <c r="AN16" s="2792" t="s">
        <v>697</v>
      </c>
    </row>
    <row r="17" spans="2:40" ht="15" customHeight="1">
      <c r="B17" s="2789" t="s">
        <v>318</v>
      </c>
      <c r="C17" s="2777" t="s">
        <v>876</v>
      </c>
      <c r="D17" s="2778">
        <v>91064651118</v>
      </c>
      <c r="E17" s="2751" t="s">
        <v>698</v>
      </c>
      <c r="F17" s="2752" t="s">
        <v>691</v>
      </c>
      <c r="G17" s="2752" t="s">
        <v>337</v>
      </c>
      <c r="H17" s="2753" t="s">
        <v>694</v>
      </c>
      <c r="I17" s="2754" t="s">
        <v>782</v>
      </c>
      <c r="J17" s="2753" t="s">
        <v>849</v>
      </c>
      <c r="K17" s="2755">
        <v>5</v>
      </c>
      <c r="L17" s="2756">
        <v>5</v>
      </c>
      <c r="M17" s="2757">
        <v>2</v>
      </c>
      <c r="N17" s="2783" t="s">
        <v>877</v>
      </c>
      <c r="O17" s="2764" t="s">
        <v>878</v>
      </c>
      <c r="P17" s="2760" t="s">
        <v>879</v>
      </c>
      <c r="Q17" s="2760" t="s">
        <v>880</v>
      </c>
      <c r="R17" s="2760" t="s">
        <v>698</v>
      </c>
      <c r="S17" s="2763" t="s">
        <v>881</v>
      </c>
      <c r="T17" s="2793" t="s">
        <v>882</v>
      </c>
      <c r="U17" s="2760"/>
      <c r="V17" s="2760" t="s">
        <v>883</v>
      </c>
      <c r="W17" s="2760" t="s">
        <v>884</v>
      </c>
      <c r="X17" s="2763">
        <v>8001</v>
      </c>
      <c r="Y17" s="2764" t="s">
        <v>885</v>
      </c>
      <c r="Z17" s="2794" t="s">
        <v>886</v>
      </c>
      <c r="AA17" s="2795" t="s">
        <v>887</v>
      </c>
      <c r="AC17" s="2784"/>
      <c r="AD17" s="2785" t="s">
        <v>838</v>
      </c>
      <c r="AE17" s="2785" t="s">
        <v>838</v>
      </c>
      <c r="AF17" s="2785" t="s">
        <v>838</v>
      </c>
      <c r="AG17" s="2786" t="s">
        <v>837</v>
      </c>
      <c r="AH17" s="2791"/>
      <c r="AI17" s="2767" t="s">
        <v>789</v>
      </c>
      <c r="AJ17" s="2768" t="s">
        <v>790</v>
      </c>
      <c r="AK17" s="2768" t="s">
        <v>791</v>
      </c>
      <c r="AL17" s="2771" t="s">
        <v>839</v>
      </c>
      <c r="AM17" s="2769"/>
      <c r="AN17" s="2792" t="s">
        <v>318</v>
      </c>
    </row>
    <row r="18" spans="2:40" ht="15" customHeight="1">
      <c r="B18" s="2776" t="s">
        <v>888</v>
      </c>
      <c r="C18" s="2777" t="s">
        <v>889</v>
      </c>
      <c r="D18" s="2778" t="s">
        <v>1364</v>
      </c>
      <c r="E18" s="2751" t="s">
        <v>698</v>
      </c>
      <c r="F18" s="2752" t="s">
        <v>334</v>
      </c>
      <c r="G18" s="2752" t="s">
        <v>337</v>
      </c>
      <c r="H18" s="2781" t="s">
        <v>703</v>
      </c>
      <c r="I18" s="2754" t="s">
        <v>782</v>
      </c>
      <c r="J18" s="2753" t="s">
        <v>849</v>
      </c>
      <c r="K18" s="2755">
        <v>5</v>
      </c>
      <c r="L18" s="2756">
        <v>5</v>
      </c>
      <c r="M18" s="2757" t="s">
        <v>890</v>
      </c>
      <c r="N18" s="2783"/>
      <c r="O18" s="2764"/>
      <c r="P18" s="2760"/>
      <c r="Q18" s="2760"/>
      <c r="R18" s="2760"/>
      <c r="S18" s="2763"/>
      <c r="T18" s="2793"/>
      <c r="U18" s="2760"/>
      <c r="V18" s="2760"/>
      <c r="W18" s="2760"/>
      <c r="X18" s="2763"/>
      <c r="Y18" s="2764"/>
      <c r="Z18" s="2794"/>
      <c r="AA18" s="2795"/>
      <c r="AC18" s="2784"/>
      <c r="AD18" s="2785"/>
      <c r="AE18" s="2785"/>
      <c r="AF18" s="2785"/>
      <c r="AG18" s="2786"/>
      <c r="AH18" s="2770"/>
      <c r="AI18" s="2767"/>
      <c r="AJ18" s="2768"/>
      <c r="AK18" s="2768"/>
      <c r="AL18" s="2771"/>
      <c r="AM18" s="2769"/>
      <c r="AN18" s="2780" t="s">
        <v>888</v>
      </c>
    </row>
    <row r="19" spans="2:40">
      <c r="B19" s="2789" t="s">
        <v>319</v>
      </c>
      <c r="C19" s="2777" t="s">
        <v>319</v>
      </c>
      <c r="D19" s="2796">
        <v>78079798173</v>
      </c>
      <c r="E19" s="2751" t="s">
        <v>698</v>
      </c>
      <c r="F19" s="2752" t="s">
        <v>691</v>
      </c>
      <c r="G19" s="2752" t="s">
        <v>699</v>
      </c>
      <c r="H19" s="2753" t="s">
        <v>694</v>
      </c>
      <c r="I19" s="2754" t="s">
        <v>827</v>
      </c>
      <c r="J19" s="2753" t="s">
        <v>891</v>
      </c>
      <c r="K19" s="2755">
        <v>5</v>
      </c>
      <c r="L19" s="2797">
        <v>5</v>
      </c>
      <c r="M19" s="2757">
        <v>2</v>
      </c>
      <c r="N19" s="2758" t="s">
        <v>892</v>
      </c>
      <c r="O19" s="2764" t="s">
        <v>878</v>
      </c>
      <c r="P19" s="2760" t="s">
        <v>879</v>
      </c>
      <c r="Q19" s="2760" t="s">
        <v>880</v>
      </c>
      <c r="R19" s="2760" t="s">
        <v>698</v>
      </c>
      <c r="S19" s="2763" t="s">
        <v>881</v>
      </c>
      <c r="T19" s="2764" t="s">
        <v>882</v>
      </c>
      <c r="U19" s="2760"/>
      <c r="V19" s="2760" t="s">
        <v>883</v>
      </c>
      <c r="W19" s="2760" t="s">
        <v>698</v>
      </c>
      <c r="X19" s="2763" t="s">
        <v>893</v>
      </c>
      <c r="Y19" s="2764" t="s">
        <v>894</v>
      </c>
      <c r="Z19" s="2794" t="s">
        <v>895</v>
      </c>
      <c r="AA19" s="2795" t="s">
        <v>896</v>
      </c>
      <c r="AC19" s="2767"/>
      <c r="AD19" s="2768"/>
      <c r="AE19" s="2768"/>
      <c r="AF19" s="2768"/>
      <c r="AG19" s="2769"/>
      <c r="AH19" s="2770"/>
      <c r="AI19" s="2767" t="s">
        <v>789</v>
      </c>
      <c r="AJ19" s="2768" t="s">
        <v>790</v>
      </c>
      <c r="AK19" s="2768" t="s">
        <v>791</v>
      </c>
      <c r="AL19" s="2771" t="s">
        <v>839</v>
      </c>
      <c r="AM19" s="2769"/>
      <c r="AN19" s="2792" t="s">
        <v>319</v>
      </c>
    </row>
    <row r="20" spans="2:40">
      <c r="B20" s="2798" t="s">
        <v>700</v>
      </c>
      <c r="C20" s="2799" t="s">
        <v>700</v>
      </c>
      <c r="D20" s="2800">
        <v>11222333444</v>
      </c>
      <c r="E20" s="2801" t="s">
        <v>897</v>
      </c>
      <c r="F20" s="2802" t="s">
        <v>691</v>
      </c>
      <c r="G20" s="2802" t="s">
        <v>337</v>
      </c>
      <c r="H20" s="2802" t="s">
        <v>694</v>
      </c>
      <c r="I20" s="2803" t="s">
        <v>827</v>
      </c>
      <c r="J20" s="2802" t="s">
        <v>828</v>
      </c>
      <c r="K20" s="2804">
        <v>5</v>
      </c>
      <c r="L20" s="2805">
        <v>5</v>
      </c>
      <c r="M20" s="2806">
        <v>2</v>
      </c>
      <c r="N20" s="2807" t="s">
        <v>840</v>
      </c>
      <c r="O20" s="2808" t="s">
        <v>898</v>
      </c>
      <c r="P20" s="2809"/>
      <c r="Q20" s="2809" t="s">
        <v>861</v>
      </c>
      <c r="R20" s="2810" t="s">
        <v>696</v>
      </c>
      <c r="S20" s="2811" t="s">
        <v>862</v>
      </c>
      <c r="T20" s="2808" t="s">
        <v>899</v>
      </c>
      <c r="U20" s="2809"/>
      <c r="V20" s="2809" t="s">
        <v>861</v>
      </c>
      <c r="W20" s="2809" t="s">
        <v>696</v>
      </c>
      <c r="X20" s="2811">
        <v>2000</v>
      </c>
      <c r="Y20" s="2808" t="s">
        <v>900</v>
      </c>
      <c r="Z20" s="2809" t="s">
        <v>901</v>
      </c>
      <c r="AA20" s="2812" t="s">
        <v>902</v>
      </c>
      <c r="AC20" s="2767"/>
      <c r="AD20" s="2768"/>
      <c r="AE20" s="2768"/>
      <c r="AF20" s="2768"/>
      <c r="AG20" s="2769"/>
      <c r="AH20" s="2770"/>
      <c r="AI20" s="2767" t="s">
        <v>789</v>
      </c>
      <c r="AJ20" s="2768" t="s">
        <v>790</v>
      </c>
      <c r="AK20" s="2768" t="s">
        <v>791</v>
      </c>
      <c r="AL20" s="2771" t="s">
        <v>839</v>
      </c>
      <c r="AM20" s="2769"/>
      <c r="AN20" s="2813" t="s">
        <v>700</v>
      </c>
    </row>
    <row r="21" spans="2:40">
      <c r="B21" s="2798" t="s">
        <v>701</v>
      </c>
      <c r="C21" s="2799" t="s">
        <v>701</v>
      </c>
      <c r="D21" s="2800">
        <v>11222333444</v>
      </c>
      <c r="E21" s="2801" t="s">
        <v>897</v>
      </c>
      <c r="F21" s="2802" t="s">
        <v>691</v>
      </c>
      <c r="G21" s="2802" t="s">
        <v>699</v>
      </c>
      <c r="H21" s="2814" t="s">
        <v>694</v>
      </c>
      <c r="I21" s="2815" t="s">
        <v>827</v>
      </c>
      <c r="J21" s="2814" t="s">
        <v>828</v>
      </c>
      <c r="K21" s="2816">
        <v>5</v>
      </c>
      <c r="L21" s="2817">
        <v>5</v>
      </c>
      <c r="M21" s="2806">
        <v>5</v>
      </c>
      <c r="N21" s="2807" t="s">
        <v>892</v>
      </c>
      <c r="O21" s="2808" t="s">
        <v>898</v>
      </c>
      <c r="P21" s="2809"/>
      <c r="Q21" s="2809" t="s">
        <v>861</v>
      </c>
      <c r="R21" s="2810" t="s">
        <v>696</v>
      </c>
      <c r="S21" s="2811" t="s">
        <v>862</v>
      </c>
      <c r="T21" s="2808" t="s">
        <v>899</v>
      </c>
      <c r="U21" s="2809"/>
      <c r="V21" s="2809" t="s">
        <v>861</v>
      </c>
      <c r="W21" s="2809" t="s">
        <v>696</v>
      </c>
      <c r="X21" s="2811">
        <v>2000</v>
      </c>
      <c r="Y21" s="2808" t="s">
        <v>900</v>
      </c>
      <c r="Z21" s="2809" t="s">
        <v>901</v>
      </c>
      <c r="AA21" s="2812" t="s">
        <v>902</v>
      </c>
      <c r="AC21" s="2767"/>
      <c r="AD21" s="2768"/>
      <c r="AE21" s="2768"/>
      <c r="AF21" s="2768"/>
      <c r="AG21" s="2769"/>
      <c r="AH21" s="2770"/>
      <c r="AI21" s="2767" t="s">
        <v>789</v>
      </c>
      <c r="AJ21" s="2768" t="s">
        <v>790</v>
      </c>
      <c r="AK21" s="2768" t="s">
        <v>791</v>
      </c>
      <c r="AL21" s="2771" t="s">
        <v>839</v>
      </c>
      <c r="AM21" s="2769"/>
      <c r="AN21" s="2813" t="s">
        <v>701</v>
      </c>
    </row>
    <row r="22" spans="2:40">
      <c r="B22" s="2789" t="s">
        <v>702</v>
      </c>
      <c r="C22" s="2777" t="s">
        <v>702</v>
      </c>
      <c r="D22" s="2778">
        <v>76064651056</v>
      </c>
      <c r="E22" s="2751" t="s">
        <v>698</v>
      </c>
      <c r="F22" s="2752" t="s">
        <v>691</v>
      </c>
      <c r="G22" s="2752" t="s">
        <v>337</v>
      </c>
      <c r="H22" s="2753" t="s">
        <v>694</v>
      </c>
      <c r="I22" s="2754" t="s">
        <v>782</v>
      </c>
      <c r="J22" s="2753" t="s">
        <v>849</v>
      </c>
      <c r="K22" s="2755">
        <v>5</v>
      </c>
      <c r="L22" s="2756">
        <v>5</v>
      </c>
      <c r="M22" s="2757">
        <v>2</v>
      </c>
      <c r="N22" s="2783" t="s">
        <v>877</v>
      </c>
      <c r="O22" s="2764" t="s">
        <v>903</v>
      </c>
      <c r="P22" s="2760"/>
      <c r="Q22" s="2760" t="s">
        <v>904</v>
      </c>
      <c r="R22" s="2760" t="s">
        <v>698</v>
      </c>
      <c r="S22" s="2763" t="s">
        <v>905</v>
      </c>
      <c r="T22" s="2764" t="s">
        <v>906</v>
      </c>
      <c r="U22" s="2760"/>
      <c r="V22" s="2760" t="s">
        <v>904</v>
      </c>
      <c r="W22" s="2760" t="s">
        <v>884</v>
      </c>
      <c r="X22" s="2765">
        <v>8001</v>
      </c>
      <c r="Y22" s="2764" t="s">
        <v>885</v>
      </c>
      <c r="Z22" s="2760" t="s">
        <v>886</v>
      </c>
      <c r="AA22" s="2766" t="s">
        <v>887</v>
      </c>
      <c r="AC22" s="2790" t="s">
        <v>838</v>
      </c>
      <c r="AD22" s="2785" t="s">
        <v>838</v>
      </c>
      <c r="AE22" s="2818" t="s">
        <v>837</v>
      </c>
      <c r="AF22" s="2818" t="s">
        <v>837</v>
      </c>
      <c r="AG22" s="2786" t="s">
        <v>837</v>
      </c>
      <c r="AH22" s="2787"/>
      <c r="AI22" s="2767" t="s">
        <v>789</v>
      </c>
      <c r="AJ22" s="2768" t="s">
        <v>790</v>
      </c>
      <c r="AK22" s="2768" t="s">
        <v>791</v>
      </c>
      <c r="AL22" s="2771" t="s">
        <v>839</v>
      </c>
      <c r="AM22" s="2769"/>
      <c r="AN22" s="2792" t="s">
        <v>702</v>
      </c>
    </row>
    <row r="23" spans="2:40">
      <c r="B23" s="2789" t="s">
        <v>704</v>
      </c>
      <c r="C23" s="2777" t="s">
        <v>704</v>
      </c>
      <c r="D23" s="2778">
        <v>16779340889</v>
      </c>
      <c r="E23" s="2751" t="s">
        <v>705</v>
      </c>
      <c r="F23" s="2752" t="s">
        <v>691</v>
      </c>
      <c r="G23" s="2752" t="s">
        <v>699</v>
      </c>
      <c r="H23" s="2753" t="s">
        <v>694</v>
      </c>
      <c r="I23" s="2754" t="s">
        <v>827</v>
      </c>
      <c r="J23" s="2753" t="s">
        <v>828</v>
      </c>
      <c r="K23" s="2755">
        <v>9</v>
      </c>
      <c r="L23" s="2797">
        <v>5</v>
      </c>
      <c r="M23" s="2757">
        <v>5</v>
      </c>
      <c r="N23" s="2758" t="s">
        <v>892</v>
      </c>
      <c r="O23" s="2764"/>
      <c r="P23" s="2760"/>
      <c r="Q23" s="2760"/>
      <c r="R23" s="2819" t="s">
        <v>696</v>
      </c>
      <c r="S23" s="2763"/>
      <c r="T23" s="2764"/>
      <c r="U23" s="2760"/>
      <c r="V23" s="2760"/>
      <c r="W23" s="2760"/>
      <c r="X23" s="2763"/>
      <c r="Y23" s="2764"/>
      <c r="Z23" s="2760"/>
      <c r="AA23" s="2766"/>
      <c r="AC23" s="2767"/>
      <c r="AD23" s="2768"/>
      <c r="AE23" s="2768"/>
      <c r="AF23" s="2768"/>
      <c r="AG23" s="2769"/>
      <c r="AH23" s="2770"/>
      <c r="AI23" s="2767" t="s">
        <v>789</v>
      </c>
      <c r="AJ23" s="2768" t="s">
        <v>790</v>
      </c>
      <c r="AK23" s="2768" t="s">
        <v>791</v>
      </c>
      <c r="AL23" s="2771" t="s">
        <v>839</v>
      </c>
      <c r="AM23" s="2769"/>
      <c r="AN23" s="2792" t="s">
        <v>704</v>
      </c>
    </row>
    <row r="24" spans="2:40">
      <c r="B24" s="2789" t="s">
        <v>706</v>
      </c>
      <c r="C24" s="2777" t="s">
        <v>706</v>
      </c>
      <c r="D24" s="2778">
        <v>41094482416</v>
      </c>
      <c r="E24" s="2751" t="s">
        <v>695</v>
      </c>
      <c r="F24" s="2752" t="s">
        <v>691</v>
      </c>
      <c r="G24" s="2752" t="s">
        <v>699</v>
      </c>
      <c r="H24" s="2753" t="s">
        <v>694</v>
      </c>
      <c r="I24" s="2754" t="s">
        <v>827</v>
      </c>
      <c r="J24" s="2753" t="s">
        <v>828</v>
      </c>
      <c r="K24" s="2755">
        <v>5</v>
      </c>
      <c r="L24" s="2797">
        <v>5</v>
      </c>
      <c r="M24" s="2757">
        <v>5</v>
      </c>
      <c r="N24" s="2758" t="s">
        <v>892</v>
      </c>
      <c r="O24" s="2764" t="s">
        <v>907</v>
      </c>
      <c r="P24" s="2760" t="s">
        <v>908</v>
      </c>
      <c r="Q24" s="2760" t="s">
        <v>852</v>
      </c>
      <c r="R24" s="2779" t="s">
        <v>695</v>
      </c>
      <c r="S24" s="2763" t="s">
        <v>853</v>
      </c>
      <c r="T24" s="2764" t="s">
        <v>909</v>
      </c>
      <c r="U24" s="2760" t="s">
        <v>910</v>
      </c>
      <c r="V24" s="2760" t="s">
        <v>852</v>
      </c>
      <c r="W24" s="2760" t="s">
        <v>695</v>
      </c>
      <c r="X24" s="2765">
        <v>5000</v>
      </c>
      <c r="Y24" s="2764" t="s">
        <v>911</v>
      </c>
      <c r="Z24" s="2760" t="s">
        <v>912</v>
      </c>
      <c r="AA24" s="2766" t="s">
        <v>913</v>
      </c>
      <c r="AC24" s="2767"/>
      <c r="AD24" s="2768"/>
      <c r="AE24" s="2768"/>
      <c r="AF24" s="2768"/>
      <c r="AG24" s="2769"/>
      <c r="AH24" s="2770"/>
      <c r="AI24" s="2767" t="s">
        <v>789</v>
      </c>
      <c r="AJ24" s="2768" t="s">
        <v>790</v>
      </c>
      <c r="AK24" s="2768" t="s">
        <v>791</v>
      </c>
      <c r="AL24" s="2771" t="s">
        <v>839</v>
      </c>
      <c r="AM24" s="2769"/>
      <c r="AN24" s="2792" t="s">
        <v>706</v>
      </c>
    </row>
    <row r="25" spans="2:40">
      <c r="B25" s="2789" t="s">
        <v>320</v>
      </c>
      <c r="C25" s="2777" t="s">
        <v>320</v>
      </c>
      <c r="D25" s="2778">
        <v>59253130878</v>
      </c>
      <c r="E25" s="2751" t="s">
        <v>696</v>
      </c>
      <c r="F25" s="2752" t="s">
        <v>691</v>
      </c>
      <c r="G25" s="2752" t="s">
        <v>337</v>
      </c>
      <c r="H25" s="2753" t="s">
        <v>694</v>
      </c>
      <c r="I25" s="2754" t="s">
        <v>827</v>
      </c>
      <c r="J25" s="2753" t="s">
        <v>828</v>
      </c>
      <c r="K25" s="2755">
        <v>5</v>
      </c>
      <c r="L25" s="2756">
        <v>5</v>
      </c>
      <c r="M25" s="2757">
        <v>5</v>
      </c>
      <c r="N25" s="2783" t="s">
        <v>829</v>
      </c>
      <c r="O25" s="2764" t="s">
        <v>914</v>
      </c>
      <c r="P25" s="2760"/>
      <c r="Q25" s="2760" t="s">
        <v>915</v>
      </c>
      <c r="R25" s="2779" t="s">
        <v>696</v>
      </c>
      <c r="S25" s="2763" t="s">
        <v>916</v>
      </c>
      <c r="T25" s="2764" t="s">
        <v>917</v>
      </c>
      <c r="U25" s="2760"/>
      <c r="V25" s="2760" t="s">
        <v>918</v>
      </c>
      <c r="W25" s="2760" t="s">
        <v>696</v>
      </c>
      <c r="X25" s="2765" t="s">
        <v>919</v>
      </c>
      <c r="Y25" s="2764" t="s">
        <v>920</v>
      </c>
      <c r="Z25" s="2794" t="s">
        <v>921</v>
      </c>
      <c r="AA25" s="2795" t="s">
        <v>922</v>
      </c>
      <c r="AC25" s="2784" t="s">
        <v>837</v>
      </c>
      <c r="AD25" s="2785" t="s">
        <v>838</v>
      </c>
      <c r="AE25" s="2785" t="s">
        <v>838</v>
      </c>
      <c r="AF25" s="2785" t="s">
        <v>838</v>
      </c>
      <c r="AG25" s="2786" t="s">
        <v>837</v>
      </c>
      <c r="AH25" s="2787"/>
      <c r="AI25" s="2767" t="s">
        <v>789</v>
      </c>
      <c r="AJ25" s="2768" t="s">
        <v>790</v>
      </c>
      <c r="AK25" s="2768" t="s">
        <v>791</v>
      </c>
      <c r="AL25" s="2771" t="s">
        <v>839</v>
      </c>
      <c r="AM25" s="2769"/>
      <c r="AN25" s="2792" t="s">
        <v>320</v>
      </c>
    </row>
    <row r="26" spans="2:40">
      <c r="B26" s="2789" t="s">
        <v>321</v>
      </c>
      <c r="C26" s="2777" t="s">
        <v>321</v>
      </c>
      <c r="D26" s="2778">
        <v>40078849055</v>
      </c>
      <c r="E26" s="2751" t="s">
        <v>705</v>
      </c>
      <c r="F26" s="2752" t="s">
        <v>691</v>
      </c>
      <c r="G26" s="2752" t="s">
        <v>337</v>
      </c>
      <c r="H26" s="2752" t="s">
        <v>694</v>
      </c>
      <c r="I26" s="2782" t="s">
        <v>827</v>
      </c>
      <c r="J26" s="2752" t="s">
        <v>828</v>
      </c>
      <c r="K26" s="2755">
        <v>5</v>
      </c>
      <c r="L26" s="2756">
        <v>5</v>
      </c>
      <c r="M26" s="2757">
        <v>5</v>
      </c>
      <c r="N26" s="2783" t="s">
        <v>923</v>
      </c>
      <c r="O26" s="2764" t="s">
        <v>924</v>
      </c>
      <c r="P26" s="2760"/>
      <c r="Q26" s="2760" t="s">
        <v>925</v>
      </c>
      <c r="R26" s="2760" t="s">
        <v>705</v>
      </c>
      <c r="S26" s="2763" t="s">
        <v>926</v>
      </c>
      <c r="T26" s="2764" t="s">
        <v>924</v>
      </c>
      <c r="U26" s="2760"/>
      <c r="V26" s="2760" t="s">
        <v>925</v>
      </c>
      <c r="W26" s="2760" t="s">
        <v>927</v>
      </c>
      <c r="X26" s="2765" t="s">
        <v>926</v>
      </c>
      <c r="Y26" s="2764" t="s">
        <v>928</v>
      </c>
      <c r="Z26" s="2760" t="s">
        <v>929</v>
      </c>
      <c r="AA26" s="2766" t="s">
        <v>930</v>
      </c>
      <c r="AC26" s="2790" t="s">
        <v>838</v>
      </c>
      <c r="AD26" s="2785" t="s">
        <v>838</v>
      </c>
      <c r="AE26" s="2785" t="s">
        <v>838</v>
      </c>
      <c r="AF26" s="2818" t="s">
        <v>837</v>
      </c>
      <c r="AG26" s="2786" t="s">
        <v>837</v>
      </c>
      <c r="AH26" s="2787"/>
      <c r="AI26" s="2767" t="s">
        <v>789</v>
      </c>
      <c r="AJ26" s="2768" t="s">
        <v>790</v>
      </c>
      <c r="AK26" s="2768" t="s">
        <v>791</v>
      </c>
      <c r="AL26" s="2771" t="s">
        <v>839</v>
      </c>
      <c r="AM26" s="2769"/>
      <c r="AN26" s="2792" t="s">
        <v>321</v>
      </c>
    </row>
    <row r="27" spans="2:40">
      <c r="B27" s="2789" t="s">
        <v>323</v>
      </c>
      <c r="C27" s="2777" t="s">
        <v>323</v>
      </c>
      <c r="D27" s="2778">
        <v>50087646062</v>
      </c>
      <c r="E27" s="2751" t="s">
        <v>705</v>
      </c>
      <c r="F27" s="2752" t="s">
        <v>691</v>
      </c>
      <c r="G27" s="2752" t="s">
        <v>337</v>
      </c>
      <c r="H27" s="2752" t="s">
        <v>694</v>
      </c>
      <c r="I27" s="2782" t="s">
        <v>827</v>
      </c>
      <c r="J27" s="2752" t="s">
        <v>828</v>
      </c>
      <c r="K27" s="2755">
        <v>5</v>
      </c>
      <c r="L27" s="2756">
        <v>5</v>
      </c>
      <c r="M27" s="2757">
        <v>5</v>
      </c>
      <c r="N27" s="2783" t="s">
        <v>923</v>
      </c>
      <c r="O27" s="2764" t="s">
        <v>931</v>
      </c>
      <c r="P27" s="2760"/>
      <c r="Q27" s="2760" t="s">
        <v>932</v>
      </c>
      <c r="R27" s="2760" t="s">
        <v>705</v>
      </c>
      <c r="S27" s="2763" t="s">
        <v>933</v>
      </c>
      <c r="T27" s="2764" t="s">
        <v>934</v>
      </c>
      <c r="U27" s="2760"/>
      <c r="V27" s="2760" t="s">
        <v>935</v>
      </c>
      <c r="W27" s="2760" t="s">
        <v>927</v>
      </c>
      <c r="X27" s="2765">
        <v>4006</v>
      </c>
      <c r="Y27" s="2764" t="s">
        <v>936</v>
      </c>
      <c r="Z27" s="2760" t="s">
        <v>937</v>
      </c>
      <c r="AA27" s="2769" t="s">
        <v>938</v>
      </c>
      <c r="AC27" s="2784" t="s">
        <v>837</v>
      </c>
      <c r="AD27" s="2785" t="s">
        <v>838</v>
      </c>
      <c r="AE27" s="2785" t="s">
        <v>838</v>
      </c>
      <c r="AF27" s="2785" t="s">
        <v>838</v>
      </c>
      <c r="AG27" s="2786" t="s">
        <v>837</v>
      </c>
      <c r="AH27" s="2787"/>
      <c r="AI27" s="2767" t="s">
        <v>789</v>
      </c>
      <c r="AJ27" s="2768" t="s">
        <v>790</v>
      </c>
      <c r="AK27" s="2768" t="s">
        <v>791</v>
      </c>
      <c r="AL27" s="2771" t="s">
        <v>839</v>
      </c>
      <c r="AM27" s="2769"/>
      <c r="AN27" s="2792" t="s">
        <v>323</v>
      </c>
    </row>
    <row r="28" spans="2:40">
      <c r="B28" s="2789" t="s">
        <v>324</v>
      </c>
      <c r="C28" s="2777" t="s">
        <v>324</v>
      </c>
      <c r="D28" s="2778">
        <v>37428185226</v>
      </c>
      <c r="E28" s="2751" t="s">
        <v>696</v>
      </c>
      <c r="F28" s="2752" t="s">
        <v>691</v>
      </c>
      <c r="G28" s="2752" t="s">
        <v>337</v>
      </c>
      <c r="H28" s="2752" t="s">
        <v>694</v>
      </c>
      <c r="I28" s="2782" t="s">
        <v>827</v>
      </c>
      <c r="J28" s="2752" t="s">
        <v>828</v>
      </c>
      <c r="K28" s="2755">
        <v>5</v>
      </c>
      <c r="L28" s="2756">
        <v>5</v>
      </c>
      <c r="M28" s="2757">
        <v>5</v>
      </c>
      <c r="N28" s="2783" t="s">
        <v>829</v>
      </c>
      <c r="O28" s="2764" t="s">
        <v>939</v>
      </c>
      <c r="P28" s="2760"/>
      <c r="Q28" s="2760" t="s">
        <v>940</v>
      </c>
      <c r="R28" s="2779" t="s">
        <v>696</v>
      </c>
      <c r="S28" s="2763" t="s">
        <v>941</v>
      </c>
      <c r="T28" s="2764" t="s">
        <v>942</v>
      </c>
      <c r="U28" s="2760"/>
      <c r="V28" s="2760" t="s">
        <v>940</v>
      </c>
      <c r="W28" s="2760" t="s">
        <v>696</v>
      </c>
      <c r="X28" s="2765" t="s">
        <v>941</v>
      </c>
      <c r="Y28" s="2764" t="s">
        <v>943</v>
      </c>
      <c r="Z28" s="2760" t="s">
        <v>944</v>
      </c>
      <c r="AA28" s="2766" t="s">
        <v>945</v>
      </c>
      <c r="AC28" s="2784"/>
      <c r="AD28" s="2785"/>
      <c r="AE28" s="2785" t="s">
        <v>838</v>
      </c>
      <c r="AF28" s="2785" t="s">
        <v>838</v>
      </c>
      <c r="AG28" s="2786" t="s">
        <v>837</v>
      </c>
      <c r="AH28" s="2787"/>
      <c r="AI28" s="2767" t="s">
        <v>789</v>
      </c>
      <c r="AJ28" s="2768" t="s">
        <v>790</v>
      </c>
      <c r="AK28" s="2768" t="s">
        <v>791</v>
      </c>
      <c r="AL28" s="2771" t="s">
        <v>839</v>
      </c>
      <c r="AM28" s="2769"/>
      <c r="AN28" s="2792" t="s">
        <v>324</v>
      </c>
    </row>
    <row r="29" spans="2:40">
      <c r="B29" s="2789" t="s">
        <v>325</v>
      </c>
      <c r="C29" s="2777" t="s">
        <v>325</v>
      </c>
      <c r="D29" s="2778">
        <v>82064651083</v>
      </c>
      <c r="E29" s="2751" t="s">
        <v>698</v>
      </c>
      <c r="F29" s="2752" t="s">
        <v>691</v>
      </c>
      <c r="G29" s="2752" t="s">
        <v>337</v>
      </c>
      <c r="H29" s="2753" t="s">
        <v>694</v>
      </c>
      <c r="I29" s="2754" t="s">
        <v>782</v>
      </c>
      <c r="J29" s="2753" t="s">
        <v>849</v>
      </c>
      <c r="K29" s="2755">
        <v>5</v>
      </c>
      <c r="L29" s="2756">
        <v>5</v>
      </c>
      <c r="M29" s="2757">
        <v>2</v>
      </c>
      <c r="N29" s="2783" t="s">
        <v>877</v>
      </c>
      <c r="O29" s="2764" t="s">
        <v>946</v>
      </c>
      <c r="P29" s="2760" t="s">
        <v>947</v>
      </c>
      <c r="Q29" s="2760" t="s">
        <v>904</v>
      </c>
      <c r="R29" s="2779" t="s">
        <v>884</v>
      </c>
      <c r="S29" s="2763" t="s">
        <v>905</v>
      </c>
      <c r="T29" s="2764" t="s">
        <v>948</v>
      </c>
      <c r="U29" s="2760"/>
      <c r="V29" s="2760" t="s">
        <v>904</v>
      </c>
      <c r="W29" s="2760" t="s">
        <v>884</v>
      </c>
      <c r="X29" s="2765">
        <v>8001</v>
      </c>
      <c r="Y29" s="2764" t="s">
        <v>949</v>
      </c>
      <c r="Z29" s="2760" t="s">
        <v>950</v>
      </c>
      <c r="AA29" s="2766" t="s">
        <v>951</v>
      </c>
      <c r="AC29" s="2784"/>
      <c r="AD29" s="2785"/>
      <c r="AE29" s="2785" t="s">
        <v>838</v>
      </c>
      <c r="AF29" s="2818" t="s">
        <v>837</v>
      </c>
      <c r="AG29" s="2786" t="s">
        <v>837</v>
      </c>
      <c r="AH29" s="2787"/>
      <c r="AI29" s="2767" t="s">
        <v>789</v>
      </c>
      <c r="AJ29" s="2768" t="s">
        <v>790</v>
      </c>
      <c r="AK29" s="2768" t="s">
        <v>791</v>
      </c>
      <c r="AL29" s="2771" t="s">
        <v>839</v>
      </c>
      <c r="AM29" s="2769"/>
      <c r="AN29" s="2792" t="s">
        <v>325</v>
      </c>
    </row>
    <row r="30" spans="2:40">
      <c r="B30" s="2776" t="s">
        <v>952</v>
      </c>
      <c r="C30" s="2777" t="s">
        <v>953</v>
      </c>
      <c r="D30" s="2778"/>
      <c r="E30" s="2751" t="s">
        <v>696</v>
      </c>
      <c r="F30" s="2752" t="s">
        <v>334</v>
      </c>
      <c r="G30" s="2752" t="s">
        <v>337</v>
      </c>
      <c r="H30" s="2781" t="s">
        <v>703</v>
      </c>
      <c r="I30" s="2754" t="s">
        <v>827</v>
      </c>
      <c r="J30" s="2753" t="s">
        <v>828</v>
      </c>
      <c r="K30" s="2755">
        <v>5</v>
      </c>
      <c r="L30" s="2756">
        <v>5</v>
      </c>
      <c r="M30" s="2757"/>
      <c r="N30" s="2783"/>
      <c r="O30" s="2764"/>
      <c r="P30" s="2760"/>
      <c r="Q30" s="2760"/>
      <c r="R30" s="2779"/>
      <c r="S30" s="2763"/>
      <c r="T30" s="2764"/>
      <c r="U30" s="2760"/>
      <c r="V30" s="2760"/>
      <c r="W30" s="2760"/>
      <c r="X30" s="2765"/>
      <c r="Y30" s="2764"/>
      <c r="Z30" s="2760"/>
      <c r="AA30" s="2766"/>
      <c r="AC30" s="2784"/>
      <c r="AD30" s="2785"/>
      <c r="AE30" s="2785"/>
      <c r="AF30" s="2818"/>
      <c r="AG30" s="2786"/>
      <c r="AH30" s="2787"/>
      <c r="AI30" s="2767"/>
      <c r="AJ30" s="2768"/>
      <c r="AK30" s="2768"/>
      <c r="AL30" s="2771"/>
      <c r="AM30" s="2769"/>
      <c r="AN30" s="2780" t="s">
        <v>952</v>
      </c>
    </row>
    <row r="31" spans="2:40">
      <c r="B31" s="2776" t="s">
        <v>954</v>
      </c>
      <c r="C31" s="2777" t="s">
        <v>955</v>
      </c>
      <c r="D31" s="2778">
        <v>86026986</v>
      </c>
      <c r="E31" s="2751" t="s">
        <v>698</v>
      </c>
      <c r="F31" s="2752" t="s">
        <v>334</v>
      </c>
      <c r="G31" s="2752" t="s">
        <v>337</v>
      </c>
      <c r="H31" s="2781" t="s">
        <v>703</v>
      </c>
      <c r="I31" s="2754" t="s">
        <v>782</v>
      </c>
      <c r="J31" s="2753" t="s">
        <v>849</v>
      </c>
      <c r="K31" s="2755">
        <v>5</v>
      </c>
      <c r="L31" s="2756">
        <v>5</v>
      </c>
      <c r="M31" s="2757" t="s">
        <v>842</v>
      </c>
      <c r="N31" s="2783"/>
      <c r="O31" s="2764"/>
      <c r="P31" s="2760"/>
      <c r="Q31" s="2760"/>
      <c r="R31" s="2779"/>
      <c r="S31" s="2763"/>
      <c r="T31" s="2764"/>
      <c r="U31" s="2760"/>
      <c r="V31" s="2760"/>
      <c r="W31" s="2760"/>
      <c r="X31" s="2765"/>
      <c r="Y31" s="2764"/>
      <c r="Z31" s="2760"/>
      <c r="AA31" s="2766"/>
      <c r="AC31" s="2784"/>
      <c r="AD31" s="2785"/>
      <c r="AE31" s="2785"/>
      <c r="AF31" s="2818"/>
      <c r="AG31" s="2786"/>
      <c r="AH31" s="2770"/>
      <c r="AI31" s="2767"/>
      <c r="AJ31" s="2768"/>
      <c r="AK31" s="2768"/>
      <c r="AL31" s="2771"/>
      <c r="AM31" s="2769"/>
      <c r="AN31" s="2780" t="s">
        <v>954</v>
      </c>
    </row>
    <row r="32" spans="2:40">
      <c r="B32" s="2789" t="s">
        <v>707</v>
      </c>
      <c r="C32" s="2777" t="s">
        <v>707</v>
      </c>
      <c r="D32" s="2778">
        <v>79181207909</v>
      </c>
      <c r="E32" s="2751" t="s">
        <v>695</v>
      </c>
      <c r="F32" s="2752" t="s">
        <v>691</v>
      </c>
      <c r="G32" s="2752" t="s">
        <v>699</v>
      </c>
      <c r="H32" s="2753" t="s">
        <v>694</v>
      </c>
      <c r="I32" s="2754" t="s">
        <v>827</v>
      </c>
      <c r="J32" s="2753" t="s">
        <v>828</v>
      </c>
      <c r="K32" s="2755">
        <v>5</v>
      </c>
      <c r="L32" s="2797">
        <v>5</v>
      </c>
      <c r="M32" s="2757">
        <v>5</v>
      </c>
      <c r="N32" s="2758" t="s">
        <v>892</v>
      </c>
      <c r="O32" s="2764"/>
      <c r="P32" s="2760"/>
      <c r="Q32" s="2760"/>
      <c r="R32" s="2819"/>
      <c r="S32" s="2763"/>
      <c r="T32" s="2764"/>
      <c r="U32" s="2760"/>
      <c r="V32" s="2760"/>
      <c r="W32" s="2760"/>
      <c r="X32" s="2763"/>
      <c r="Y32" s="2764"/>
      <c r="Z32" s="2760"/>
      <c r="AA32" s="2766"/>
      <c r="AC32" s="2767"/>
      <c r="AD32" s="2768"/>
      <c r="AE32" s="2768"/>
      <c r="AF32" s="2768"/>
      <c r="AG32" s="2769"/>
      <c r="AH32" s="2770"/>
      <c r="AI32" s="2767" t="s">
        <v>789</v>
      </c>
      <c r="AJ32" s="2768" t="s">
        <v>790</v>
      </c>
      <c r="AK32" s="2768" t="s">
        <v>791</v>
      </c>
      <c r="AL32" s="2771" t="s">
        <v>839</v>
      </c>
      <c r="AM32" s="2769"/>
      <c r="AN32" s="2792" t="s">
        <v>707</v>
      </c>
    </row>
    <row r="33" spans="2:40">
      <c r="B33" s="2789" t="s">
        <v>327</v>
      </c>
      <c r="C33" s="2777" t="s">
        <v>327</v>
      </c>
      <c r="D33" s="2778">
        <v>89064651109</v>
      </c>
      <c r="E33" s="2751" t="s">
        <v>698</v>
      </c>
      <c r="F33" s="2752" t="s">
        <v>691</v>
      </c>
      <c r="G33" s="2752" t="s">
        <v>337</v>
      </c>
      <c r="H33" s="2753" t="s">
        <v>694</v>
      </c>
      <c r="I33" s="2754" t="s">
        <v>782</v>
      </c>
      <c r="J33" s="2753" t="s">
        <v>849</v>
      </c>
      <c r="K33" s="2755">
        <v>5</v>
      </c>
      <c r="L33" s="2756">
        <v>5</v>
      </c>
      <c r="M33" s="2757">
        <v>2</v>
      </c>
      <c r="N33" s="2783" t="s">
        <v>877</v>
      </c>
      <c r="O33" s="2764" t="s">
        <v>903</v>
      </c>
      <c r="P33" s="2760"/>
      <c r="Q33" s="2760" t="s">
        <v>904</v>
      </c>
      <c r="R33" s="2779" t="s">
        <v>698</v>
      </c>
      <c r="S33" s="2763" t="s">
        <v>905</v>
      </c>
      <c r="T33" s="2764" t="s">
        <v>956</v>
      </c>
      <c r="U33" s="2760"/>
      <c r="V33" s="2760" t="s">
        <v>904</v>
      </c>
      <c r="W33" s="2760" t="s">
        <v>884</v>
      </c>
      <c r="X33" s="2763">
        <v>8001</v>
      </c>
      <c r="Y33" s="2764" t="s">
        <v>885</v>
      </c>
      <c r="Z33" s="2760" t="s">
        <v>886</v>
      </c>
      <c r="AA33" s="2766" t="s">
        <v>887</v>
      </c>
      <c r="AC33" s="2784"/>
      <c r="AD33" s="2785"/>
      <c r="AE33" s="2785" t="s">
        <v>838</v>
      </c>
      <c r="AF33" s="2785" t="s">
        <v>838</v>
      </c>
      <c r="AG33" s="2786" t="s">
        <v>837</v>
      </c>
      <c r="AH33" s="2791"/>
      <c r="AI33" s="2767" t="s">
        <v>789</v>
      </c>
      <c r="AJ33" s="2768" t="s">
        <v>790</v>
      </c>
      <c r="AK33" s="2768" t="s">
        <v>791</v>
      </c>
      <c r="AL33" s="2771" t="s">
        <v>839</v>
      </c>
      <c r="AM33" s="2769"/>
      <c r="AN33" s="2792" t="s">
        <v>327</v>
      </c>
    </row>
    <row r="34" spans="2:40" ht="28.5">
      <c r="B34" s="2789" t="s">
        <v>328</v>
      </c>
      <c r="C34" s="2820" t="s">
        <v>957</v>
      </c>
      <c r="D34" s="2778">
        <v>82078849233</v>
      </c>
      <c r="E34" s="2751" t="s">
        <v>705</v>
      </c>
      <c r="F34" s="2752" t="s">
        <v>691</v>
      </c>
      <c r="G34" s="2752" t="s">
        <v>699</v>
      </c>
      <c r="H34" s="2753" t="s">
        <v>694</v>
      </c>
      <c r="I34" s="2754" t="s">
        <v>827</v>
      </c>
      <c r="J34" s="2753" t="s">
        <v>828</v>
      </c>
      <c r="K34" s="2755">
        <v>5</v>
      </c>
      <c r="L34" s="2797">
        <v>5</v>
      </c>
      <c r="M34" s="2757">
        <v>5</v>
      </c>
      <c r="N34" s="2758" t="s">
        <v>892</v>
      </c>
      <c r="O34" s="2764" t="s">
        <v>958</v>
      </c>
      <c r="P34" s="2760"/>
      <c r="Q34" s="2760" t="s">
        <v>959</v>
      </c>
      <c r="R34" s="2760" t="s">
        <v>705</v>
      </c>
      <c r="S34" s="2763" t="s">
        <v>960</v>
      </c>
      <c r="T34" s="2764" t="s">
        <v>961</v>
      </c>
      <c r="U34" s="2760"/>
      <c r="V34" s="2760" t="s">
        <v>959</v>
      </c>
      <c r="W34" s="2760" t="s">
        <v>927</v>
      </c>
      <c r="X34" s="2763">
        <v>4014</v>
      </c>
      <c r="Y34" s="2764" t="s">
        <v>962</v>
      </c>
      <c r="Z34" s="2760" t="s">
        <v>963</v>
      </c>
      <c r="AA34" s="2766" t="s">
        <v>964</v>
      </c>
      <c r="AC34" s="2767"/>
      <c r="AD34" s="2768"/>
      <c r="AE34" s="2768"/>
      <c r="AF34" s="2768"/>
      <c r="AG34" s="2769"/>
      <c r="AH34" s="2770"/>
      <c r="AI34" s="2767" t="s">
        <v>789</v>
      </c>
      <c r="AJ34" s="2768" t="s">
        <v>790</v>
      </c>
      <c r="AK34" s="2768" t="s">
        <v>791</v>
      </c>
      <c r="AL34" s="2771" t="s">
        <v>839</v>
      </c>
      <c r="AM34" s="2769"/>
      <c r="AN34" s="2792" t="s">
        <v>328</v>
      </c>
    </row>
    <row r="35" spans="2:40">
      <c r="B35" s="2776" t="s">
        <v>965</v>
      </c>
      <c r="C35" s="2777" t="s">
        <v>966</v>
      </c>
      <c r="D35" s="2821" t="s">
        <v>967</v>
      </c>
      <c r="E35" s="2751" t="s">
        <v>705</v>
      </c>
      <c r="F35" s="2752" t="s">
        <v>334</v>
      </c>
      <c r="G35" s="2752" t="s">
        <v>699</v>
      </c>
      <c r="H35" s="2781" t="s">
        <v>694</v>
      </c>
      <c r="I35" s="2754" t="s">
        <v>827</v>
      </c>
      <c r="J35" s="2753" t="s">
        <v>828</v>
      </c>
      <c r="K35" s="2755">
        <v>5</v>
      </c>
      <c r="L35" s="2756">
        <v>5</v>
      </c>
      <c r="M35" s="2757" t="s">
        <v>842</v>
      </c>
      <c r="N35" s="2783" t="s">
        <v>858</v>
      </c>
      <c r="O35" s="2764"/>
      <c r="P35" s="2760"/>
      <c r="Q35" s="2760"/>
      <c r="R35" s="2760"/>
      <c r="S35" s="2822"/>
      <c r="T35" s="2764"/>
      <c r="U35" s="2760"/>
      <c r="V35" s="2760"/>
      <c r="W35" s="2760"/>
      <c r="X35" s="2763"/>
      <c r="Y35" s="2764"/>
      <c r="Z35" s="2760"/>
      <c r="AA35" s="2766"/>
      <c r="AC35" s="2767"/>
      <c r="AD35" s="2768"/>
      <c r="AE35" s="2768"/>
      <c r="AF35" s="2768"/>
      <c r="AG35" s="2769"/>
      <c r="AH35" s="2770"/>
      <c r="AI35" s="2767" t="s">
        <v>789</v>
      </c>
      <c r="AJ35" s="2768" t="s">
        <v>790</v>
      </c>
      <c r="AK35" s="2768" t="s">
        <v>791</v>
      </c>
      <c r="AL35" s="2771" t="s">
        <v>839</v>
      </c>
      <c r="AM35" s="2769"/>
      <c r="AN35" s="2780" t="s">
        <v>965</v>
      </c>
    </row>
    <row r="36" spans="2:40">
      <c r="B36" s="2789" t="s">
        <v>330</v>
      </c>
      <c r="C36" s="2777" t="s">
        <v>330</v>
      </c>
      <c r="D36" s="2778">
        <v>13332330749</v>
      </c>
      <c r="E36" s="2751" t="s">
        <v>695</v>
      </c>
      <c r="F36" s="2752" t="s">
        <v>691</v>
      </c>
      <c r="G36" s="2752" t="s">
        <v>337</v>
      </c>
      <c r="H36" s="2753" t="s">
        <v>694</v>
      </c>
      <c r="I36" s="2754" t="s">
        <v>827</v>
      </c>
      <c r="J36" s="2753" t="s">
        <v>828</v>
      </c>
      <c r="K36" s="2755">
        <v>5</v>
      </c>
      <c r="L36" s="2756">
        <v>5</v>
      </c>
      <c r="M36" s="2757">
        <v>5</v>
      </c>
      <c r="N36" s="2783" t="s">
        <v>923</v>
      </c>
      <c r="O36" s="2764" t="s">
        <v>968</v>
      </c>
      <c r="P36" s="2760"/>
      <c r="Q36" s="2760" t="s">
        <v>969</v>
      </c>
      <c r="R36" s="2760" t="s">
        <v>695</v>
      </c>
      <c r="S36" s="2822" t="s">
        <v>970</v>
      </c>
      <c r="T36" s="2764" t="s">
        <v>971</v>
      </c>
      <c r="U36" s="2760"/>
      <c r="V36" s="2760" t="s">
        <v>852</v>
      </c>
      <c r="W36" s="2760" t="s">
        <v>695</v>
      </c>
      <c r="X36" s="2763" t="s">
        <v>853</v>
      </c>
      <c r="Y36" s="2764" t="s">
        <v>972</v>
      </c>
      <c r="Z36" s="2760" t="s">
        <v>973</v>
      </c>
      <c r="AA36" s="2766" t="s">
        <v>974</v>
      </c>
      <c r="AC36" s="2790"/>
      <c r="AD36" s="2785"/>
      <c r="AE36" s="2785" t="s">
        <v>838</v>
      </c>
      <c r="AF36" s="2785" t="s">
        <v>838</v>
      </c>
      <c r="AG36" s="2786" t="s">
        <v>837</v>
      </c>
      <c r="AH36" s="2791"/>
      <c r="AI36" s="2767" t="s">
        <v>789</v>
      </c>
      <c r="AJ36" s="2768" t="s">
        <v>790</v>
      </c>
      <c r="AK36" s="2768" t="s">
        <v>791</v>
      </c>
      <c r="AL36" s="2771" t="s">
        <v>839</v>
      </c>
      <c r="AM36" s="2769"/>
      <c r="AN36" s="2792" t="s">
        <v>330</v>
      </c>
    </row>
    <row r="37" spans="2:40" ht="25.5">
      <c r="B37" s="2789" t="s">
        <v>331</v>
      </c>
      <c r="C37" s="2823" t="s">
        <v>331</v>
      </c>
      <c r="D37" s="2778">
        <v>24167357299</v>
      </c>
      <c r="E37" s="2751" t="s">
        <v>708</v>
      </c>
      <c r="F37" s="2752" t="s">
        <v>691</v>
      </c>
      <c r="G37" s="2752" t="s">
        <v>337</v>
      </c>
      <c r="H37" s="2753" t="s">
        <v>694</v>
      </c>
      <c r="I37" s="2754" t="s">
        <v>827</v>
      </c>
      <c r="J37" s="2753" t="s">
        <v>828</v>
      </c>
      <c r="K37" s="2755">
        <v>5</v>
      </c>
      <c r="L37" s="2756">
        <v>5</v>
      </c>
      <c r="M37" s="2757">
        <v>5</v>
      </c>
      <c r="N37" s="2758" t="s">
        <v>840</v>
      </c>
      <c r="O37" s="2764" t="s">
        <v>975</v>
      </c>
      <c r="P37" s="2760"/>
      <c r="Q37" s="2760" t="s">
        <v>976</v>
      </c>
      <c r="R37" s="2779" t="s">
        <v>708</v>
      </c>
      <c r="S37" s="2763" t="s">
        <v>977</v>
      </c>
      <c r="T37" s="2764" t="s">
        <v>978</v>
      </c>
      <c r="U37" s="2760"/>
      <c r="V37" s="2760" t="s">
        <v>976</v>
      </c>
      <c r="W37" s="2760" t="s">
        <v>708</v>
      </c>
      <c r="X37" s="2763" t="s">
        <v>977</v>
      </c>
      <c r="Y37" s="2764" t="s">
        <v>979</v>
      </c>
      <c r="Z37" s="2760" t="s">
        <v>980</v>
      </c>
      <c r="AA37" s="2766" t="s">
        <v>981</v>
      </c>
      <c r="AC37" s="2790"/>
      <c r="AD37" s="2785"/>
      <c r="AE37" s="2785" t="s">
        <v>838</v>
      </c>
      <c r="AF37" s="2785" t="s">
        <v>838</v>
      </c>
      <c r="AG37" s="2824" t="s">
        <v>838</v>
      </c>
      <c r="AH37" s="2791"/>
      <c r="AI37" s="2825" t="s">
        <v>982</v>
      </c>
      <c r="AJ37" s="2826" t="s">
        <v>983</v>
      </c>
      <c r="AK37" s="2826" t="s">
        <v>790</v>
      </c>
      <c r="AL37" s="2826" t="s">
        <v>984</v>
      </c>
      <c r="AM37" s="2827" t="s">
        <v>985</v>
      </c>
      <c r="AN37" s="2792" t="s">
        <v>331</v>
      </c>
    </row>
    <row r="38" spans="2:40">
      <c r="B38" s="2789" t="s">
        <v>332</v>
      </c>
      <c r="C38" s="2777" t="s">
        <v>332</v>
      </c>
      <c r="D38" s="2778">
        <v>24167357299</v>
      </c>
      <c r="E38" s="2751" t="s">
        <v>708</v>
      </c>
      <c r="F38" s="2752" t="s">
        <v>691</v>
      </c>
      <c r="G38" s="2752" t="s">
        <v>699</v>
      </c>
      <c r="H38" s="2753" t="s">
        <v>694</v>
      </c>
      <c r="I38" s="2754" t="s">
        <v>827</v>
      </c>
      <c r="J38" s="2753" t="s">
        <v>891</v>
      </c>
      <c r="K38" s="2755">
        <v>5</v>
      </c>
      <c r="L38" s="2797">
        <v>5</v>
      </c>
      <c r="M38" s="2757">
        <v>5</v>
      </c>
      <c r="N38" s="2758" t="s">
        <v>892</v>
      </c>
      <c r="O38" s="2764" t="s">
        <v>986</v>
      </c>
      <c r="P38" s="2760"/>
      <c r="Q38" s="2760" t="s">
        <v>987</v>
      </c>
      <c r="R38" s="2779" t="s">
        <v>708</v>
      </c>
      <c r="S38" s="2822" t="s">
        <v>988</v>
      </c>
      <c r="T38" s="2764" t="s">
        <v>989</v>
      </c>
      <c r="U38" s="2760"/>
      <c r="V38" s="2760" t="s">
        <v>990</v>
      </c>
      <c r="W38" s="2760" t="s">
        <v>708</v>
      </c>
      <c r="X38" s="2763" t="s">
        <v>991</v>
      </c>
      <c r="Y38" s="2764" t="s">
        <v>992</v>
      </c>
      <c r="Z38" s="2760" t="s">
        <v>993</v>
      </c>
      <c r="AA38" s="2766" t="s">
        <v>994</v>
      </c>
      <c r="AC38" s="2767"/>
      <c r="AD38" s="2768"/>
      <c r="AE38" s="2768"/>
      <c r="AF38" s="2768"/>
      <c r="AG38" s="2769"/>
      <c r="AH38" s="2770"/>
      <c r="AI38" s="2767" t="s">
        <v>789</v>
      </c>
      <c r="AJ38" s="2768" t="s">
        <v>790</v>
      </c>
      <c r="AK38" s="2768" t="s">
        <v>791</v>
      </c>
      <c r="AL38" s="2771" t="s">
        <v>839</v>
      </c>
      <c r="AM38" s="2769"/>
      <c r="AN38" s="2792" t="s">
        <v>332</v>
      </c>
    </row>
    <row r="39" spans="2:40">
      <c r="B39" s="2789" t="s">
        <v>335</v>
      </c>
      <c r="C39" s="2777" t="s">
        <v>335</v>
      </c>
      <c r="D39" s="2778">
        <v>19622755774</v>
      </c>
      <c r="E39" s="2751" t="s">
        <v>696</v>
      </c>
      <c r="F39" s="2752" t="s">
        <v>691</v>
      </c>
      <c r="G39" s="2752" t="s">
        <v>699</v>
      </c>
      <c r="H39" s="2753" t="s">
        <v>694</v>
      </c>
      <c r="I39" s="2754" t="s">
        <v>827</v>
      </c>
      <c r="J39" s="2753" t="s">
        <v>828</v>
      </c>
      <c r="K39" s="2755">
        <v>5</v>
      </c>
      <c r="L39" s="2797">
        <v>4</v>
      </c>
      <c r="M39" s="2757">
        <v>5</v>
      </c>
      <c r="N39" s="2758" t="s">
        <v>892</v>
      </c>
      <c r="O39" s="2764" t="s">
        <v>995</v>
      </c>
      <c r="P39" s="2760"/>
      <c r="Q39" s="2760" t="s">
        <v>996</v>
      </c>
      <c r="R39" s="2779" t="s">
        <v>696</v>
      </c>
      <c r="S39" s="2763" t="s">
        <v>862</v>
      </c>
      <c r="T39" s="2764" t="s">
        <v>997</v>
      </c>
      <c r="U39" s="2760"/>
      <c r="V39" s="2760" t="s">
        <v>998</v>
      </c>
      <c r="W39" s="2760" t="s">
        <v>696</v>
      </c>
      <c r="X39" s="2763" t="s">
        <v>999</v>
      </c>
      <c r="Y39" s="2764" t="s">
        <v>1000</v>
      </c>
      <c r="Z39" s="2794" t="s">
        <v>1001</v>
      </c>
      <c r="AA39" s="2795" t="s">
        <v>1002</v>
      </c>
      <c r="AC39" s="2767"/>
      <c r="AD39" s="2768"/>
      <c r="AE39" s="2768"/>
      <c r="AF39" s="2768"/>
      <c r="AG39" s="2769"/>
      <c r="AH39" s="2770"/>
      <c r="AI39" s="2767" t="s">
        <v>789</v>
      </c>
      <c r="AJ39" s="2768" t="s">
        <v>790</v>
      </c>
      <c r="AK39" s="2768" t="s">
        <v>791</v>
      </c>
      <c r="AL39" s="2771" t="s">
        <v>839</v>
      </c>
      <c r="AM39" s="2769"/>
      <c r="AN39" s="2792" t="s">
        <v>335</v>
      </c>
    </row>
    <row r="40" spans="2:40">
      <c r="B40" s="2789" t="s">
        <v>338</v>
      </c>
      <c r="C40" s="2777" t="s">
        <v>338</v>
      </c>
      <c r="D40" s="2778">
        <v>70064651029</v>
      </c>
      <c r="E40" s="2751" t="s">
        <v>698</v>
      </c>
      <c r="F40" s="2752" t="s">
        <v>691</v>
      </c>
      <c r="G40" s="2752" t="s">
        <v>337</v>
      </c>
      <c r="H40" s="2753" t="s">
        <v>694</v>
      </c>
      <c r="I40" s="2754" t="s">
        <v>782</v>
      </c>
      <c r="J40" s="2753" t="s">
        <v>849</v>
      </c>
      <c r="K40" s="2755">
        <v>5</v>
      </c>
      <c r="L40" s="2756">
        <v>5</v>
      </c>
      <c r="M40" s="2757">
        <v>2</v>
      </c>
      <c r="N40" s="2783" t="s">
        <v>877</v>
      </c>
      <c r="O40" s="2764" t="s">
        <v>1003</v>
      </c>
      <c r="P40" s="2760" t="s">
        <v>1004</v>
      </c>
      <c r="Q40" s="2760" t="s">
        <v>1005</v>
      </c>
      <c r="R40" s="2760" t="s">
        <v>698</v>
      </c>
      <c r="S40" s="2763" t="s">
        <v>1006</v>
      </c>
      <c r="T40" s="2764" t="s">
        <v>1007</v>
      </c>
      <c r="U40" s="2760"/>
      <c r="V40" s="2760" t="s">
        <v>1008</v>
      </c>
      <c r="W40" s="2760" t="s">
        <v>884</v>
      </c>
      <c r="X40" s="2763">
        <v>3170</v>
      </c>
      <c r="Y40" s="2764" t="s">
        <v>1009</v>
      </c>
      <c r="Z40" s="2760" t="s">
        <v>1010</v>
      </c>
      <c r="AA40" s="2766" t="s">
        <v>1011</v>
      </c>
      <c r="AC40" s="2784"/>
      <c r="AD40" s="2785"/>
      <c r="AE40" s="2785" t="s">
        <v>838</v>
      </c>
      <c r="AF40" s="2818" t="s">
        <v>837</v>
      </c>
      <c r="AG40" s="2786" t="s">
        <v>837</v>
      </c>
      <c r="AH40" s="2791"/>
      <c r="AI40" s="2767" t="s">
        <v>789</v>
      </c>
      <c r="AJ40" s="2768" t="s">
        <v>790</v>
      </c>
      <c r="AK40" s="2768" t="s">
        <v>791</v>
      </c>
      <c r="AL40" s="2771" t="s">
        <v>839</v>
      </c>
      <c r="AM40" s="2769"/>
      <c r="AN40" s="2792" t="s">
        <v>338</v>
      </c>
    </row>
    <row r="41" spans="2:40">
      <c r="B41" s="2789" t="s">
        <v>1012</v>
      </c>
      <c r="C41" s="2777" t="s">
        <v>1012</v>
      </c>
      <c r="D41" s="2778">
        <v>18540492861</v>
      </c>
      <c r="E41" s="2751" t="s">
        <v>1013</v>
      </c>
      <c r="F41" s="2752" t="s">
        <v>691</v>
      </c>
      <c r="G41" s="2752" t="s">
        <v>337</v>
      </c>
      <c r="H41" s="2753" t="s">
        <v>694</v>
      </c>
      <c r="I41" s="2754" t="s">
        <v>827</v>
      </c>
      <c r="J41" s="2753" t="s">
        <v>828</v>
      </c>
      <c r="K41" s="2755">
        <v>12</v>
      </c>
      <c r="L41" s="2797">
        <v>4</v>
      </c>
      <c r="M41" s="2757" t="s">
        <v>842</v>
      </c>
      <c r="N41" s="2758" t="s">
        <v>840</v>
      </c>
      <c r="O41" s="2764" t="s">
        <v>1014</v>
      </c>
      <c r="P41" s="2760"/>
      <c r="Q41" s="2760" t="s">
        <v>1015</v>
      </c>
      <c r="R41" s="2779" t="s">
        <v>1013</v>
      </c>
      <c r="S41" s="2763" t="s">
        <v>1016</v>
      </c>
      <c r="T41" s="2764" t="s">
        <v>1017</v>
      </c>
      <c r="U41" s="2760"/>
      <c r="V41" s="2760" t="s">
        <v>1015</v>
      </c>
      <c r="W41" s="2760" t="s">
        <v>1013</v>
      </c>
      <c r="X41" s="2763">
        <v>6842</v>
      </c>
      <c r="Y41" s="2764" t="s">
        <v>1018</v>
      </c>
      <c r="Z41" s="2794" t="s">
        <v>1019</v>
      </c>
      <c r="AA41" s="2828" t="s">
        <v>1020</v>
      </c>
      <c r="AC41" s="2790"/>
      <c r="AD41" s="2785"/>
      <c r="AE41" s="2785" t="s">
        <v>838</v>
      </c>
      <c r="AF41" s="2785" t="s">
        <v>838</v>
      </c>
      <c r="AG41" s="2786" t="s">
        <v>837</v>
      </c>
      <c r="AH41" s="2829" t="s">
        <v>837</v>
      </c>
      <c r="AI41" s="2767" t="s">
        <v>789</v>
      </c>
      <c r="AJ41" s="2768" t="s">
        <v>790</v>
      </c>
      <c r="AK41" s="2768" t="s">
        <v>791</v>
      </c>
      <c r="AL41" s="2771" t="s">
        <v>839</v>
      </c>
      <c r="AM41" s="2769"/>
      <c r="AN41" s="2792" t="s">
        <v>1012</v>
      </c>
    </row>
    <row r="42" spans="2:40" ht="15.75" thickBot="1">
      <c r="B42" s="2830" t="s">
        <v>1021</v>
      </c>
      <c r="C42" s="2831" t="s">
        <v>1021</v>
      </c>
      <c r="D42" s="2832">
        <v>18540492861</v>
      </c>
      <c r="E42" s="2833" t="s">
        <v>1013</v>
      </c>
      <c r="F42" s="2834" t="s">
        <v>691</v>
      </c>
      <c r="G42" s="2834" t="s">
        <v>699</v>
      </c>
      <c r="H42" s="2835" t="s">
        <v>694</v>
      </c>
      <c r="I42" s="2836" t="s">
        <v>827</v>
      </c>
      <c r="J42" s="2835" t="s">
        <v>828</v>
      </c>
      <c r="K42" s="2837">
        <v>12</v>
      </c>
      <c r="L42" s="2838">
        <v>4</v>
      </c>
      <c r="M42" s="2839" t="s">
        <v>842</v>
      </c>
      <c r="N42" s="2840" t="s">
        <v>892</v>
      </c>
      <c r="O42" s="2841" t="s">
        <v>1014</v>
      </c>
      <c r="P42" s="2842"/>
      <c r="Q42" s="2842" t="s">
        <v>1015</v>
      </c>
      <c r="R42" s="2843" t="s">
        <v>1013</v>
      </c>
      <c r="S42" s="2844" t="s">
        <v>1016</v>
      </c>
      <c r="T42" s="2841" t="s">
        <v>1017</v>
      </c>
      <c r="U42" s="2842"/>
      <c r="V42" s="2842" t="s">
        <v>1015</v>
      </c>
      <c r="W42" s="2842" t="s">
        <v>1013</v>
      </c>
      <c r="X42" s="2844">
        <v>6842</v>
      </c>
      <c r="Y42" s="2841" t="s">
        <v>1018</v>
      </c>
      <c r="Z42" s="2845" t="s">
        <v>1019</v>
      </c>
      <c r="AA42" s="2846" t="s">
        <v>1020</v>
      </c>
      <c r="AC42" s="2847"/>
      <c r="AD42" s="2848"/>
      <c r="AE42" s="2848" t="s">
        <v>838</v>
      </c>
      <c r="AF42" s="2848" t="s">
        <v>838</v>
      </c>
      <c r="AG42" s="2849" t="s">
        <v>837</v>
      </c>
      <c r="AH42" s="2850"/>
      <c r="AI42" s="2851" t="s">
        <v>789</v>
      </c>
      <c r="AJ42" s="2852" t="s">
        <v>790</v>
      </c>
      <c r="AK42" s="2852" t="s">
        <v>791</v>
      </c>
      <c r="AL42" s="2853" t="s">
        <v>839</v>
      </c>
      <c r="AM42" s="2854"/>
      <c r="AN42" s="2855" t="s">
        <v>1021</v>
      </c>
    </row>
    <row r="43" spans="2:40">
      <c r="C43" s="2692"/>
    </row>
    <row r="44" spans="2:40" ht="15.75" thickBot="1">
      <c r="C44" s="2692"/>
    </row>
    <row r="45" spans="2:40" ht="15.75" thickBot="1">
      <c r="W45" s="3454" t="s">
        <v>1022</v>
      </c>
      <c r="X45" s="3455"/>
      <c r="Y45" s="3455"/>
      <c r="Z45" s="3455"/>
      <c r="AA45" s="3456"/>
    </row>
    <row r="46" spans="2:40" ht="53.25" customHeight="1" thickBot="1">
      <c r="B46" s="3457" t="s">
        <v>1023</v>
      </c>
      <c r="C46" s="3458"/>
      <c r="D46" s="3458"/>
      <c r="E46" s="3458"/>
      <c r="F46" s="3459"/>
      <c r="G46" s="2674">
        <f>IF(dms_RPT="financial",VALUE(LEFT(CRCP_y1,4)-1)&amp;"-"&amp;TEXT(VALUE(RIGHT(CRCP_y1,2)-1),"00"),VALUE(LEFT(CRCP_y1,4)-1))</f>
        <v>2012</v>
      </c>
      <c r="N46" s="2856" t="s">
        <v>1024</v>
      </c>
      <c r="O46" s="3460" t="s">
        <v>1025</v>
      </c>
      <c r="P46" s="3460"/>
      <c r="Q46" s="3460"/>
      <c r="R46" s="3460"/>
      <c r="S46" s="3460"/>
      <c r="T46" s="3460"/>
      <c r="U46" s="3460"/>
      <c r="V46" s="3460"/>
      <c r="W46" s="3461" t="s">
        <v>1026</v>
      </c>
      <c r="X46" s="3462"/>
      <c r="Y46" s="3462"/>
      <c r="Z46" s="3462"/>
      <c r="AA46" s="3463"/>
      <c r="AI46" s="2857" t="s">
        <v>1027</v>
      </c>
      <c r="AJ46" s="2858" t="s">
        <v>1028</v>
      </c>
      <c r="AK46" s="2859" t="s">
        <v>1029</v>
      </c>
      <c r="AL46" s="2676"/>
    </row>
    <row r="47" spans="2:40" s="2675" customFormat="1" ht="42" customHeight="1" thickBot="1">
      <c r="B47" s="2860" t="s">
        <v>1030</v>
      </c>
      <c r="C47" s="3464" t="s">
        <v>1031</v>
      </c>
      <c r="D47" s="3464"/>
      <c r="E47" s="2861" t="s">
        <v>1032</v>
      </c>
      <c r="F47" s="2861"/>
      <c r="G47" s="2862"/>
      <c r="H47" s="2863"/>
      <c r="I47" s="2864"/>
      <c r="J47" s="2865"/>
      <c r="K47" s="2865"/>
      <c r="L47" s="2866"/>
      <c r="N47" s="2867" t="s">
        <v>1033</v>
      </c>
      <c r="O47" s="2868" t="s">
        <v>1034</v>
      </c>
      <c r="P47" s="2869" t="s">
        <v>1035</v>
      </c>
      <c r="Q47" s="2869" t="s">
        <v>1036</v>
      </c>
      <c r="R47" s="2869" t="s">
        <v>1037</v>
      </c>
      <c r="S47" s="2869" t="s">
        <v>1038</v>
      </c>
      <c r="T47" s="2869" t="s">
        <v>1039</v>
      </c>
      <c r="U47" s="2869" t="s">
        <v>1040</v>
      </c>
      <c r="V47" s="2870" t="s">
        <v>1041</v>
      </c>
      <c r="W47" s="2871" t="s">
        <v>1042</v>
      </c>
      <c r="X47" s="2872" t="s">
        <v>1043</v>
      </c>
      <c r="Y47" s="2872" t="s">
        <v>1044</v>
      </c>
      <c r="Z47" s="2872" t="s">
        <v>1045</v>
      </c>
      <c r="AA47" s="2873" t="s">
        <v>1046</v>
      </c>
      <c r="AB47" s="2676"/>
      <c r="AC47" s="2874"/>
      <c r="AI47" s="3465" t="s">
        <v>1047</v>
      </c>
      <c r="AJ47" s="2875" t="s">
        <v>1048</v>
      </c>
      <c r="AK47" s="2876" t="s">
        <v>1047</v>
      </c>
      <c r="AL47" s="2676"/>
    </row>
    <row r="48" spans="2:40" ht="30">
      <c r="B48" s="2877" t="s">
        <v>1049</v>
      </c>
      <c r="C48" s="2878" t="s">
        <v>1050</v>
      </c>
      <c r="D48" s="2879"/>
      <c r="E48" s="2880" t="e">
        <f ca="1">LEFT(dms_SingleYear_FinalYear_Result,2)&amp;RIGHT(dms_SingleYear_FinalYear_Result,2)</f>
        <v>#REF!</v>
      </c>
      <c r="F48" s="2881" t="s">
        <v>1051</v>
      </c>
      <c r="G48" s="2882"/>
      <c r="H48" s="2883" t="s">
        <v>1052</v>
      </c>
      <c r="I48" s="2884"/>
      <c r="N48" s="2885" t="s">
        <v>1053</v>
      </c>
      <c r="O48" s="2886" t="s">
        <v>1054</v>
      </c>
      <c r="P48" s="2887" t="s">
        <v>366</v>
      </c>
      <c r="Q48" s="2887" t="s">
        <v>366</v>
      </c>
      <c r="R48" s="2887" t="s">
        <v>366</v>
      </c>
      <c r="S48" s="2887" t="s">
        <v>366</v>
      </c>
      <c r="T48" s="2888" t="s">
        <v>366</v>
      </c>
      <c r="U48" s="2889" t="s">
        <v>366</v>
      </c>
      <c r="V48" s="2890" t="s">
        <v>1055</v>
      </c>
      <c r="W48" s="2891" t="s">
        <v>1056</v>
      </c>
      <c r="X48" s="2892" t="s">
        <v>1056</v>
      </c>
      <c r="Y48" s="2893" t="s">
        <v>1057</v>
      </c>
      <c r="Z48" s="2893" t="s">
        <v>116</v>
      </c>
      <c r="AA48" s="2894" t="s">
        <v>1058</v>
      </c>
      <c r="AI48" s="3466"/>
      <c r="AJ48" s="2895" t="s">
        <v>1059</v>
      </c>
      <c r="AK48" s="2896" t="s">
        <v>1060</v>
      </c>
      <c r="AL48" s="2676"/>
    </row>
    <row r="49" spans="2:38" ht="30.75" thickBot="1">
      <c r="B49" s="2897" t="s">
        <v>301</v>
      </c>
      <c r="C49" s="2898" t="s">
        <v>302</v>
      </c>
      <c r="D49" s="2899"/>
      <c r="E49" s="2900" t="e">
        <f ca="1">LEFT(dms_SingleYear_FinalYear_Result,2)&amp;RIGHT(dms_SingleYear_FinalYear_Result,2)</f>
        <v>#REF!</v>
      </c>
      <c r="F49" s="2901" t="s">
        <v>1051</v>
      </c>
      <c r="G49" s="2882"/>
      <c r="H49" s="2883" t="s">
        <v>1052</v>
      </c>
      <c r="I49" s="2884"/>
      <c r="N49" s="2902" t="s">
        <v>1061</v>
      </c>
      <c r="O49" s="2903" t="s">
        <v>1054</v>
      </c>
      <c r="P49" s="2904" t="s">
        <v>366</v>
      </c>
      <c r="Q49" s="2904" t="s">
        <v>366</v>
      </c>
      <c r="R49" s="2904" t="s">
        <v>366</v>
      </c>
      <c r="S49" s="2904" t="s">
        <v>366</v>
      </c>
      <c r="T49" s="2905" t="s">
        <v>366</v>
      </c>
      <c r="U49" s="2906" t="s">
        <v>366</v>
      </c>
      <c r="V49" s="2907" t="s">
        <v>366</v>
      </c>
      <c r="W49" s="2891" t="s">
        <v>1056</v>
      </c>
      <c r="X49" s="2892" t="s">
        <v>1056</v>
      </c>
      <c r="Y49" s="2908" t="s">
        <v>1062</v>
      </c>
      <c r="Z49" s="2908" t="s">
        <v>1063</v>
      </c>
      <c r="AA49" s="2909"/>
      <c r="AI49" s="3467"/>
      <c r="AJ49" s="2910" t="s">
        <v>62</v>
      </c>
      <c r="AK49" s="2896" t="s">
        <v>62</v>
      </c>
      <c r="AL49" s="2676"/>
    </row>
    <row r="50" spans="2:38" ht="30">
      <c r="B50" s="2897" t="s">
        <v>304</v>
      </c>
      <c r="C50" s="2898" t="s">
        <v>304</v>
      </c>
      <c r="D50" s="2899"/>
      <c r="E50" s="2911"/>
      <c r="F50" s="2912"/>
      <c r="G50" s="2882"/>
      <c r="H50" s="2882"/>
      <c r="I50" s="2884"/>
      <c r="J50" s="2674"/>
      <c r="N50" s="2902" t="s">
        <v>1064</v>
      </c>
      <c r="O50" s="2903" t="s">
        <v>1054</v>
      </c>
      <c r="P50" s="2904" t="s">
        <v>1065</v>
      </c>
      <c r="Q50" s="2904" t="s">
        <v>1065</v>
      </c>
      <c r="R50" s="2904" t="s">
        <v>1065</v>
      </c>
      <c r="S50" s="2904" t="s">
        <v>1065</v>
      </c>
      <c r="T50" s="2905" t="s">
        <v>366</v>
      </c>
      <c r="U50" s="2906" t="s">
        <v>366</v>
      </c>
      <c r="V50" s="2907" t="s">
        <v>1066</v>
      </c>
      <c r="W50" s="2891" t="s">
        <v>1067</v>
      </c>
      <c r="X50" s="2892" t="s">
        <v>1067</v>
      </c>
      <c r="Y50" s="2908" t="s">
        <v>1068</v>
      </c>
      <c r="Z50" s="2908" t="s">
        <v>1063</v>
      </c>
      <c r="AA50" s="2909"/>
      <c r="AI50" s="3465" t="s">
        <v>1060</v>
      </c>
      <c r="AJ50" s="2913" t="s">
        <v>1069</v>
      </c>
      <c r="AK50" s="2896" t="s">
        <v>1070</v>
      </c>
      <c r="AL50" s="2335"/>
    </row>
    <row r="51" spans="2:38" ht="30.75" thickBot="1">
      <c r="B51" s="2897" t="s">
        <v>306</v>
      </c>
      <c r="C51" s="2898" t="s">
        <v>307</v>
      </c>
      <c r="D51" s="2899"/>
      <c r="E51" s="2900" t="e">
        <f ca="1">LEFT(dms_SingleYear_FinalYear_Result,2)&amp;RIGHT(dms_SingleYear_FinalYear_Result,2)</f>
        <v>#REF!</v>
      </c>
      <c r="F51" s="2901" t="s">
        <v>1051</v>
      </c>
      <c r="G51" s="2882"/>
      <c r="H51" s="2883" t="s">
        <v>1052</v>
      </c>
      <c r="I51" s="2884"/>
      <c r="J51" s="2674"/>
      <c r="N51" s="2902" t="s">
        <v>1071</v>
      </c>
      <c r="O51" s="2903" t="s">
        <v>1054</v>
      </c>
      <c r="P51" s="2904" t="s">
        <v>366</v>
      </c>
      <c r="Q51" s="2904" t="s">
        <v>366</v>
      </c>
      <c r="R51" s="2904" t="s">
        <v>366</v>
      </c>
      <c r="S51" s="2904" t="s">
        <v>366</v>
      </c>
      <c r="T51" s="2905" t="s">
        <v>366</v>
      </c>
      <c r="U51" s="2906" t="s">
        <v>1066</v>
      </c>
      <c r="V51" s="2907" t="s">
        <v>366</v>
      </c>
      <c r="W51" s="2891" t="s">
        <v>1067</v>
      </c>
      <c r="X51" s="2914" t="s">
        <v>1067</v>
      </c>
      <c r="Y51" s="2794"/>
      <c r="Z51" s="2908" t="s">
        <v>1063</v>
      </c>
      <c r="AA51" s="2909"/>
      <c r="AI51" s="3466"/>
      <c r="AJ51" s="2895" t="s">
        <v>1072</v>
      </c>
      <c r="AK51" s="2896" t="s">
        <v>1073</v>
      </c>
      <c r="AL51" s="2335"/>
    </row>
    <row r="52" spans="2:38">
      <c r="B52" s="2897" t="s">
        <v>309</v>
      </c>
      <c r="C52" s="2915" t="s">
        <v>310</v>
      </c>
      <c r="D52" s="2899"/>
      <c r="E52" s="2900" t="str">
        <f ca="1">LEFT(dms_MultiYear_FinalYear_Result,2)&amp;RIGHT(dms_MultiYear_FinalYear_Result,2)</f>
        <v>2022</v>
      </c>
      <c r="F52" s="2901" t="s">
        <v>1074</v>
      </c>
      <c r="G52" s="2882"/>
      <c r="H52" s="2882"/>
      <c r="I52" s="2884"/>
      <c r="J52" s="2674"/>
      <c r="N52" s="2902" t="s">
        <v>1075</v>
      </c>
      <c r="O52" s="2916" t="s">
        <v>1076</v>
      </c>
      <c r="P52" s="2904" t="s">
        <v>1077</v>
      </c>
      <c r="Q52" s="2904" t="s">
        <v>1077</v>
      </c>
      <c r="R52" s="2904" t="s">
        <v>1077</v>
      </c>
      <c r="S52" s="2904" t="s">
        <v>1077</v>
      </c>
      <c r="T52" s="2905" t="s">
        <v>1078</v>
      </c>
      <c r="U52" s="2917"/>
      <c r="V52" s="2918"/>
      <c r="W52" s="2919"/>
      <c r="X52" s="2794"/>
      <c r="Y52" s="2794"/>
      <c r="Z52" s="2908" t="s">
        <v>1063</v>
      </c>
      <c r="AA52" s="2909"/>
      <c r="AI52" s="3466"/>
      <c r="AJ52" s="2895" t="s">
        <v>1079</v>
      </c>
      <c r="AK52" s="2896" t="s">
        <v>1080</v>
      </c>
      <c r="AL52" s="2335"/>
    </row>
    <row r="53" spans="2:38">
      <c r="B53" s="2897" t="s">
        <v>311</v>
      </c>
      <c r="C53" s="2898" t="s">
        <v>303</v>
      </c>
      <c r="D53" s="2899"/>
      <c r="E53" s="2900" t="str">
        <f ca="1">LEFT(dms_MultiYear_FinalYear_Result,2)&amp;RIGHT(dms_MultiYear_FinalYear_Result,2)</f>
        <v>2022</v>
      </c>
      <c r="F53" s="2901" t="s">
        <v>1074</v>
      </c>
      <c r="G53" s="2882"/>
      <c r="H53" s="2883" t="s">
        <v>1052</v>
      </c>
      <c r="I53" s="2884"/>
      <c r="J53" s="2674"/>
      <c r="N53" s="2902" t="s">
        <v>1081</v>
      </c>
      <c r="O53" s="2916" t="s">
        <v>1076</v>
      </c>
      <c r="P53" s="2904" t="s">
        <v>1082</v>
      </c>
      <c r="Q53" s="2904" t="s">
        <v>1082</v>
      </c>
      <c r="R53" s="2904" t="s">
        <v>1082</v>
      </c>
      <c r="S53" s="2904" t="s">
        <v>1082</v>
      </c>
      <c r="T53" s="2920"/>
      <c r="U53" s="2917"/>
      <c r="V53" s="2918"/>
      <c r="W53" s="2919"/>
      <c r="X53" s="2794"/>
      <c r="Y53" s="2794"/>
      <c r="Z53" s="2908" t="s">
        <v>1083</v>
      </c>
      <c r="AA53" s="2909"/>
      <c r="AI53" s="3466"/>
      <c r="AJ53" s="2895" t="s">
        <v>1084</v>
      </c>
      <c r="AK53" s="2896" t="s">
        <v>1085</v>
      </c>
      <c r="AL53" s="2335"/>
    </row>
    <row r="54" spans="2:38" ht="15.75" thickBot="1">
      <c r="B54" s="2897" t="s">
        <v>312</v>
      </c>
      <c r="C54" s="2898" t="s">
        <v>313</v>
      </c>
      <c r="D54" s="2899"/>
      <c r="E54" s="2900" t="str">
        <f>LEFT(dms_CRCP_FinalYear_Result,2)&amp;RIGHT(dms_CRCP_FinalYear_Result,2)</f>
        <v>2017</v>
      </c>
      <c r="F54" s="2901" t="s">
        <v>1086</v>
      </c>
      <c r="G54" s="2882"/>
      <c r="H54" s="2882"/>
      <c r="I54" s="2884"/>
      <c r="J54" s="2674"/>
      <c r="N54" s="2902" t="s">
        <v>1087</v>
      </c>
      <c r="O54" s="2916" t="s">
        <v>1076</v>
      </c>
      <c r="P54" s="2904" t="s">
        <v>1077</v>
      </c>
      <c r="Q54" s="2904" t="s">
        <v>1077</v>
      </c>
      <c r="R54" s="2904" t="s">
        <v>1077</v>
      </c>
      <c r="S54" s="2904" t="s">
        <v>1077</v>
      </c>
      <c r="T54" s="2920"/>
      <c r="U54" s="2917"/>
      <c r="V54" s="2918"/>
      <c r="W54" s="2919"/>
      <c r="X54" s="2794"/>
      <c r="Y54" s="2794"/>
      <c r="Z54" s="2908" t="s">
        <v>1083</v>
      </c>
      <c r="AA54" s="2909"/>
      <c r="AI54" s="3467"/>
      <c r="AJ54" s="2921" t="s">
        <v>1088</v>
      </c>
      <c r="AK54" s="2896" t="s">
        <v>1089</v>
      </c>
      <c r="AL54" s="2335"/>
    </row>
    <row r="55" spans="2:38" ht="15.75" thickBot="1">
      <c r="B55" s="2922" t="s">
        <v>314</v>
      </c>
      <c r="C55" s="2923" t="s">
        <v>315</v>
      </c>
      <c r="D55" s="2924"/>
      <c r="E55" s="2925" t="str">
        <f ca="1">LEFT(dms_MultiYear_FinalYear_Result,2)&amp;RIGHT(dms_MultiYear_FinalYear_Result,2)</f>
        <v>2022</v>
      </c>
      <c r="F55" s="2926" t="s">
        <v>1074</v>
      </c>
      <c r="G55" s="2882"/>
      <c r="H55" s="2882"/>
      <c r="I55" s="2884"/>
      <c r="J55" s="2674"/>
      <c r="N55" s="2927" t="s">
        <v>62</v>
      </c>
      <c r="O55" s="2928"/>
      <c r="P55" s="2904" t="s">
        <v>1082</v>
      </c>
      <c r="Q55" s="2904" t="s">
        <v>1082</v>
      </c>
      <c r="R55" s="2904" t="s">
        <v>1082</v>
      </c>
      <c r="S55" s="2904" t="s">
        <v>1082</v>
      </c>
      <c r="T55" s="2920"/>
      <c r="U55" s="2917"/>
      <c r="V55" s="2918"/>
      <c r="W55" s="2929"/>
      <c r="X55" s="2794"/>
      <c r="Y55" s="2794"/>
      <c r="Z55" s="2908" t="s">
        <v>1090</v>
      </c>
      <c r="AA55" s="2909"/>
      <c r="AI55" s="2930" t="s">
        <v>62</v>
      </c>
      <c r="AJ55" s="2931" t="s">
        <v>1091</v>
      </c>
      <c r="AK55" s="2896" t="s">
        <v>1092</v>
      </c>
      <c r="AL55" s="2335"/>
    </row>
    <row r="56" spans="2:38">
      <c r="C56" s="2692"/>
      <c r="H56" s="2674"/>
      <c r="I56" s="2884"/>
      <c r="J56" s="2674"/>
      <c r="O56" s="2928"/>
      <c r="P56" s="2904" t="s">
        <v>1077</v>
      </c>
      <c r="Q56" s="2904" t="s">
        <v>1077</v>
      </c>
      <c r="R56" s="2904" t="s">
        <v>1077</v>
      </c>
      <c r="S56" s="2904" t="s">
        <v>1077</v>
      </c>
      <c r="T56" s="2920"/>
      <c r="U56" s="2917"/>
      <c r="V56" s="2918"/>
      <c r="W56" s="2929"/>
      <c r="X56" s="2794"/>
      <c r="Y56" s="2794"/>
      <c r="Z56" s="2908" t="s">
        <v>1090</v>
      </c>
      <c r="AA56" s="2909"/>
      <c r="AI56" s="2930" t="s">
        <v>1070</v>
      </c>
      <c r="AJ56" s="2932" t="s">
        <v>897</v>
      </c>
      <c r="AK56" s="2896" t="s">
        <v>1093</v>
      </c>
      <c r="AL56" s="2335"/>
    </row>
    <row r="57" spans="2:38" ht="15.75" thickBot="1">
      <c r="C57" s="2692"/>
      <c r="O57" s="2928"/>
      <c r="P57" s="2904" t="s">
        <v>366</v>
      </c>
      <c r="Q57" s="2920"/>
      <c r="R57" s="2904" t="s">
        <v>1066</v>
      </c>
      <c r="S57" s="2920"/>
      <c r="T57" s="2920"/>
      <c r="U57" s="2917"/>
      <c r="V57" s="2918"/>
      <c r="W57" s="2929"/>
      <c r="X57" s="2794"/>
      <c r="Y57" s="2794"/>
      <c r="Z57" s="2908" t="s">
        <v>1094</v>
      </c>
      <c r="AA57" s="2909"/>
      <c r="AI57" s="2930" t="s">
        <v>1073</v>
      </c>
      <c r="AJ57" s="2933" t="s">
        <v>897</v>
      </c>
      <c r="AK57" s="2896" t="s">
        <v>1095</v>
      </c>
      <c r="AL57" s="2335"/>
    </row>
    <row r="58" spans="2:38">
      <c r="C58" s="2692"/>
      <c r="O58" s="2928"/>
      <c r="P58" s="2904" t="s">
        <v>366</v>
      </c>
      <c r="Q58" s="2920"/>
      <c r="R58" s="2920"/>
      <c r="S58" s="2920"/>
      <c r="T58" s="2920"/>
      <c r="U58" s="2917"/>
      <c r="V58" s="2918"/>
      <c r="W58" s="2929"/>
      <c r="X58" s="2794"/>
      <c r="Y58" s="2794"/>
      <c r="Z58" s="2908" t="s">
        <v>1094</v>
      </c>
      <c r="AA58" s="2909"/>
      <c r="AI58" s="3465" t="s">
        <v>1080</v>
      </c>
      <c r="AJ58" s="2934" t="s">
        <v>1096</v>
      </c>
      <c r="AK58" s="2896" t="s">
        <v>1097</v>
      </c>
      <c r="AL58" s="2335"/>
    </row>
    <row r="59" spans="2:38" ht="15.75" thickBot="1">
      <c r="C59" s="2692"/>
      <c r="O59" s="2928"/>
      <c r="P59" s="2904" t="s">
        <v>366</v>
      </c>
      <c r="Q59" s="2920"/>
      <c r="R59" s="2920"/>
      <c r="S59" s="2920"/>
      <c r="T59" s="2920"/>
      <c r="U59" s="2917"/>
      <c r="V59" s="2918"/>
      <c r="W59" s="2929"/>
      <c r="X59" s="2794"/>
      <c r="Y59" s="2794"/>
      <c r="Z59" s="2908" t="s">
        <v>1098</v>
      </c>
      <c r="AA59" s="2909"/>
      <c r="AI59" s="3466"/>
      <c r="AJ59" s="2935" t="s">
        <v>1099</v>
      </c>
      <c r="AK59" s="2896" t="s">
        <v>1100</v>
      </c>
      <c r="AL59" s="2335"/>
    </row>
    <row r="60" spans="2:38" ht="15.75" thickBot="1">
      <c r="C60" s="2692"/>
      <c r="O60" s="2936"/>
      <c r="P60" s="2937" t="s">
        <v>1066</v>
      </c>
      <c r="Q60" s="2938"/>
      <c r="R60" s="2938"/>
      <c r="S60" s="2938"/>
      <c r="T60" s="2938"/>
      <c r="U60" s="2939"/>
      <c r="V60" s="2940"/>
      <c r="W60" s="2929"/>
      <c r="X60" s="2794"/>
      <c r="Y60" s="2794"/>
      <c r="Z60" s="2908" t="s">
        <v>1058</v>
      </c>
      <c r="AA60" s="2909"/>
      <c r="AI60" s="2941" t="s">
        <v>1085</v>
      </c>
      <c r="AJ60" s="2913" t="s">
        <v>1101</v>
      </c>
      <c r="AK60" s="2896" t="s">
        <v>1102</v>
      </c>
      <c r="AL60" s="2335"/>
    </row>
    <row r="61" spans="2:38" ht="15.75" thickBot="1">
      <c r="C61" s="2692"/>
      <c r="T61" s="2942"/>
      <c r="W61" s="2943"/>
      <c r="X61" s="2944"/>
      <c r="Y61" s="2944"/>
      <c r="Z61" s="2945" t="s">
        <v>1098</v>
      </c>
      <c r="AA61" s="2946"/>
      <c r="AD61" s="2674" t="s">
        <v>1103</v>
      </c>
      <c r="AI61" s="2947"/>
      <c r="AJ61" s="2948" t="s">
        <v>62</v>
      </c>
      <c r="AK61" s="2896" t="s">
        <v>1104</v>
      </c>
      <c r="AL61" s="2335"/>
    </row>
    <row r="62" spans="2:38" ht="15.75" thickBot="1">
      <c r="C62" s="2692"/>
      <c r="T62" s="2949"/>
      <c r="W62" s="2950"/>
      <c r="X62" s="2951"/>
      <c r="Y62" s="2951"/>
      <c r="Z62" s="2951"/>
      <c r="AA62" s="2952"/>
      <c r="AI62" s="2947"/>
      <c r="AJ62" s="2948" t="s">
        <v>1105</v>
      </c>
      <c r="AK62" s="2953" t="s">
        <v>1106</v>
      </c>
      <c r="AL62" s="2335"/>
    </row>
    <row r="63" spans="2:38" ht="15.75" thickBot="1">
      <c r="C63" s="2692"/>
      <c r="T63" s="2954"/>
      <c r="W63" s="2950"/>
      <c r="X63" s="2951"/>
      <c r="Y63" s="2951"/>
      <c r="Z63" s="2951"/>
      <c r="AA63" s="2952"/>
      <c r="AI63" s="2947"/>
      <c r="AJ63" s="2948" t="s">
        <v>1107</v>
      </c>
      <c r="AK63" s="2955"/>
      <c r="AL63" s="2335"/>
    </row>
    <row r="64" spans="2:38" ht="58.5" customHeight="1" thickBot="1">
      <c r="B64" s="2956" t="s">
        <v>1108</v>
      </c>
      <c r="C64" s="2956" t="s">
        <v>1109</v>
      </c>
      <c r="E64" s="2335" t="s">
        <v>1110</v>
      </c>
      <c r="T64" s="2957"/>
      <c r="W64" s="3468" t="s">
        <v>1111</v>
      </c>
      <c r="X64" s="3469"/>
      <c r="Y64" s="3469"/>
      <c r="Z64" s="3470"/>
      <c r="AA64" s="2952"/>
      <c r="AI64" s="2958"/>
      <c r="AJ64" s="2959" t="s">
        <v>1112</v>
      </c>
      <c r="AK64" s="2955"/>
      <c r="AL64" s="2335"/>
    </row>
    <row r="65" spans="2:38" ht="30.75" thickBot="1">
      <c r="B65" s="2960" t="s">
        <v>1113</v>
      </c>
      <c r="C65" s="2960" t="s">
        <v>1114</v>
      </c>
      <c r="E65" s="2961" t="s">
        <v>1115</v>
      </c>
      <c r="F65" s="2962" t="s">
        <v>1116</v>
      </c>
      <c r="G65" s="2961" t="s">
        <v>1117</v>
      </c>
      <c r="H65" s="2962" t="s">
        <v>1118</v>
      </c>
      <c r="I65" s="2963" t="s">
        <v>1119</v>
      </c>
      <c r="J65" s="2964"/>
      <c r="K65" s="2965" t="s">
        <v>1120</v>
      </c>
      <c r="L65" s="2965"/>
      <c r="M65" s="2966" t="s">
        <v>1121</v>
      </c>
      <c r="T65" s="2967"/>
      <c r="W65" s="2968" t="s">
        <v>1042</v>
      </c>
      <c r="X65" s="2969"/>
      <c r="Y65" s="2970" t="s">
        <v>1044</v>
      </c>
      <c r="Z65" s="2971" t="s">
        <v>1045</v>
      </c>
      <c r="AA65" s="2952"/>
      <c r="AI65" s="2930" t="s">
        <v>1089</v>
      </c>
      <c r="AJ65" s="2972" t="s">
        <v>1089</v>
      </c>
      <c r="AK65" s="2955"/>
      <c r="AL65" s="2335"/>
    </row>
    <row r="66" spans="2:38">
      <c r="B66" s="2973" t="s">
        <v>712</v>
      </c>
      <c r="C66" s="2974" t="s">
        <v>694</v>
      </c>
      <c r="E66" s="2975">
        <v>1</v>
      </c>
      <c r="F66" s="2976" t="s">
        <v>1122</v>
      </c>
      <c r="G66" s="2975">
        <v>1</v>
      </c>
      <c r="H66" s="2976" t="s">
        <v>1123</v>
      </c>
      <c r="I66" s="2977" t="str">
        <f>FRCP_y1</f>
        <v>2018</v>
      </c>
      <c r="J66" s="2978" t="s">
        <v>1122</v>
      </c>
      <c r="K66" s="2979">
        <f>IF(dms_RPT="financial",VALUE(LEFT(dms_FRCP_y1,4)-1)&amp;"-"&amp;TEXT(VALUE(MID(dms_FRCP_y1,3,2)),"00"),VALUE(LEFT(dms_FRCP_y1,4)-1))</f>
        <v>2017</v>
      </c>
      <c r="L66" s="2980" t="s">
        <v>1124</v>
      </c>
      <c r="M66" s="2981">
        <v>1</v>
      </c>
      <c r="W66" s="2982" t="s">
        <v>116</v>
      </c>
      <c r="X66" s="2983"/>
      <c r="Y66" s="2984" t="s">
        <v>1063</v>
      </c>
      <c r="Z66" s="2985" t="s">
        <v>1058</v>
      </c>
      <c r="AA66" s="2952"/>
      <c r="AI66" s="2986" t="s">
        <v>1092</v>
      </c>
      <c r="AJ66" s="2934" t="s">
        <v>1125</v>
      </c>
      <c r="AK66" s="2955"/>
      <c r="AL66" s="2335"/>
    </row>
    <row r="67" spans="2:38">
      <c r="B67" s="2987" t="s">
        <v>710</v>
      </c>
      <c r="C67" s="2988" t="s">
        <v>692</v>
      </c>
      <c r="E67" s="2989">
        <v>2</v>
      </c>
      <c r="F67" s="2990" t="s">
        <v>1126</v>
      </c>
      <c r="G67" s="2989">
        <v>2</v>
      </c>
      <c r="H67" s="2990" t="s">
        <v>1127</v>
      </c>
      <c r="I67" s="2991">
        <f>IF(dms_RPT="financial",VALUE(LEFT(dms_FRCP_y1,4)+1)&amp;"-"&amp;TEXT(VALUE(RIGHT(dms_FRCP_y1,2)+1),"00"),VALUE(LEFT(dms_FRCP_y1,4)+1))</f>
        <v>2019</v>
      </c>
      <c r="J67" s="2992" t="s">
        <v>1126</v>
      </c>
      <c r="K67" s="2993">
        <f>IF(dms_RPT="financial",VALUE(LEFT(dms_CRCP_yZ,4)-1)&amp;"-"&amp;TEXT(VALUE(MID(dms_CRCP_yZ,3,2)),"00"),VALUE(LEFT(dms_CRCP_yZ,4)-1))</f>
        <v>2016</v>
      </c>
      <c r="L67" s="2994" t="s">
        <v>1128</v>
      </c>
      <c r="M67" s="2995">
        <v>2</v>
      </c>
      <c r="W67" s="2996" t="s">
        <v>1129</v>
      </c>
      <c r="X67" s="2794"/>
      <c r="Y67" s="2908" t="s">
        <v>1083</v>
      </c>
      <c r="Z67" s="2997" t="s">
        <v>116</v>
      </c>
      <c r="AA67" s="2952"/>
      <c r="AI67" s="2998"/>
      <c r="AJ67" s="2948" t="s">
        <v>1130</v>
      </c>
      <c r="AK67" s="2955"/>
      <c r="AL67" s="2335"/>
    </row>
    <row r="68" spans="2:38" ht="15.75" thickBot="1">
      <c r="B68" s="2987" t="s">
        <v>711</v>
      </c>
      <c r="C68" s="2999" t="s">
        <v>703</v>
      </c>
      <c r="E68" s="2989">
        <v>3</v>
      </c>
      <c r="F68" s="2990" t="s">
        <v>1131</v>
      </c>
      <c r="G68" s="2989">
        <v>3</v>
      </c>
      <c r="H68" s="2990" t="s">
        <v>1132</v>
      </c>
      <c r="I68" s="2991">
        <f>IF(dms_RPT="financial",VALUE(LEFT(dms_FRCP_y2,4)+1)&amp;"-"&amp;TEXT(VALUE(RIGHT(dms_FRCP_y2,2)+1),"00"),VALUE(LEFT(dms_FRCP_y2,4)+1))</f>
        <v>2020</v>
      </c>
      <c r="J68" s="2992" t="s">
        <v>1131</v>
      </c>
      <c r="K68" s="2993">
        <f>IF(dms_RPT="financial",VALUE(LEFT(dms_CRCP_yY,4)-1)&amp;"-"&amp;TEXT(VALUE(MID(dms_CRCP_yY,3,2)),"00"),VALUE(LEFT(dms_CRCP_yY,4)-1))</f>
        <v>2015</v>
      </c>
      <c r="L68" s="2994" t="s">
        <v>1133</v>
      </c>
      <c r="M68" s="2995">
        <v>3</v>
      </c>
      <c r="W68" s="2996" t="s">
        <v>1129</v>
      </c>
      <c r="X68" s="2794"/>
      <c r="Y68" s="2908" t="s">
        <v>1090</v>
      </c>
      <c r="Z68" s="2997" t="s">
        <v>1058</v>
      </c>
      <c r="AA68" s="2952"/>
      <c r="AI68" s="2998"/>
      <c r="AJ68" s="2948" t="s">
        <v>1134</v>
      </c>
      <c r="AK68" s="2955"/>
      <c r="AL68" s="2335"/>
    </row>
    <row r="69" spans="2:38" ht="15.75" thickBot="1">
      <c r="B69" s="2987" t="s">
        <v>1135</v>
      </c>
      <c r="C69" s="2674"/>
      <c r="E69" s="2989">
        <v>4</v>
      </c>
      <c r="F69" s="2990" t="s">
        <v>1136</v>
      </c>
      <c r="G69" s="2989">
        <v>4</v>
      </c>
      <c r="H69" s="2990" t="s">
        <v>1137</v>
      </c>
      <c r="I69" s="2991">
        <f>IF(dms_RPT="financial",VALUE(LEFT(dms_FRCP_y3,4)+1)&amp;"-"&amp;TEXT(VALUE(RIGHT(dms_FRCP_y3,2)+1),"00"),VALUE(LEFT(dms_FRCP_y3,4)+1))</f>
        <v>2021</v>
      </c>
      <c r="J69" s="2992" t="s">
        <v>1136</v>
      </c>
      <c r="K69" s="2993">
        <f>IF(dms_RPT="financial",VALUE(LEFT(dms_CRCP_yX,4)-1)&amp;"-"&amp;TEXT(VALUE(MID(dms_CRCP_yX,3,2)),"00"),VALUE(LEFT(dms_CRCP_yX,4)-1))</f>
        <v>2014</v>
      </c>
      <c r="L69" s="2994" t="s">
        <v>1138</v>
      </c>
      <c r="M69" s="2995">
        <v>4</v>
      </c>
      <c r="W69" s="2996" t="s">
        <v>116</v>
      </c>
      <c r="X69" s="2794"/>
      <c r="Y69" s="2908" t="s">
        <v>1094</v>
      </c>
      <c r="Z69" s="2997" t="s">
        <v>1129</v>
      </c>
      <c r="AA69" s="2952"/>
      <c r="AI69" s="2998"/>
      <c r="AJ69" s="2959" t="s">
        <v>1139</v>
      </c>
      <c r="AK69" s="2955"/>
      <c r="AL69" s="2335"/>
    </row>
    <row r="70" spans="2:38">
      <c r="B70" s="2987" t="s">
        <v>1140</v>
      </c>
      <c r="E70" s="2989">
        <v>5</v>
      </c>
      <c r="F70" s="2990" t="s">
        <v>1141</v>
      </c>
      <c r="G70" s="2989">
        <v>5</v>
      </c>
      <c r="H70" s="2990" t="s">
        <v>1142</v>
      </c>
      <c r="I70" s="2991">
        <f>IF(dms_RPT="financial",VALUE(LEFT(dms_FRCP_y4,4)+1)&amp;"-"&amp;TEXT(VALUE(RIGHT(dms_FRCP_y4,2)+1),"00"),VALUE(LEFT(dms_FRCP_y4,4)+1))</f>
        <v>2022</v>
      </c>
      <c r="J70" s="2992" t="s">
        <v>1141</v>
      </c>
      <c r="K70" s="2993">
        <f>IF(dms_RPT="financial",VALUE(LEFT(dms_CRCP_yW,4)-1)&amp;"-"&amp;TEXT(VALUE(MID(dms_CRCP_yW,3,2)),"00"),VALUE(LEFT(dms_CRCP_yW,4)-1))</f>
        <v>2013</v>
      </c>
      <c r="L70" s="2994" t="s">
        <v>1143</v>
      </c>
      <c r="M70" s="2995">
        <v>5</v>
      </c>
      <c r="W70" s="2996" t="s">
        <v>1129</v>
      </c>
      <c r="X70" s="2794"/>
      <c r="Y70" s="2908" t="s">
        <v>1063</v>
      </c>
      <c r="Z70" s="2795"/>
      <c r="AA70" s="2952"/>
      <c r="AI70" s="3000" t="s">
        <v>1093</v>
      </c>
      <c r="AJ70" s="2676"/>
      <c r="AK70" s="2955"/>
      <c r="AL70" s="2335"/>
    </row>
    <row r="71" spans="2:38">
      <c r="B71" s="2987" t="s">
        <v>1144</v>
      </c>
      <c r="E71" s="2989">
        <v>6</v>
      </c>
      <c r="F71" s="2990" t="s">
        <v>1145</v>
      </c>
      <c r="G71" s="2989">
        <v>6</v>
      </c>
      <c r="H71" s="2990" t="s">
        <v>1146</v>
      </c>
      <c r="I71" s="2991">
        <f>IF(dms_RPT="financial",VALUE(LEFT(dms_FRCP_y5,4)+1)&amp;"-"&amp;TEXT(VALUE(RIGHT(dms_FRCP_y5,2)+1),"00"),VALUE(LEFT(dms_FRCP_y5,4)+1))</f>
        <v>2023</v>
      </c>
      <c r="J71" s="2992" t="s">
        <v>1145</v>
      </c>
      <c r="K71" s="2993">
        <f>IF(dms_RPT="financial",VALUE(LEFT(dms_CRCP_yV,4)-1)&amp;"-"&amp;TEXT(VALUE(MID(dms_CRCP_yV,3,2)),"00"),VALUE(LEFT(dms_CRCP_yV,4)-1))</f>
        <v>2012</v>
      </c>
      <c r="L71" s="2994" t="s">
        <v>1147</v>
      </c>
      <c r="M71" s="2995">
        <v>6</v>
      </c>
      <c r="W71" s="2996" t="s">
        <v>1129</v>
      </c>
      <c r="X71" s="2794"/>
      <c r="Y71" s="2908" t="s">
        <v>1058</v>
      </c>
      <c r="Z71" s="2795"/>
      <c r="AA71" s="2952"/>
      <c r="AI71" s="3001" t="s">
        <v>1095</v>
      </c>
      <c r="AJ71" s="2676"/>
      <c r="AK71" s="2955"/>
      <c r="AL71" s="2335"/>
    </row>
    <row r="72" spans="2:38">
      <c r="B72" s="2987" t="s">
        <v>1148</v>
      </c>
      <c r="E72" s="2989">
        <v>7</v>
      </c>
      <c r="F72" s="2990" t="s">
        <v>1149</v>
      </c>
      <c r="G72" s="2989">
        <v>7</v>
      </c>
      <c r="H72" s="2990" t="s">
        <v>1150</v>
      </c>
      <c r="I72" s="2991">
        <f>IF(dms_RPT="financial",VALUE(LEFT(dms_FRCP_y6,4)+1)&amp;"-"&amp;TEXT(VALUE(RIGHT(dms_FRCP_y6,2)+1),"00"),VALUE(LEFT(dms_FRCP_y6,4)+1))</f>
        <v>2024</v>
      </c>
      <c r="J72" s="2992" t="s">
        <v>1149</v>
      </c>
      <c r="K72" s="2993">
        <f>IF(dms_RPT="financial",VALUE(LEFT(dms_CRCP_yU,4)-1)&amp;"-"&amp;TEXT(VALUE(MID(dms_CRCP_yU,3,2)),"00"),VALUE(LEFT(dms_CRCP_yU,4)-1))</f>
        <v>2011</v>
      </c>
      <c r="L72" s="2994" t="s">
        <v>1151</v>
      </c>
      <c r="M72" s="2995">
        <v>7</v>
      </c>
      <c r="W72" s="2996" t="s">
        <v>116</v>
      </c>
      <c r="X72" s="2794"/>
      <c r="Y72" s="2908" t="s">
        <v>1058</v>
      </c>
      <c r="Z72" s="2795"/>
      <c r="AA72" s="2952"/>
      <c r="AI72" s="3002" t="s">
        <v>1097</v>
      </c>
      <c r="AJ72" s="2676"/>
      <c r="AK72" s="2676"/>
      <c r="AL72" s="2335"/>
    </row>
    <row r="73" spans="2:38">
      <c r="B73" s="2987" t="s">
        <v>1152</v>
      </c>
      <c r="E73" s="2989">
        <v>8</v>
      </c>
      <c r="F73" s="2990" t="s">
        <v>1153</v>
      </c>
      <c r="G73" s="2989">
        <v>8</v>
      </c>
      <c r="H73" s="2990" t="s">
        <v>1154</v>
      </c>
      <c r="I73" s="2991">
        <f>IF(dms_RPT="financial",VALUE(LEFT(dms_FRCP_y7,4)+1)&amp;"-"&amp;TEXT(VALUE(RIGHT(dms_FRCP_y7,2)+1),"00"),VALUE(LEFT(dms_FRCP_y7,4)+1))</f>
        <v>2025</v>
      </c>
      <c r="J73" s="2992" t="s">
        <v>1153</v>
      </c>
      <c r="K73" s="2993">
        <f>IF(dms_RPT="financial",VALUE(LEFT(dms_CRCP_yT,4)-1)&amp;"-"&amp;TEXT(VALUE(MID(dms_CRCP_yT,3,2)),"00"),VALUE(LEFT(dms_CRCP_yT,4)-1))</f>
        <v>2010</v>
      </c>
      <c r="L73" s="2994" t="s">
        <v>1155</v>
      </c>
      <c r="M73" s="2995">
        <v>8</v>
      </c>
      <c r="W73" s="2996" t="s">
        <v>1129</v>
      </c>
      <c r="X73" s="2794"/>
      <c r="Y73" s="2908" t="s">
        <v>1063</v>
      </c>
      <c r="Z73" s="2795"/>
      <c r="AA73" s="2952"/>
      <c r="AI73" s="3002" t="s">
        <v>1100</v>
      </c>
      <c r="AJ73" s="2676"/>
      <c r="AK73" s="2676"/>
      <c r="AL73" s="2335"/>
    </row>
    <row r="74" spans="2:38">
      <c r="B74" s="2987" t="s">
        <v>1156</v>
      </c>
      <c r="E74" s="2989">
        <v>9</v>
      </c>
      <c r="F74" s="2990" t="s">
        <v>1157</v>
      </c>
      <c r="G74" s="2989">
        <v>9</v>
      </c>
      <c r="H74" s="2990" t="s">
        <v>1158</v>
      </c>
      <c r="I74" s="2991">
        <f>IF(dms_RPT="financial",VALUE(LEFT(dms_FRCP_y8,4)+1)&amp;"-"&amp;TEXT(VALUE(RIGHT(dms_FRCP_y8,2)+1),"00"),VALUE(LEFT(dms_FRCP_y8,4)+1))</f>
        <v>2026</v>
      </c>
      <c r="J74" s="2992" t="s">
        <v>1157</v>
      </c>
      <c r="K74" s="2993">
        <f>IF(dms_RPT="financial",VALUE(LEFT(dms_CRCP_yS,4)-1)&amp;"-"&amp;TEXT(VALUE(MID(dms_CRCP_yS,3,2)),"00"),VALUE(LEFT(dms_CRCP_yS,4)-1))</f>
        <v>2009</v>
      </c>
      <c r="L74" s="2994" t="s">
        <v>1159</v>
      </c>
      <c r="M74" s="2995">
        <v>9</v>
      </c>
      <c r="W74" s="2996" t="s">
        <v>1129</v>
      </c>
      <c r="X74" s="2794"/>
      <c r="Y74" s="2794"/>
      <c r="Z74" s="2795"/>
      <c r="AA74" s="2952"/>
      <c r="AI74" s="3002" t="s">
        <v>1102</v>
      </c>
      <c r="AJ74" s="2676"/>
      <c r="AK74" s="2676"/>
      <c r="AL74" s="2335"/>
    </row>
    <row r="75" spans="2:38">
      <c r="B75" s="2987" t="s">
        <v>1160</v>
      </c>
      <c r="E75" s="3003">
        <v>10</v>
      </c>
      <c r="F75" s="3004" t="s">
        <v>1161</v>
      </c>
      <c r="G75" s="3003">
        <v>10</v>
      </c>
      <c r="H75" s="3004" t="s">
        <v>1162</v>
      </c>
      <c r="I75" s="2991">
        <f>IF(dms_RPT="financial",VALUE(LEFT(dms_FRCP_y9,4)+1)&amp;"-"&amp;TEXT(VALUE(RIGHT(dms_FRCP_y9,2)+1),"00"),VALUE(LEFT(dms_FRCP_y9,4)+1))</f>
        <v>2027</v>
      </c>
      <c r="J75" s="2992" t="s">
        <v>1161</v>
      </c>
      <c r="K75" s="2993">
        <f>IF(dms_RPT="financial",VALUE(LEFT(dms_CRCP_yR,4)-1)&amp;"-"&amp;TEXT(VALUE(MID(dms_CRCP_yR,3,2)),"00"),VALUE(LEFT(dms_CRCP_yR,4)-1))</f>
        <v>2008</v>
      </c>
      <c r="L75" s="2994" t="s">
        <v>1163</v>
      </c>
      <c r="M75" s="2995">
        <v>10</v>
      </c>
      <c r="W75" s="2996" t="s">
        <v>116</v>
      </c>
      <c r="X75" s="2794"/>
      <c r="Y75" s="2794"/>
      <c r="Z75" s="2795"/>
      <c r="AA75" s="2952"/>
      <c r="AI75" s="3002" t="s">
        <v>1104</v>
      </c>
      <c r="AJ75" s="2676"/>
      <c r="AK75" s="2676"/>
      <c r="AL75" s="2335"/>
    </row>
    <row r="76" spans="2:38" ht="15.75" thickBot="1">
      <c r="B76" s="2987" t="s">
        <v>340</v>
      </c>
      <c r="E76" s="2989">
        <v>11</v>
      </c>
      <c r="F76" s="3004" t="s">
        <v>1164</v>
      </c>
      <c r="G76" s="2989">
        <v>11</v>
      </c>
      <c r="H76" s="3004" t="s">
        <v>1165</v>
      </c>
      <c r="I76" s="2991">
        <f>IF(dms_RPT="financial",VALUE(LEFT(dms_FRCP_y10,4)+1)&amp;"-"&amp;TEXT(VALUE(RIGHT(dms_FRCP_y10,2)+1),"00"),VALUE(LEFT(dms_FRCP_y10,4)+1))</f>
        <v>2028</v>
      </c>
      <c r="J76" s="2992" t="s">
        <v>1164</v>
      </c>
      <c r="K76" s="2993">
        <f>IF(dms_RPT="financial",VALUE(LEFT(dms_CRCP_yQ,4)-1)&amp;"-"&amp;TEXT(VALUE(MID(dms_CRCP_yQ,3,2)),"00"),VALUE(LEFT(dms_CRCP_yQ,4)-1))</f>
        <v>2007</v>
      </c>
      <c r="L76" s="2994" t="s">
        <v>1166</v>
      </c>
      <c r="M76" s="2995">
        <v>11</v>
      </c>
      <c r="W76" s="2996" t="s">
        <v>1129</v>
      </c>
      <c r="X76" s="2794"/>
      <c r="Y76" s="2794"/>
      <c r="Z76" s="2795"/>
      <c r="AA76" s="2952"/>
      <c r="AI76" s="3005" t="s">
        <v>1106</v>
      </c>
      <c r="AJ76" s="2676"/>
      <c r="AK76" s="2676"/>
      <c r="AL76" s="2335"/>
    </row>
    <row r="77" spans="2:38">
      <c r="B77" s="3006" t="s">
        <v>1167</v>
      </c>
      <c r="E77" s="2989">
        <v>12</v>
      </c>
      <c r="F77" s="3004" t="s">
        <v>1168</v>
      </c>
      <c r="G77" s="2989">
        <v>12</v>
      </c>
      <c r="H77" s="3004" t="s">
        <v>1169</v>
      </c>
      <c r="I77" s="2991">
        <f>IF(dms_RPT="financial",VALUE(LEFT(dms_FRCP_y11,4)+1)&amp;"-"&amp;TEXT(VALUE(RIGHT(dms_FRCP_y11,2)+1),"00"),VALUE(LEFT(dms_FRCP_y11,4)+1))</f>
        <v>2029</v>
      </c>
      <c r="J77" s="2992" t="s">
        <v>1168</v>
      </c>
      <c r="K77" s="2993">
        <f>IF(dms_RPT="financial",VALUE(LEFT(dms_CRCP_yP,4)-1)&amp;"-"&amp;TEXT(VALUE(MID(dms_CRCP_yP,3,2)),"00"),VALUE(LEFT(dms_CRCP_yP,4)-1))</f>
        <v>2006</v>
      </c>
      <c r="L77" s="2994" t="s">
        <v>1170</v>
      </c>
      <c r="M77" s="2995">
        <v>12</v>
      </c>
      <c r="W77" s="2996" t="s">
        <v>116</v>
      </c>
      <c r="X77" s="2794"/>
      <c r="Y77" s="2794"/>
      <c r="Z77" s="2795"/>
      <c r="AA77" s="2952"/>
    </row>
    <row r="78" spans="2:38" ht="15.75" thickBot="1">
      <c r="B78" s="3007" t="s">
        <v>709</v>
      </c>
      <c r="E78" s="3003">
        <v>13</v>
      </c>
      <c r="F78" s="3004" t="s">
        <v>1171</v>
      </c>
      <c r="G78" s="3003">
        <v>13</v>
      </c>
      <c r="H78" s="3004" t="s">
        <v>1172</v>
      </c>
      <c r="I78" s="2991">
        <f>IF(dms_RPT="financial",VALUE(LEFT(dms_FRCP_y12,4)+1)&amp;"-"&amp;TEXT(VALUE(RIGHT(dms_FRCP_y12,2)+1),"00"),VALUE(LEFT(dms_FRCP_y12,4)+1))</f>
        <v>2030</v>
      </c>
      <c r="J78" s="2992" t="s">
        <v>1171</v>
      </c>
      <c r="K78" s="2993">
        <f>IF(dms_RPT="financial",VALUE(LEFT(dms_CRCP_yO,4)-1)&amp;"-"&amp;TEXT(VALUE(MID(dms_CRCP_yO,3,2)),"00"),VALUE(LEFT(dms_CRCP_yO,4)-1))</f>
        <v>2005</v>
      </c>
      <c r="L78" s="2994" t="s">
        <v>1173</v>
      </c>
      <c r="M78" s="2995">
        <v>13</v>
      </c>
      <c r="W78" s="2996" t="s">
        <v>1129</v>
      </c>
      <c r="X78" s="2794"/>
      <c r="Y78" s="2794"/>
      <c r="Z78" s="2795"/>
      <c r="AA78" s="2952"/>
    </row>
    <row r="79" spans="2:38">
      <c r="B79" s="2676"/>
      <c r="E79" s="2989">
        <v>14</v>
      </c>
      <c r="F79" s="3004" t="s">
        <v>1174</v>
      </c>
      <c r="G79" s="2989">
        <v>14</v>
      </c>
      <c r="H79" s="3004" t="s">
        <v>1175</v>
      </c>
      <c r="I79" s="2991">
        <f>IF(dms_RPT="financial",VALUE(LEFT(dms_FRCP_y13,4)+1)&amp;"-"&amp;TEXT(VALUE(RIGHT(dms_FRCP_y13,2)+1),"00"),VALUE(LEFT(dms_FRCP_y13,4)+1))</f>
        <v>2031</v>
      </c>
      <c r="J79" s="2992" t="s">
        <v>1174</v>
      </c>
      <c r="K79" s="2993">
        <f>IF(dms_RPT="financial",VALUE(LEFT(dms_CRCP_yN,4)-1)&amp;"-"&amp;TEXT(VALUE(MID(dms_CRCP_yN,3,2)),"00"),VALUE(LEFT(dms_CRCP_yN,4)-1))</f>
        <v>2004</v>
      </c>
      <c r="L79" s="2994" t="s">
        <v>1176</v>
      </c>
      <c r="M79" s="2995">
        <v>14</v>
      </c>
      <c r="W79" s="2996" t="s">
        <v>116</v>
      </c>
      <c r="X79" s="2794"/>
      <c r="Y79" s="2794"/>
      <c r="Z79" s="2795"/>
      <c r="AA79" s="2952"/>
    </row>
    <row r="80" spans="2:38" ht="15.75" thickBot="1">
      <c r="B80" s="2676"/>
      <c r="E80" s="2989">
        <v>15</v>
      </c>
      <c r="F80" s="3004" t="s">
        <v>1177</v>
      </c>
      <c r="G80" s="2989">
        <v>15</v>
      </c>
      <c r="H80" s="3004" t="s">
        <v>1178</v>
      </c>
      <c r="I80" s="2991">
        <f>IF(dms_RPT="financial",VALUE(LEFT(dms_FRCP_y14,4)+1)&amp;"-"&amp;TEXT(VALUE(RIGHT(dms_FRCP_y14,2)+1),"00"),VALUE(LEFT(dms_FRCP_y14,4)+1))</f>
        <v>2032</v>
      </c>
      <c r="J80" s="2992" t="s">
        <v>1177</v>
      </c>
      <c r="K80" s="2993">
        <f>IF(dms_RPT="financial",VALUE(LEFT(dms_CRCP_yM,4)-1)&amp;"-"&amp;TEXT(VALUE(MID(dms_CRCP_yM,3,2)),"00"),VALUE(LEFT(dms_CRCP_yM,4)-1))</f>
        <v>2003</v>
      </c>
      <c r="L80" s="2994" t="s">
        <v>1179</v>
      </c>
      <c r="M80" s="2995">
        <v>15</v>
      </c>
      <c r="W80" s="3008" t="s">
        <v>1129</v>
      </c>
      <c r="X80" s="3009"/>
      <c r="Y80" s="3009"/>
      <c r="Z80" s="3010"/>
      <c r="AA80" s="3011"/>
    </row>
    <row r="81" spans="1:13">
      <c r="B81" s="2676"/>
      <c r="E81" s="3012"/>
      <c r="F81" s="3013"/>
      <c r="G81" s="3013"/>
      <c r="H81" s="3014"/>
      <c r="I81" s="3015"/>
      <c r="J81" s="3014"/>
      <c r="K81" s="3014"/>
      <c r="L81" s="3016"/>
      <c r="M81" s="3013"/>
    </row>
    <row r="82" spans="1:13" ht="15.75" thickBot="1">
      <c r="E82" s="3446" t="s">
        <v>1180</v>
      </c>
      <c r="F82" s="3446"/>
      <c r="G82" s="3446"/>
      <c r="H82" s="3446"/>
      <c r="I82" s="3446"/>
      <c r="J82" s="3446"/>
      <c r="K82" s="3446"/>
      <c r="L82" s="3446"/>
      <c r="M82" s="3013"/>
    </row>
    <row r="83" spans="1:13" ht="15.75" customHeight="1" thickBot="1">
      <c r="A83" s="2676"/>
      <c r="B83" s="3017" t="s">
        <v>1181</v>
      </c>
      <c r="C83" s="2676"/>
      <c r="E83" s="3018" t="s">
        <v>1182</v>
      </c>
      <c r="F83" s="3019" t="s">
        <v>1183</v>
      </c>
      <c r="G83" s="3019" t="s">
        <v>1184</v>
      </c>
      <c r="H83" s="3019" t="s">
        <v>1185</v>
      </c>
      <c r="I83" s="3020" t="s">
        <v>1186</v>
      </c>
      <c r="J83" s="3021" t="s">
        <v>1187</v>
      </c>
      <c r="K83" s="3022" t="s">
        <v>1188</v>
      </c>
      <c r="L83" s="3022" t="s">
        <v>1189</v>
      </c>
      <c r="M83" s="3013"/>
    </row>
    <row r="84" spans="1:13">
      <c r="A84" s="2676"/>
      <c r="B84" s="3023" t="s">
        <v>54</v>
      </c>
      <c r="C84" s="2676"/>
      <c r="E84" s="3024" t="s">
        <v>1190</v>
      </c>
      <c r="F84" s="3025" t="s">
        <v>99</v>
      </c>
      <c r="G84" s="3026">
        <v>2007</v>
      </c>
      <c r="H84" s="3027" t="s">
        <v>1191</v>
      </c>
      <c r="I84" s="3028" t="s">
        <v>1192</v>
      </c>
      <c r="J84" s="3029" t="s">
        <v>109</v>
      </c>
      <c r="K84" s="3030" t="s">
        <v>776</v>
      </c>
      <c r="L84" s="3031" t="s">
        <v>1193</v>
      </c>
      <c r="M84" s="3013"/>
    </row>
    <row r="85" spans="1:13">
      <c r="A85" s="2676"/>
      <c r="B85" s="3032" t="s">
        <v>424</v>
      </c>
      <c r="C85" s="2676"/>
      <c r="E85" s="3033" t="s">
        <v>1194</v>
      </c>
      <c r="F85" s="3025" t="s">
        <v>100</v>
      </c>
      <c r="G85" s="3026" t="s">
        <v>777</v>
      </c>
      <c r="H85" s="3034" t="s">
        <v>1195</v>
      </c>
      <c r="I85" s="3035" t="s">
        <v>1196</v>
      </c>
      <c r="J85" s="3036" t="s">
        <v>110</v>
      </c>
      <c r="K85" s="3030" t="s">
        <v>768</v>
      </c>
      <c r="L85" s="3037" t="s">
        <v>1197</v>
      </c>
      <c r="M85" s="3013"/>
    </row>
    <row r="86" spans="1:13">
      <c r="A86" s="2676"/>
      <c r="B86" s="3032" t="s">
        <v>345</v>
      </c>
      <c r="C86" s="2676"/>
      <c r="E86" s="3038" t="s">
        <v>1198</v>
      </c>
      <c r="F86" s="3025" t="s">
        <v>101</v>
      </c>
      <c r="G86" s="3026" t="s">
        <v>778</v>
      </c>
      <c r="H86" s="3027" t="s">
        <v>1199</v>
      </c>
      <c r="I86" s="3039" t="s">
        <v>1200</v>
      </c>
      <c r="J86" s="3036" t="s">
        <v>111</v>
      </c>
      <c r="K86" s="3030" t="s">
        <v>769</v>
      </c>
      <c r="L86" s="3031" t="s">
        <v>1201</v>
      </c>
      <c r="M86" s="3013"/>
    </row>
    <row r="87" spans="1:13">
      <c r="A87" s="2676"/>
      <c r="B87" s="3032" t="s">
        <v>1202</v>
      </c>
      <c r="C87" s="2676"/>
      <c r="E87" s="3033" t="s">
        <v>1203</v>
      </c>
      <c r="F87" s="3025" t="s">
        <v>102</v>
      </c>
      <c r="G87" s="3026" t="s">
        <v>779</v>
      </c>
      <c r="H87" s="3034" t="s">
        <v>1204</v>
      </c>
      <c r="I87" s="3035" t="s">
        <v>1205</v>
      </c>
      <c r="J87" s="3036" t="s">
        <v>112</v>
      </c>
      <c r="K87" s="3030" t="s">
        <v>770</v>
      </c>
      <c r="L87" s="3037" t="s">
        <v>1206</v>
      </c>
      <c r="M87" s="3013"/>
    </row>
    <row r="88" spans="1:13" ht="15.75" thickBot="1">
      <c r="A88" s="2676"/>
      <c r="B88" s="3040" t="s">
        <v>1207</v>
      </c>
      <c r="C88" s="2676"/>
      <c r="E88" s="3038" t="s">
        <v>1208</v>
      </c>
      <c r="F88" s="3025" t="s">
        <v>103</v>
      </c>
      <c r="G88" s="3026" t="s">
        <v>780</v>
      </c>
      <c r="H88" s="3027" t="s">
        <v>1209</v>
      </c>
      <c r="I88" s="3039" t="s">
        <v>1210</v>
      </c>
      <c r="J88" s="3036" t="s">
        <v>216</v>
      </c>
      <c r="K88" s="3030" t="s">
        <v>771</v>
      </c>
      <c r="L88" s="3031" t="s">
        <v>1211</v>
      </c>
      <c r="M88" s="3013"/>
    </row>
    <row r="89" spans="1:13">
      <c r="A89" s="2676"/>
      <c r="B89" s="2676"/>
      <c r="C89" s="2676"/>
      <c r="D89" s="2676"/>
      <c r="E89" s="3033" t="s">
        <v>1212</v>
      </c>
      <c r="F89" s="3025" t="s">
        <v>104</v>
      </c>
      <c r="G89" s="3026" t="s">
        <v>781</v>
      </c>
      <c r="H89" s="3034" t="s">
        <v>1213</v>
      </c>
      <c r="I89" s="3035" t="s">
        <v>1214</v>
      </c>
      <c r="J89" s="3036" t="s">
        <v>1215</v>
      </c>
      <c r="K89" s="3030" t="s">
        <v>772</v>
      </c>
      <c r="L89" s="3037" t="s">
        <v>1216</v>
      </c>
      <c r="M89" s="3013"/>
    </row>
    <row r="90" spans="1:13">
      <c r="A90" s="2676"/>
      <c r="B90" s="2676"/>
      <c r="C90" s="2676"/>
      <c r="D90" s="2676"/>
      <c r="E90" s="3038" t="s">
        <v>1217</v>
      </c>
      <c r="F90" s="3025" t="s">
        <v>105</v>
      </c>
      <c r="G90" s="3026" t="s">
        <v>1218</v>
      </c>
      <c r="H90" s="3027" t="s">
        <v>1219</v>
      </c>
      <c r="I90" s="3039" t="s">
        <v>1220</v>
      </c>
      <c r="J90" s="3036" t="s">
        <v>1221</v>
      </c>
      <c r="K90" s="3030" t="s">
        <v>1222</v>
      </c>
      <c r="L90" s="3031" t="s">
        <v>1223</v>
      </c>
      <c r="M90" s="3013"/>
    </row>
    <row r="91" spans="1:13">
      <c r="A91" s="2676"/>
      <c r="B91" s="2676"/>
      <c r="C91" s="2676"/>
      <c r="D91" s="2676"/>
      <c r="E91" s="3033" t="s">
        <v>1224</v>
      </c>
      <c r="F91" s="3025" t="s">
        <v>106</v>
      </c>
      <c r="G91" s="3026" t="s">
        <v>773</v>
      </c>
      <c r="H91" s="3034" t="s">
        <v>1225</v>
      </c>
      <c r="I91" s="3035" t="s">
        <v>1226</v>
      </c>
      <c r="J91" s="3036" t="s">
        <v>1227</v>
      </c>
      <c r="K91" s="3030" t="s">
        <v>1228</v>
      </c>
      <c r="L91" s="3037" t="s">
        <v>1229</v>
      </c>
      <c r="M91" s="3013"/>
    </row>
    <row r="92" spans="1:13">
      <c r="A92" s="2676"/>
      <c r="B92" s="2676"/>
      <c r="C92" s="2676"/>
      <c r="D92" s="2676"/>
      <c r="E92" s="3038" t="s">
        <v>1230</v>
      </c>
      <c r="F92" s="3025" t="s">
        <v>107</v>
      </c>
      <c r="G92" s="3026" t="s">
        <v>774</v>
      </c>
      <c r="H92" s="3027" t="s">
        <v>1231</v>
      </c>
      <c r="I92" s="3039" t="s">
        <v>1232</v>
      </c>
      <c r="J92" s="3036" t="s">
        <v>1233</v>
      </c>
      <c r="K92" s="3030" t="s">
        <v>1234</v>
      </c>
      <c r="L92" s="3031" t="s">
        <v>1235</v>
      </c>
      <c r="M92" s="3013"/>
    </row>
    <row r="93" spans="1:13">
      <c r="A93" s="2676"/>
      <c r="B93" s="2676"/>
      <c r="C93" s="2676"/>
      <c r="D93" s="2676"/>
      <c r="E93" s="3033" t="s">
        <v>1236</v>
      </c>
      <c r="F93" s="3025" t="s">
        <v>108</v>
      </c>
      <c r="G93" s="3026" t="s">
        <v>775</v>
      </c>
      <c r="H93" s="3034" t="s">
        <v>1237</v>
      </c>
      <c r="I93" s="3035" t="s">
        <v>1238</v>
      </c>
      <c r="J93" s="3036" t="s">
        <v>1239</v>
      </c>
      <c r="K93" s="3030" t="s">
        <v>1240</v>
      </c>
      <c r="L93" s="3037" t="s">
        <v>1241</v>
      </c>
      <c r="M93" s="3013"/>
    </row>
    <row r="94" spans="1:13">
      <c r="A94" s="2676"/>
      <c r="B94" s="2676"/>
      <c r="C94" s="2676"/>
      <c r="D94" s="2676"/>
      <c r="E94" s="3038" t="s">
        <v>1242</v>
      </c>
      <c r="F94" s="3025" t="s">
        <v>109</v>
      </c>
      <c r="G94" s="3026" t="s">
        <v>776</v>
      </c>
      <c r="H94" s="3027" t="s">
        <v>1243</v>
      </c>
      <c r="I94" s="3039" t="s">
        <v>1244</v>
      </c>
      <c r="J94" s="3036" t="s">
        <v>1245</v>
      </c>
      <c r="K94" s="3030" t="s">
        <v>1246</v>
      </c>
      <c r="L94" s="3031" t="s">
        <v>1247</v>
      </c>
      <c r="M94" s="3013"/>
    </row>
    <row r="95" spans="1:13">
      <c r="A95" s="2676"/>
      <c r="B95" s="2676"/>
      <c r="C95" s="2676"/>
      <c r="D95" s="2676"/>
      <c r="E95" s="3033" t="s">
        <v>1248</v>
      </c>
      <c r="F95" s="3025" t="s">
        <v>110</v>
      </c>
      <c r="G95" s="3026" t="s">
        <v>768</v>
      </c>
      <c r="H95" s="3034" t="s">
        <v>1249</v>
      </c>
      <c r="I95" s="3035" t="s">
        <v>1250</v>
      </c>
      <c r="J95" s="3036" t="s">
        <v>1251</v>
      </c>
      <c r="K95" s="3030" t="s">
        <v>1252</v>
      </c>
      <c r="L95" s="3037" t="s">
        <v>1253</v>
      </c>
      <c r="M95" s="3013"/>
    </row>
    <row r="96" spans="1:13">
      <c r="A96" s="2676"/>
      <c r="B96" s="2676"/>
      <c r="C96" s="2676"/>
      <c r="D96" s="2676"/>
      <c r="E96" s="3038" t="s">
        <v>1254</v>
      </c>
      <c r="F96" s="3025" t="s">
        <v>111</v>
      </c>
      <c r="G96" s="3026">
        <v>2019</v>
      </c>
      <c r="H96" s="3027" t="s">
        <v>1255</v>
      </c>
      <c r="I96" s="3039" t="s">
        <v>1256</v>
      </c>
      <c r="J96" s="3036" t="s">
        <v>1257</v>
      </c>
      <c r="K96" s="3030" t="s">
        <v>1258</v>
      </c>
      <c r="L96" s="3031" t="s">
        <v>1259</v>
      </c>
      <c r="M96" s="3013"/>
    </row>
    <row r="97" spans="1:13">
      <c r="A97" s="2676"/>
      <c r="B97" s="2676"/>
      <c r="C97" s="2676"/>
      <c r="D97" s="2676"/>
      <c r="E97" s="3033" t="s">
        <v>1260</v>
      </c>
      <c r="F97" s="3025" t="s">
        <v>112</v>
      </c>
      <c r="G97" s="3026" t="s">
        <v>770</v>
      </c>
      <c r="H97" s="3034" t="s">
        <v>1261</v>
      </c>
      <c r="I97" s="3035" t="s">
        <v>1262</v>
      </c>
      <c r="J97" s="3036" t="s">
        <v>1263</v>
      </c>
      <c r="K97" s="3030" t="s">
        <v>1264</v>
      </c>
      <c r="L97" s="3037" t="s">
        <v>1265</v>
      </c>
      <c r="M97" s="3013"/>
    </row>
    <row r="98" spans="1:13" ht="15.75" thickBot="1">
      <c r="A98" s="2676"/>
      <c r="B98" s="2676"/>
      <c r="C98" s="2676"/>
      <c r="D98" s="2676"/>
      <c r="E98" s="3041" t="s">
        <v>1266</v>
      </c>
      <c r="F98" s="3042" t="s">
        <v>216</v>
      </c>
      <c r="G98" s="3043" t="s">
        <v>771</v>
      </c>
      <c r="H98" s="3044" t="s">
        <v>1267</v>
      </c>
      <c r="I98" s="3045" t="s">
        <v>1268</v>
      </c>
      <c r="J98" s="3046" t="s">
        <v>1269</v>
      </c>
      <c r="K98" s="3047" t="s">
        <v>1270</v>
      </c>
      <c r="L98" s="3048" t="s">
        <v>1271</v>
      </c>
      <c r="M98" s="3013"/>
    </row>
    <row r="99" spans="1:13">
      <c r="A99" s="2676"/>
      <c r="B99" s="2676"/>
      <c r="C99" s="2676"/>
      <c r="D99" s="2676"/>
      <c r="E99" s="3049"/>
      <c r="F99" s="3013"/>
      <c r="G99" s="3013"/>
      <c r="H99" s="3014"/>
      <c r="I99" s="3015"/>
      <c r="J99" s="3014"/>
      <c r="K99" s="3014"/>
      <c r="L99" s="3016"/>
      <c r="M99" s="3013"/>
    </row>
    <row r="100" spans="1:13">
      <c r="A100" s="2676"/>
      <c r="B100" s="2676"/>
      <c r="C100" s="2674"/>
      <c r="E100" s="2674"/>
      <c r="K100" s="2676"/>
      <c r="L100" s="2676"/>
      <c r="M100" s="2676"/>
    </row>
    <row r="101" spans="1:13">
      <c r="A101" s="2676"/>
      <c r="B101" s="2676"/>
      <c r="C101" s="2674"/>
      <c r="E101" s="2674"/>
      <c r="K101" s="2676"/>
      <c r="L101" s="2676"/>
      <c r="M101" s="2676"/>
    </row>
    <row r="102" spans="1:13">
      <c r="A102" s="2676"/>
      <c r="B102" s="2674"/>
      <c r="C102" s="2674"/>
      <c r="E102" s="2674"/>
      <c r="H102" s="2676"/>
      <c r="K102" s="2676"/>
      <c r="L102" s="2676"/>
      <c r="M102" s="2676"/>
    </row>
    <row r="103" spans="1:13">
      <c r="A103" s="2676"/>
      <c r="B103" s="2674"/>
      <c r="C103" s="2674"/>
      <c r="E103" s="2674"/>
      <c r="H103" s="2676"/>
      <c r="K103" s="2676"/>
      <c r="L103" s="2676"/>
      <c r="M103" s="2676"/>
    </row>
    <row r="104" spans="1:13">
      <c r="A104" s="2676"/>
      <c r="B104" s="2674"/>
      <c r="C104" s="2674"/>
      <c r="E104" s="2674"/>
      <c r="K104" s="2676"/>
      <c r="L104" s="2676"/>
      <c r="M104" s="2676"/>
    </row>
    <row r="105" spans="1:13">
      <c r="B105" s="2674"/>
      <c r="C105" s="2674"/>
      <c r="E105" s="2674"/>
    </row>
    <row r="106" spans="1:13">
      <c r="B106" s="2674"/>
      <c r="C106" s="2674"/>
      <c r="E106" s="2674"/>
    </row>
    <row r="107" spans="1:13">
      <c r="B107" s="2674"/>
      <c r="C107" s="2674"/>
      <c r="E107" s="2674"/>
    </row>
    <row r="108" spans="1:13">
      <c r="B108" s="2674"/>
      <c r="C108" s="2674"/>
      <c r="E108" s="2674"/>
    </row>
    <row r="109" spans="1:13">
      <c r="B109" s="2674"/>
      <c r="C109" s="2674"/>
      <c r="E109" s="2674"/>
    </row>
    <row r="110" spans="1:13">
      <c r="B110" s="2674"/>
      <c r="C110" s="2674"/>
      <c r="E110" s="2674"/>
    </row>
    <row r="111" spans="1:13">
      <c r="B111" s="2674"/>
      <c r="C111" s="2674"/>
      <c r="E111" s="2674"/>
    </row>
    <row r="112" spans="1:13">
      <c r="B112" s="2674"/>
      <c r="C112" s="2674"/>
      <c r="E112" s="2674"/>
    </row>
    <row r="113" spans="2:5">
      <c r="B113" s="2674"/>
      <c r="C113" s="2674"/>
      <c r="E113" s="2674"/>
    </row>
    <row r="114" spans="2:5">
      <c r="B114" s="2674"/>
      <c r="C114" s="2674"/>
      <c r="E114" s="2674"/>
    </row>
    <row r="115" spans="2:5">
      <c r="B115" s="2674"/>
      <c r="C115" s="2674"/>
      <c r="E115" s="2674"/>
    </row>
    <row r="116" spans="2:5">
      <c r="B116" s="2674"/>
      <c r="C116" s="2674"/>
      <c r="E116" s="2674"/>
    </row>
    <row r="117" spans="2:5">
      <c r="B117" s="2674"/>
      <c r="C117" s="2674"/>
      <c r="E117" s="2674"/>
    </row>
    <row r="118" spans="2:5">
      <c r="B118" s="2674"/>
      <c r="C118" s="2674"/>
      <c r="E118" s="2674"/>
    </row>
    <row r="119" spans="2:5">
      <c r="B119" s="2674"/>
      <c r="C119" s="2674"/>
      <c r="E119" s="2674"/>
    </row>
    <row r="120" spans="2:5">
      <c r="B120" s="2674"/>
      <c r="C120" s="2674"/>
      <c r="E120" s="2674"/>
    </row>
    <row r="121" spans="2:5">
      <c r="B121" s="2674"/>
      <c r="C121" s="2674"/>
      <c r="E121" s="2674"/>
    </row>
    <row r="122" spans="2:5">
      <c r="B122" s="2674"/>
      <c r="C122" s="2674"/>
      <c r="E122" s="2674"/>
    </row>
    <row r="123" spans="2:5">
      <c r="B123" s="2674"/>
      <c r="C123" s="2674"/>
      <c r="E123" s="2674"/>
    </row>
    <row r="124" spans="2:5">
      <c r="B124" s="2674"/>
      <c r="C124" s="2674"/>
      <c r="E124" s="2674"/>
    </row>
    <row r="125" spans="2:5">
      <c r="B125" s="2674"/>
      <c r="C125" s="2674"/>
      <c r="E125" s="2674"/>
    </row>
    <row r="126" spans="2:5">
      <c r="B126" s="2674"/>
      <c r="C126" s="2674"/>
      <c r="E126" s="2674"/>
    </row>
    <row r="127" spans="2:5">
      <c r="B127" s="2674"/>
      <c r="C127" s="2674"/>
      <c r="E127" s="2674"/>
    </row>
    <row r="128" spans="2:5">
      <c r="B128" s="2674"/>
      <c r="C128" s="2674"/>
      <c r="E128" s="2674"/>
    </row>
    <row r="129" spans="2:5">
      <c r="B129" s="2674"/>
      <c r="C129" s="2674"/>
      <c r="E129" s="2674"/>
    </row>
    <row r="130" spans="2:5">
      <c r="B130" s="2674"/>
      <c r="C130" s="2674"/>
    </row>
    <row r="131" spans="2:5">
      <c r="B131" s="2674"/>
    </row>
    <row r="132" spans="2:5">
      <c r="B132" s="2674"/>
    </row>
  </sheetData>
  <mergeCells count="14">
    <mergeCell ref="E82:L82"/>
    <mergeCell ref="B1:L1"/>
    <mergeCell ref="AC4:AM4"/>
    <mergeCell ref="AC5:AF5"/>
    <mergeCell ref="AI5:AM5"/>
    <mergeCell ref="W45:AA45"/>
    <mergeCell ref="B46:F46"/>
    <mergeCell ref="O46:V46"/>
    <mergeCell ref="W46:AA46"/>
    <mergeCell ref="C47:D47"/>
    <mergeCell ref="AI47:AI49"/>
    <mergeCell ref="AI50:AI54"/>
    <mergeCell ref="AI58:AI59"/>
    <mergeCell ref="W64:Z64"/>
  </mergeCells>
  <dataValidations count="1">
    <dataValidation type="textLength" operator="greaterThan" showInputMessage="1" showErrorMessage="1" sqref="Q15 O15">
      <formula1>1</formula1>
    </dataValidation>
  </dataValidations>
  <pageMargins left="0.7" right="0.7" top="0.75" bottom="0.75" header="0.3" footer="0.3"/>
  <pageSetup paperSize="9" orientation="portrait" r:id="rId1"/>
  <customProperties>
    <customPr name="_pios_id" r:id="rId2"/>
  </customProperties>
  <drawing r:id="rId3"/>
  <legacyDrawing r:id="rId4"/>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39997558519241921"/>
    <pageSetUpPr autoPageBreaks="0"/>
  </sheetPr>
  <dimension ref="A1:BS158"/>
  <sheetViews>
    <sheetView showGridLines="0" topLeftCell="D1" zoomScaleNormal="100" workbookViewId="0"/>
  </sheetViews>
  <sheetFormatPr defaultColWidth="9.140625" defaultRowHeight="12.75"/>
  <cols>
    <col min="1" max="3" width="13.28515625" style="89" hidden="1" customWidth="1"/>
    <col min="4" max="4" width="20.5703125" style="89" customWidth="1"/>
    <col min="5" max="5" width="58" style="89" customWidth="1"/>
    <col min="6" max="6" width="62.140625" style="89" customWidth="1"/>
    <col min="7" max="7" width="15.7109375" style="89" customWidth="1"/>
    <col min="8" max="11" width="15.28515625" style="89" customWidth="1"/>
    <col min="12" max="12" width="18.140625" style="89" bestFit="1" customWidth="1"/>
    <col min="13" max="13" width="18.140625" style="89" customWidth="1"/>
    <col min="14" max="14" width="19.7109375" style="89" customWidth="1"/>
    <col min="15" max="16" width="18.140625" style="89" customWidth="1"/>
    <col min="17" max="21" width="15.7109375" style="89" customWidth="1"/>
    <col min="22" max="22" width="12.28515625" customWidth="1"/>
    <col min="23" max="27" width="15.7109375" style="89" customWidth="1"/>
    <col min="28" max="28" width="17.42578125" style="450" customWidth="1"/>
    <col min="29" max="33" width="15.7109375" style="89" customWidth="1"/>
    <col min="34" max="34" width="17.7109375" style="450" customWidth="1"/>
    <col min="35" max="35" width="8.7109375"/>
    <col min="36" max="37" width="9.140625" style="108"/>
    <col min="38" max="38" width="15.7109375" style="529" customWidth="1"/>
    <col min="39" max="42" width="15.28515625" style="529" customWidth="1"/>
    <col min="43" max="43" width="18.140625" style="529" bestFit="1" customWidth="1"/>
    <col min="44" max="44" width="18.140625" style="529" customWidth="1"/>
    <col min="45" max="45" width="19.7109375" style="529" customWidth="1"/>
    <col min="46" max="71" width="9.140625" style="108"/>
    <col min="72" max="16384" width="9.140625" style="89"/>
  </cols>
  <sheetData>
    <row r="1" spans="1:71" s="223" customFormat="1" ht="24" customHeight="1">
      <c r="E1" s="3050" t="str">
        <f>IF(dms_DataQuality="backcast",INDEX(dms_Worksheet_List,MATCH(dms_Model,dms_Model_List))&amp;" BACKCAST",INDEX(dms_Worksheet_List,MATCH(dms_Model,dms_Model_List)))</f>
        <v>REGULATORY REPORTING STATEMENT</v>
      </c>
      <c r="F1" s="225"/>
      <c r="G1" s="225"/>
      <c r="H1" s="225"/>
      <c r="I1" s="225"/>
      <c r="J1" s="225"/>
      <c r="K1" s="225"/>
      <c r="L1" s="225"/>
      <c r="M1" s="225"/>
      <c r="N1" s="225"/>
      <c r="O1" s="225"/>
      <c r="P1" s="225"/>
      <c r="Q1" s="225"/>
      <c r="R1" s="225"/>
      <c r="S1" s="225"/>
      <c r="T1" s="225"/>
      <c r="U1" s="225"/>
      <c r="V1" s="225"/>
      <c r="W1" s="225"/>
      <c r="X1" s="225"/>
      <c r="Y1" s="163"/>
      <c r="Z1" s="163"/>
      <c r="AA1" s="163"/>
      <c r="AB1" s="163"/>
      <c r="AC1" s="163"/>
      <c r="AD1" s="163"/>
      <c r="AE1" s="163"/>
      <c r="AF1" s="163"/>
      <c r="AG1" s="163"/>
      <c r="AH1" s="163"/>
      <c r="AI1" s="225"/>
      <c r="AJ1" s="225"/>
      <c r="AK1" s="225"/>
      <c r="AL1" s="225"/>
      <c r="AM1" s="225"/>
      <c r="AN1" s="225"/>
      <c r="AO1" s="225"/>
      <c r="AP1" s="225"/>
      <c r="AQ1" s="225"/>
      <c r="AR1" s="225"/>
      <c r="AS1" s="225"/>
    </row>
    <row r="2" spans="1:71" s="223" customFormat="1" ht="24" customHeight="1">
      <c r="E2" s="3054" t="str">
        <f>INDEX(dms_TradingNameFull_List,MATCH(dms_TradingName,dms_TradingName_List))</f>
        <v>AusNet Gas Services</v>
      </c>
      <c r="F2" s="225"/>
      <c r="G2" s="225"/>
      <c r="H2" s="225"/>
      <c r="I2" s="225"/>
      <c r="J2" s="225"/>
      <c r="K2" s="225"/>
      <c r="L2" s="225"/>
      <c r="M2" s="225"/>
      <c r="N2" s="225"/>
      <c r="O2" s="225"/>
      <c r="P2" s="225"/>
      <c r="Q2" s="225"/>
      <c r="R2" s="225"/>
      <c r="S2" s="225"/>
      <c r="T2" s="225"/>
      <c r="U2" s="225"/>
      <c r="V2" s="225"/>
      <c r="W2" s="225"/>
      <c r="X2" s="225"/>
      <c r="Y2" s="163"/>
      <c r="Z2" s="163"/>
      <c r="AA2" s="163"/>
      <c r="AB2" s="163"/>
      <c r="AC2" s="163"/>
      <c r="AD2" s="163"/>
      <c r="AE2" s="163"/>
      <c r="AF2" s="163"/>
      <c r="AG2" s="163"/>
      <c r="AH2" s="163"/>
      <c r="AI2" s="225"/>
      <c r="AJ2" s="225"/>
      <c r="AK2" s="225"/>
      <c r="AL2" s="225"/>
      <c r="AM2" s="225"/>
      <c r="AN2" s="225"/>
      <c r="AO2" s="225"/>
      <c r="AP2" s="225"/>
      <c r="AQ2" s="225"/>
      <c r="AR2" s="225"/>
      <c r="AS2" s="225"/>
    </row>
    <row r="3" spans="1:71" s="223" customFormat="1" ht="24" customHeight="1">
      <c r="E3" s="3054" t="str">
        <f ca="1">IF(SUM(dms_SingleYear_Model)&gt;0,CRY,CONCATENATE(FRCP_y1," to ",dms_MultiYear_FinalYear_Result))</f>
        <v>2018 to 2022</v>
      </c>
      <c r="F3" s="228" t="str">
        <f>CONCATENATE(LEFT(FRCP_y1,4),"-",LEFT(FRCP_y5,2),RIGHT(FRCP_y5,2))</f>
        <v>2018-2022</v>
      </c>
      <c r="G3" s="227"/>
      <c r="H3" s="227"/>
      <c r="I3" s="227"/>
      <c r="J3" s="227"/>
      <c r="K3" s="227"/>
      <c r="L3" s="227"/>
      <c r="M3" s="227"/>
      <c r="N3" s="227"/>
      <c r="O3" s="227"/>
      <c r="P3" s="227"/>
      <c r="Q3" s="227"/>
      <c r="R3" s="227"/>
      <c r="S3" s="227"/>
      <c r="T3" s="227"/>
      <c r="U3" s="227"/>
      <c r="V3" s="227"/>
      <c r="W3" s="227"/>
      <c r="X3" s="227"/>
      <c r="Y3" s="167"/>
      <c r="Z3" s="167"/>
      <c r="AA3" s="167"/>
      <c r="AB3" s="167"/>
      <c r="AC3" s="167"/>
      <c r="AD3" s="167"/>
      <c r="AE3" s="167"/>
      <c r="AF3" s="167"/>
      <c r="AG3" s="167"/>
      <c r="AH3" s="167"/>
      <c r="AI3" s="1426"/>
      <c r="AJ3" s="1426"/>
      <c r="AK3" s="1426"/>
      <c r="AL3" s="1426"/>
      <c r="AM3" s="1426"/>
      <c r="AN3" s="1426"/>
      <c r="AO3" s="1426"/>
      <c r="AP3" s="1426"/>
      <c r="AQ3" s="1426"/>
      <c r="AR3" s="1426"/>
      <c r="AS3" s="1426"/>
    </row>
    <row r="4" spans="1:71" s="165" customFormat="1" ht="24" customHeight="1">
      <c r="B4" s="10"/>
      <c r="C4" s="12"/>
      <c r="D4"/>
      <c r="E4" s="12" t="s">
        <v>465</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row>
    <row r="5" spans="1:71" s="66" customFormat="1" ht="39.75" customHeight="1">
      <c r="A5" s="288"/>
      <c r="B5" s="288"/>
      <c r="C5" s="288"/>
      <c r="D5" s="288"/>
      <c r="E5" s="288"/>
      <c r="F5" s="288"/>
      <c r="G5" s="288"/>
      <c r="H5" s="288"/>
      <c r="I5" s="288"/>
      <c r="J5" s="1429"/>
      <c r="K5" s="1429"/>
      <c r="L5" s="1429"/>
      <c r="M5" s="1429"/>
      <c r="N5" s="1429"/>
      <c r="O5" s="1429"/>
      <c r="P5" s="1429"/>
      <c r="Q5" s="1429"/>
      <c r="R5" s="1429"/>
      <c r="S5" s="1429"/>
      <c r="T5" s="1429"/>
      <c r="U5" s="1429"/>
      <c r="V5" s="1429"/>
      <c r="W5" s="1429"/>
      <c r="X5" s="1429"/>
      <c r="Y5" s="1429"/>
      <c r="Z5" s="1429"/>
      <c r="AA5" s="1429"/>
      <c r="AB5" s="15"/>
      <c r="AC5" s="1429"/>
      <c r="AD5" s="1429"/>
      <c r="AE5" s="1429"/>
      <c r="AF5" s="1429"/>
      <c r="AG5" s="1429"/>
      <c r="AH5" s="15"/>
      <c r="AI5"/>
      <c r="AL5"/>
      <c r="AM5"/>
      <c r="AN5"/>
      <c r="AO5"/>
      <c r="AP5"/>
      <c r="AQ5"/>
      <c r="AR5"/>
      <c r="AS5" s="1429"/>
    </row>
    <row r="6" spans="1:71" s="91" customFormat="1" ht="12.75" customHeight="1" thickBot="1">
      <c r="A6" s="110" t="s">
        <v>193</v>
      </c>
      <c r="B6" s="78"/>
      <c r="E6" s="103" t="s">
        <v>59</v>
      </c>
      <c r="F6" s="103"/>
      <c r="G6" s="103"/>
      <c r="H6" s="103"/>
      <c r="I6" s="103"/>
      <c r="J6" s="1429"/>
      <c r="K6" s="1429"/>
      <c r="L6" s="1429"/>
      <c r="M6" s="1429"/>
      <c r="N6" s="1429"/>
      <c r="O6" s="1429"/>
      <c r="P6" s="1429"/>
      <c r="Q6" s="538"/>
      <c r="R6" s="538"/>
      <c r="S6" s="308"/>
      <c r="T6" s="308"/>
      <c r="U6" s="308"/>
      <c r="V6" s="1429"/>
      <c r="W6" s="308"/>
      <c r="X6" s="308"/>
      <c r="Y6" s="308"/>
      <c r="Z6" s="308"/>
      <c r="AA6" s="308"/>
      <c r="AB6" s="5"/>
      <c r="AC6" s="308"/>
      <c r="AD6" s="308"/>
      <c r="AE6" s="308"/>
      <c r="AF6" s="308"/>
      <c r="AG6" s="308"/>
      <c r="AH6" s="5"/>
      <c r="AI6"/>
      <c r="AJ6" s="108"/>
      <c r="AK6" s="108"/>
      <c r="AL6"/>
      <c r="AM6"/>
      <c r="AN6"/>
      <c r="AO6"/>
      <c r="AP6"/>
      <c r="AQ6"/>
      <c r="AR6"/>
      <c r="AS6" s="1429"/>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row>
    <row r="7" spans="1:71" s="91" customFormat="1" ht="12.75" customHeight="1">
      <c r="A7" s="1132" t="s">
        <v>195</v>
      </c>
      <c r="B7" s="1135" t="s">
        <v>201</v>
      </c>
      <c r="E7" s="156" t="s">
        <v>467</v>
      </c>
      <c r="F7" s="156"/>
      <c r="G7" s="156"/>
      <c r="H7" s="156"/>
      <c r="I7" s="156"/>
      <c r="J7" s="1429"/>
      <c r="K7" s="1429"/>
      <c r="L7" s="1429"/>
      <c r="M7" s="1429"/>
      <c r="N7" s="1429"/>
      <c r="O7" s="1429"/>
      <c r="P7" s="1429"/>
      <c r="Q7" s="538"/>
      <c r="R7" s="538"/>
      <c r="S7" s="308"/>
      <c r="T7" s="308"/>
      <c r="U7" s="308"/>
      <c r="V7" s="1429"/>
      <c r="W7" s="308"/>
      <c r="X7" s="308"/>
      <c r="Y7" s="308"/>
      <c r="Z7" s="308"/>
      <c r="AA7" s="308"/>
      <c r="AB7" s="5"/>
      <c r="AC7" s="308"/>
      <c r="AD7" s="308"/>
      <c r="AE7" s="308"/>
      <c r="AF7" s="308"/>
      <c r="AG7" s="308"/>
      <c r="AH7" s="5"/>
      <c r="AI7"/>
      <c r="AJ7" s="108"/>
      <c r="AK7" s="108"/>
      <c r="AL7"/>
      <c r="AM7"/>
      <c r="AN7"/>
      <c r="AO7"/>
      <c r="AP7"/>
      <c r="AQ7"/>
      <c r="AR7"/>
      <c r="AS7" s="1429"/>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row>
    <row r="8" spans="1:71" s="91" customFormat="1" ht="36" customHeight="1">
      <c r="A8" s="1133" t="s">
        <v>285</v>
      </c>
      <c r="B8" s="1136" t="s">
        <v>279</v>
      </c>
      <c r="E8" s="3669" t="str">
        <f>CONCATENATE("As set out in cl.6.1 of the ", dms_TradingName, " RIN, for tables 6.1.1 to 6.1.3, where the requested data is captured in the ", dms_TradingName, " capex model it is not required to be reentered in the RIN template tables.  If the requested data has not been provided in the ", dms_TradingName, " capex model please enter into the tables below. This may require the insertion of new lines in each table.")</f>
        <v>As set out in cl.6.1 of the AusNet (Gas) RIN, for tables 6.1.1 to 6.1.3, where the requested data is captured in the AusNet (Gas) capex model it is not required to be reentered in the RIN template tables.  If the requested data has not been provided in the AusNet (Gas) capex model please enter into the tables below. This may require the insertion of new lines in each table.</v>
      </c>
      <c r="F8" s="3670"/>
      <c r="G8" s="3670"/>
      <c r="H8" s="3671"/>
      <c r="I8" s="3671"/>
      <c r="J8" s="1429"/>
      <c r="K8" s="1429"/>
      <c r="L8" s="1429"/>
      <c r="M8" s="1429"/>
      <c r="N8" s="1429"/>
      <c r="O8" s="1429"/>
      <c r="P8" s="1429"/>
      <c r="Q8" s="308"/>
      <c r="R8" s="308"/>
      <c r="S8" s="308"/>
      <c r="T8" s="308"/>
      <c r="U8" s="308"/>
      <c r="V8" s="1429"/>
      <c r="W8" s="308"/>
      <c r="X8" s="308"/>
      <c r="Y8" s="308"/>
      <c r="Z8" s="308"/>
      <c r="AA8" s="308"/>
      <c r="AB8" s="5"/>
      <c r="AC8" s="308"/>
      <c r="AD8" s="308"/>
      <c r="AE8" s="308"/>
      <c r="AF8" s="308"/>
      <c r="AG8" s="308"/>
      <c r="AH8" s="5"/>
      <c r="AI8"/>
      <c r="AJ8" s="108"/>
      <c r="AK8" s="108"/>
      <c r="AL8"/>
      <c r="AM8"/>
      <c r="AN8"/>
      <c r="AO8"/>
      <c r="AP8"/>
      <c r="AQ8"/>
      <c r="AR8"/>
      <c r="AS8" s="1429"/>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row>
    <row r="9" spans="1:71" s="79" customFormat="1" ht="42" customHeight="1">
      <c r="A9" s="1133" t="s">
        <v>194</v>
      </c>
      <c r="B9" s="1136" t="s">
        <v>200</v>
      </c>
      <c r="E9" s="3669" t="s">
        <v>459</v>
      </c>
      <c r="F9" s="3670"/>
      <c r="G9" s="3670"/>
      <c r="H9" s="3671"/>
      <c r="I9" s="3671"/>
      <c r="J9" s="565"/>
      <c r="K9" s="537"/>
      <c r="L9" s="538"/>
      <c r="M9" s="537"/>
      <c r="N9" s="538"/>
      <c r="O9" s="538"/>
      <c r="P9" s="538"/>
      <c r="Q9" s="565"/>
      <c r="R9" s="565"/>
      <c r="S9" s="565"/>
      <c r="T9" s="308"/>
      <c r="U9" s="308"/>
      <c r="V9" s="1429"/>
      <c r="W9" s="308"/>
      <c r="X9" s="308"/>
      <c r="Y9" s="308"/>
      <c r="Z9" s="308"/>
      <c r="AA9" s="308"/>
      <c r="AB9" s="5"/>
      <c r="AC9" s="308"/>
      <c r="AD9" s="308"/>
      <c r="AE9" s="308"/>
      <c r="AF9" s="308"/>
      <c r="AG9" s="308"/>
      <c r="AH9" s="5"/>
      <c r="AI9"/>
      <c r="AJ9" s="131"/>
      <c r="AK9" s="131"/>
      <c r="AL9" s="131"/>
      <c r="AM9" s="131"/>
      <c r="AN9" s="131"/>
      <c r="AO9" s="565"/>
      <c r="AP9" s="1016"/>
      <c r="AQ9" s="538"/>
      <c r="AR9" s="1016"/>
      <c r="AS9" s="538"/>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row>
    <row r="10" spans="1:71" s="79" customFormat="1" ht="36" customHeight="1">
      <c r="A10" s="1133" t="s">
        <v>287</v>
      </c>
      <c r="B10" s="1136" t="s">
        <v>288</v>
      </c>
      <c r="E10" s="3669" t="str">
        <f>CONCATENATE("Subject to cl.7.1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cl.7.1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0" s="3670"/>
      <c r="G10" s="3670"/>
      <c r="H10" s="3671"/>
      <c r="I10" s="3671"/>
      <c r="J10" s="565"/>
      <c r="K10" s="537"/>
      <c r="L10" s="538"/>
      <c r="M10" s="537"/>
      <c r="N10" s="538"/>
      <c r="O10" s="538"/>
      <c r="P10" s="538"/>
      <c r="Q10" s="565"/>
      <c r="R10" s="565"/>
      <c r="S10" s="565"/>
      <c r="T10" s="308"/>
      <c r="U10" s="308"/>
      <c r="V10" s="1429"/>
      <c r="W10" s="308"/>
      <c r="X10" s="308"/>
      <c r="Y10" s="308"/>
      <c r="Z10" s="308"/>
      <c r="AA10" s="308"/>
      <c r="AB10" s="5"/>
      <c r="AC10" s="308"/>
      <c r="AD10" s="308"/>
      <c r="AE10" s="308"/>
      <c r="AF10" s="308"/>
      <c r="AG10" s="308"/>
      <c r="AH10" s="5"/>
      <c r="AI10"/>
      <c r="AJ10" s="131"/>
      <c r="AK10" s="131"/>
      <c r="AL10" s="131"/>
      <c r="AM10" s="131"/>
      <c r="AN10" s="131"/>
      <c r="AO10" s="565"/>
      <c r="AP10" s="1016"/>
      <c r="AQ10" s="538"/>
      <c r="AR10" s="1016"/>
      <c r="AS10" s="538"/>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row>
    <row r="11" spans="1:71" s="79" customFormat="1" ht="35.25" customHeight="1" thickBot="1">
      <c r="A11" s="1134" t="s">
        <v>289</v>
      </c>
      <c r="B11" s="1137" t="s">
        <v>633</v>
      </c>
      <c r="E11" s="3669" t="s">
        <v>161</v>
      </c>
      <c r="F11" s="3670"/>
      <c r="G11" s="3670"/>
      <c r="H11" s="3671"/>
      <c r="I11" s="3671"/>
      <c r="J11" s="565"/>
      <c r="K11" s="537"/>
      <c r="L11" s="538"/>
      <c r="M11" s="537"/>
      <c r="N11" s="538"/>
      <c r="O11" s="538"/>
      <c r="P11" s="538"/>
      <c r="Q11" s="565"/>
      <c r="R11" s="565"/>
      <c r="S11" s="565"/>
      <c r="T11" s="308"/>
      <c r="U11" s="308"/>
      <c r="V11" s="1429"/>
      <c r="W11" s="308"/>
      <c r="X11" s="308"/>
      <c r="Y11" s="308"/>
      <c r="Z11" s="308"/>
      <c r="AA11" s="308"/>
      <c r="AB11" s="5"/>
      <c r="AC11" s="308"/>
      <c r="AD11" s="308"/>
      <c r="AE11" s="308"/>
      <c r="AF11" s="308"/>
      <c r="AG11" s="308"/>
      <c r="AH11" s="5"/>
      <c r="AI11"/>
      <c r="AJ11" s="131"/>
      <c r="AK11" s="131"/>
      <c r="AL11" s="131"/>
      <c r="AM11" s="131"/>
      <c r="AN11" s="131"/>
      <c r="AO11" s="565"/>
      <c r="AP11" s="1016"/>
      <c r="AQ11" s="538"/>
      <c r="AR11" s="1016"/>
      <c r="AS11" s="538"/>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row>
    <row r="12" spans="1:71" s="91" customFormat="1" ht="20.25">
      <c r="E12" s="92"/>
      <c r="F12" s="92"/>
      <c r="G12" s="92"/>
      <c r="H12" s="92"/>
      <c r="I12" s="92"/>
      <c r="J12" s="1462"/>
      <c r="K12" s="1462"/>
      <c r="L12" s="544"/>
      <c r="M12" s="544"/>
      <c r="N12" s="544"/>
      <c r="O12" s="544"/>
      <c r="P12" s="544"/>
      <c r="Q12" s="544"/>
      <c r="R12" s="544"/>
      <c r="S12" s="544"/>
      <c r="T12" s="544"/>
      <c r="U12" s="544"/>
      <c r="V12" s="1429"/>
      <c r="W12" s="544"/>
      <c r="X12" s="544"/>
      <c r="Y12" s="544"/>
      <c r="Z12" s="544"/>
      <c r="AA12" s="544"/>
      <c r="AB12" s="6"/>
      <c r="AC12" s="544"/>
      <c r="AD12" s="544"/>
      <c r="AE12" s="544"/>
      <c r="AF12" s="544"/>
      <c r="AG12" s="544"/>
      <c r="AH12" s="6"/>
      <c r="AI12"/>
      <c r="AJ12" s="108"/>
      <c r="AK12" s="108"/>
      <c r="AL12" s="230"/>
      <c r="AM12" s="230"/>
      <c r="AN12" s="230"/>
      <c r="AO12" s="1462"/>
      <c r="AP12" s="1462"/>
      <c r="AQ12" s="544"/>
      <c r="AR12" s="544"/>
      <c r="AS12" s="544"/>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row>
    <row r="13" spans="1:71" s="446" customFormat="1">
      <c r="J13" s="7"/>
      <c r="K13" s="7"/>
      <c r="L13" s="7"/>
      <c r="M13" s="7"/>
      <c r="N13" s="7"/>
      <c r="O13" s="7"/>
      <c r="P13" s="7"/>
      <c r="Q13" s="7"/>
      <c r="R13" s="7"/>
      <c r="S13" s="7"/>
      <c r="T13" s="7"/>
      <c r="U13" s="7"/>
      <c r="V13" s="1429"/>
      <c r="W13" s="1429"/>
      <c r="X13" s="7"/>
      <c r="Y13" s="7"/>
      <c r="Z13" s="7"/>
      <c r="AA13" s="7"/>
      <c r="AB13" s="11"/>
      <c r="AC13" s="11"/>
      <c r="AD13" s="7"/>
      <c r="AE13" s="7"/>
      <c r="AF13" s="7"/>
      <c r="AG13" s="7"/>
      <c r="AH13" s="11"/>
      <c r="AI13"/>
      <c r="AJ13" s="445"/>
      <c r="AO13" s="7"/>
      <c r="AP13" s="7"/>
      <c r="AQ13" s="7"/>
      <c r="AR13" s="7"/>
      <c r="AS13" s="7"/>
    </row>
    <row r="14" spans="1:71" s="446" customFormat="1" ht="13.5" thickBot="1">
      <c r="V14"/>
      <c r="W14" s="66"/>
      <c r="AB14" s="447"/>
      <c r="AC14" s="447"/>
      <c r="AH14" s="447"/>
      <c r="AI14"/>
      <c r="AJ14" s="445"/>
    </row>
    <row r="15" spans="1:71" s="444" customFormat="1" ht="28.5" customHeight="1" thickBot="1">
      <c r="E15" s="856" t="s">
        <v>518</v>
      </c>
      <c r="F15" s="856"/>
      <c r="G15" s="856"/>
      <c r="H15" s="856"/>
      <c r="I15" s="856"/>
      <c r="J15" s="856"/>
      <c r="K15" s="856"/>
      <c r="L15" s="856"/>
      <c r="M15" s="856"/>
      <c r="N15" s="856"/>
      <c r="O15" s="856"/>
      <c r="P15" s="856"/>
      <c r="Q15" s="856"/>
      <c r="R15" s="856"/>
      <c r="S15" s="856"/>
      <c r="T15" s="856"/>
      <c r="U15" s="856"/>
      <c r="V15" s="1427"/>
      <c r="W15" s="856"/>
      <c r="X15" s="856"/>
      <c r="Y15" s="856"/>
      <c r="Z15" s="856"/>
      <c r="AA15" s="856"/>
      <c r="AB15" s="856"/>
      <c r="AC15" s="856"/>
      <c r="AD15" s="856"/>
      <c r="AE15" s="856"/>
      <c r="AF15" s="856"/>
      <c r="AG15" s="856"/>
      <c r="AH15" s="856"/>
      <c r="AI15" s="1427"/>
      <c r="AL15" s="856" t="s">
        <v>681</v>
      </c>
      <c r="AM15" s="856"/>
      <c r="AN15" s="856"/>
      <c r="AO15" s="856"/>
      <c r="AP15" s="856"/>
      <c r="AQ15" s="856"/>
      <c r="AR15" s="856"/>
      <c r="AS15" s="1465"/>
    </row>
    <row r="16" spans="1:71" s="444" customFormat="1" ht="28.5" customHeight="1" thickBot="1">
      <c r="E16" s="1576" t="s">
        <v>678</v>
      </c>
      <c r="F16" s="1579"/>
      <c r="G16" s="1579"/>
      <c r="H16" s="1579"/>
      <c r="I16" s="1579"/>
      <c r="J16" s="1579"/>
      <c r="K16" s="1579"/>
      <c r="L16" s="1579"/>
      <c r="M16" s="1579"/>
      <c r="N16" s="1579"/>
      <c r="O16" s="1579"/>
      <c r="P16" s="1579"/>
      <c r="Q16" s="1579"/>
      <c r="R16" s="1579"/>
      <c r="S16" s="1579"/>
      <c r="T16" s="1579"/>
      <c r="U16" s="1579"/>
      <c r="V16" s="504"/>
      <c r="W16" s="1579"/>
      <c r="X16" s="1579"/>
      <c r="Y16" s="1579"/>
      <c r="Z16" s="1579"/>
      <c r="AA16" s="1579"/>
      <c r="AB16" s="1579"/>
      <c r="AC16" s="1579"/>
      <c r="AD16" s="1579"/>
      <c r="AE16" s="1579"/>
      <c r="AF16" s="1579"/>
      <c r="AG16" s="1579"/>
      <c r="AH16" s="1580"/>
      <c r="AI16"/>
      <c r="AL16" s="2132"/>
      <c r="AM16" s="1579"/>
      <c r="AN16" s="1579"/>
      <c r="AO16" s="1579"/>
      <c r="AP16" s="1579"/>
      <c r="AQ16" s="1579"/>
      <c r="AR16" s="1579"/>
      <c r="AS16" s="1580"/>
    </row>
    <row r="17" spans="5:45" s="446" customFormat="1" ht="24" customHeight="1" thickBot="1">
      <c r="E17" s="298" t="s">
        <v>677</v>
      </c>
      <c r="F17" s="315"/>
      <c r="G17" s="509"/>
      <c r="H17" s="509"/>
      <c r="I17" s="509"/>
      <c r="J17" s="509"/>
      <c r="K17" s="509"/>
      <c r="L17" s="509"/>
      <c r="M17" s="509"/>
      <c r="N17" s="509"/>
      <c r="O17" s="509"/>
      <c r="P17" s="509"/>
      <c r="Q17" s="509"/>
      <c r="R17" s="509"/>
      <c r="S17" s="509"/>
      <c r="T17" s="509"/>
      <c r="U17" s="478"/>
      <c r="V17"/>
      <c r="W17" s="298"/>
      <c r="X17" s="315"/>
      <c r="Y17" s="315"/>
      <c r="Z17" s="315"/>
      <c r="AA17" s="315"/>
      <c r="AB17" s="317"/>
      <c r="AC17" s="315"/>
      <c r="AD17" s="315"/>
      <c r="AE17" s="315"/>
      <c r="AF17" s="315"/>
      <c r="AG17" s="315"/>
      <c r="AH17" s="318"/>
      <c r="AI17"/>
      <c r="AL17" s="509"/>
      <c r="AM17" s="509"/>
      <c r="AN17" s="509"/>
      <c r="AO17" s="509"/>
      <c r="AP17" s="509"/>
      <c r="AQ17" s="509"/>
      <c r="AR17" s="509"/>
      <c r="AS17" s="509"/>
    </row>
    <row r="18" spans="5:45" s="66" customFormat="1" ht="18">
      <c r="E18" s="3672"/>
      <c r="F18" s="3673"/>
      <c r="G18" s="3620" t="s">
        <v>36</v>
      </c>
      <c r="H18" s="3549"/>
      <c r="I18" s="3549"/>
      <c r="J18" s="3549"/>
      <c r="K18" s="3549"/>
      <c r="L18" s="3602" t="s">
        <v>37</v>
      </c>
      <c r="M18" s="3603"/>
      <c r="N18" s="3603"/>
      <c r="O18" s="3603"/>
      <c r="P18" s="3603"/>
      <c r="Q18" s="3543" t="s">
        <v>73</v>
      </c>
      <c r="R18" s="3543"/>
      <c r="S18" s="3543"/>
      <c r="T18" s="3543"/>
      <c r="U18" s="3678"/>
      <c r="V18"/>
      <c r="W18" s="3620" t="s">
        <v>36</v>
      </c>
      <c r="X18" s="3679"/>
      <c r="Y18" s="3679"/>
      <c r="Z18" s="3679"/>
      <c r="AA18" s="3679"/>
      <c r="AB18" s="3680"/>
      <c r="AC18" s="3602" t="s">
        <v>37</v>
      </c>
      <c r="AD18" s="3646"/>
      <c r="AE18" s="3646"/>
      <c r="AF18" s="3646"/>
      <c r="AG18" s="3646"/>
      <c r="AH18" s="3647"/>
      <c r="AI18"/>
      <c r="AL18" s="3601" t="s">
        <v>36</v>
      </c>
      <c r="AM18" s="3549"/>
      <c r="AN18" s="3549"/>
      <c r="AO18" s="3549"/>
      <c r="AP18" s="3549"/>
      <c r="AQ18" s="3602" t="s">
        <v>37</v>
      </c>
      <c r="AR18" s="3603"/>
      <c r="AS18" s="3604"/>
    </row>
    <row r="19" spans="5:45" s="66" customFormat="1" ht="15" customHeight="1">
      <c r="E19" s="3674"/>
      <c r="F19" s="3675"/>
      <c r="G19" s="3550" t="s">
        <v>579</v>
      </c>
      <c r="H19" s="3551"/>
      <c r="I19" s="3551"/>
      <c r="J19" s="3551"/>
      <c r="K19" s="3551"/>
      <c r="L19" s="3551"/>
      <c r="M19" s="3551"/>
      <c r="N19" s="3595"/>
      <c r="O19" s="3589" t="str">
        <f>CONCATENATE("$0's, real ",dms_DollarReal)</f>
        <v>$0's, real December 2017</v>
      </c>
      <c r="P19" s="3590"/>
      <c r="Q19" s="3590"/>
      <c r="R19" s="3590"/>
      <c r="S19" s="3590"/>
      <c r="T19" s="3590"/>
      <c r="U19" s="3591"/>
      <c r="V19"/>
      <c r="W19" s="3592" t="str">
        <f>CONCATENATE("$0's, real ",dms_DollarReal)</f>
        <v>$0's, real December 2017</v>
      </c>
      <c r="X19" s="3593"/>
      <c r="Y19" s="3593"/>
      <c r="Z19" s="3593"/>
      <c r="AA19" s="3593"/>
      <c r="AB19" s="456" t="s">
        <v>118</v>
      </c>
      <c r="AC19" s="3594" t="str">
        <f>CONCATENATE("$0's, real ",dms_DollarReal)</f>
        <v>$0's, real December 2017</v>
      </c>
      <c r="AD19" s="3594"/>
      <c r="AE19" s="3594"/>
      <c r="AF19" s="3594"/>
      <c r="AG19" s="3594"/>
      <c r="AH19" s="455" t="s">
        <v>118</v>
      </c>
      <c r="AI19"/>
      <c r="AL19" s="3550" t="str">
        <f>CONCATENATE("$0's, real ",dms_DollarReal)</f>
        <v>$0's, real December 2017</v>
      </c>
      <c r="AM19" s="3551"/>
      <c r="AN19" s="3551"/>
      <c r="AO19" s="3551"/>
      <c r="AP19" s="3551"/>
      <c r="AQ19" s="3551"/>
      <c r="AR19" s="3551"/>
      <c r="AS19" s="3552"/>
    </row>
    <row r="20" spans="5:45" s="66" customFormat="1" ht="25.5">
      <c r="E20" s="3674"/>
      <c r="F20" s="3675"/>
      <c r="G20" s="3550" t="s">
        <v>54</v>
      </c>
      <c r="H20" s="3551"/>
      <c r="I20" s="3551"/>
      <c r="J20" s="3551"/>
      <c r="K20" s="3551"/>
      <c r="L20" s="3551"/>
      <c r="M20" s="3551"/>
      <c r="N20" s="3595"/>
      <c r="O20" s="3589" t="s">
        <v>55</v>
      </c>
      <c r="P20" s="3590"/>
      <c r="Q20" s="3590"/>
      <c r="R20" s="3590"/>
      <c r="S20" s="3590"/>
      <c r="T20" s="3590"/>
      <c r="U20" s="3591"/>
      <c r="V20"/>
      <c r="W20" s="3592" t="s">
        <v>74</v>
      </c>
      <c r="X20" s="3593"/>
      <c r="Y20" s="3593"/>
      <c r="Z20" s="3593"/>
      <c r="AA20" s="3593"/>
      <c r="AB20" s="400" t="s">
        <v>117</v>
      </c>
      <c r="AC20" s="3594" t="s">
        <v>74</v>
      </c>
      <c r="AD20" s="3594"/>
      <c r="AE20" s="3594"/>
      <c r="AF20" s="3594"/>
      <c r="AG20" s="3594"/>
      <c r="AH20" s="400" t="s">
        <v>117</v>
      </c>
      <c r="AI20"/>
      <c r="AL20" s="3550" t="s">
        <v>54</v>
      </c>
      <c r="AM20" s="3551"/>
      <c r="AN20" s="3551"/>
      <c r="AO20" s="3551"/>
      <c r="AP20" s="3551"/>
      <c r="AQ20" s="3551"/>
      <c r="AR20" s="3551"/>
      <c r="AS20" s="3552"/>
    </row>
    <row r="21" spans="5:45" s="66" customFormat="1" ht="15.75" thickBot="1">
      <c r="E21" s="3676"/>
      <c r="F21" s="3677"/>
      <c r="G21" s="391">
        <f t="array" ref="G21:K21">PRCP</f>
        <v>2008</v>
      </c>
      <c r="H21" s="390">
        <v>2009</v>
      </c>
      <c r="I21" s="390">
        <v>2010</v>
      </c>
      <c r="J21" s="390">
        <v>2011</v>
      </c>
      <c r="K21" s="390">
        <v>2012</v>
      </c>
      <c r="L21" s="392">
        <f>CRCP_y1</f>
        <v>2013</v>
      </c>
      <c r="M21" s="392">
        <f>CRCP_y2</f>
        <v>2014</v>
      </c>
      <c r="N21" s="392">
        <f>CRCP_y3</f>
        <v>2015</v>
      </c>
      <c r="O21" s="392">
        <f>CRCP_y4</f>
        <v>2016</v>
      </c>
      <c r="P21" s="392">
        <f>CRCP_y5</f>
        <v>2017</v>
      </c>
      <c r="Q21" s="390" t="str">
        <f t="array" ref="Q21:U21">FRCP</f>
        <v>2018</v>
      </c>
      <c r="R21" s="390">
        <v>2019</v>
      </c>
      <c r="S21" s="390">
        <v>2020</v>
      </c>
      <c r="T21" s="390">
        <v>2021</v>
      </c>
      <c r="U21" s="498">
        <v>2022</v>
      </c>
      <c r="V21"/>
      <c r="W21" s="391">
        <f t="array" ref="W21:AA21">PRCP</f>
        <v>2008</v>
      </c>
      <c r="X21" s="390">
        <v>2009</v>
      </c>
      <c r="Y21" s="390">
        <v>2010</v>
      </c>
      <c r="Z21" s="390">
        <v>2011</v>
      </c>
      <c r="AA21" s="390">
        <v>2012</v>
      </c>
      <c r="AB21" s="16" t="s">
        <v>116</v>
      </c>
      <c r="AC21" s="392">
        <f>CRCP_y1</f>
        <v>2013</v>
      </c>
      <c r="AD21" s="392">
        <f>CRCP_y2</f>
        <v>2014</v>
      </c>
      <c r="AE21" s="392">
        <f>CRCP_y3</f>
        <v>2015</v>
      </c>
      <c r="AF21" s="392">
        <f>CRCP_y4</f>
        <v>2016</v>
      </c>
      <c r="AG21" s="392">
        <f>CRCP_y5</f>
        <v>2017</v>
      </c>
      <c r="AH21" s="16" t="s">
        <v>116</v>
      </c>
      <c r="AI21"/>
      <c r="AL21" s="1789">
        <f t="array" ref="AL21:AP21">PRCP</f>
        <v>2008</v>
      </c>
      <c r="AM21" s="390">
        <v>2009</v>
      </c>
      <c r="AN21" s="390">
        <v>2010</v>
      </c>
      <c r="AO21" s="390">
        <v>2011</v>
      </c>
      <c r="AP21" s="390">
        <v>2012</v>
      </c>
      <c r="AQ21" s="392">
        <f>CRCP_y1</f>
        <v>2013</v>
      </c>
      <c r="AR21" s="392">
        <f>CRCP_y2</f>
        <v>2014</v>
      </c>
      <c r="AS21" s="603">
        <f>CRCP_y3</f>
        <v>2015</v>
      </c>
    </row>
    <row r="22" spans="5:45" ht="12.75" customHeight="1">
      <c r="E22" s="3666" t="s">
        <v>290</v>
      </c>
      <c r="F22" s="487" t="s">
        <v>115</v>
      </c>
      <c r="G22" s="1327"/>
      <c r="H22" s="1328"/>
      <c r="I22" s="1328"/>
      <c r="J22" s="1328"/>
      <c r="K22" s="1329"/>
      <c r="L22" s="2025"/>
      <c r="M22" s="475"/>
      <c r="N22" s="475"/>
      <c r="O22" s="475"/>
      <c r="P22" s="1291"/>
      <c r="Q22" s="1330"/>
      <c r="R22" s="1331"/>
      <c r="S22" s="1331"/>
      <c r="T22" s="1331"/>
      <c r="U22" s="1332"/>
      <c r="W22" s="1290"/>
      <c r="X22" s="475"/>
      <c r="Y22" s="475"/>
      <c r="Z22" s="475"/>
      <c r="AA22" s="1291"/>
      <c r="AB22" s="1292" t="e">
        <f t="shared" ref="AB22:AB27" si="0">SUM(G22:K22)/SUM(W22:AA22)-1</f>
        <v>#DIV/0!</v>
      </c>
      <c r="AC22" s="1290"/>
      <c r="AD22" s="475"/>
      <c r="AE22" s="475"/>
      <c r="AF22" s="475"/>
      <c r="AG22" s="475"/>
      <c r="AH22" s="1293" t="e">
        <f t="shared" ref="AH22:AH27" si="1">SUM(L22:P22)/SUM(AC22:AG22)-1</f>
        <v>#DIV/0!</v>
      </c>
      <c r="AI22" s="66"/>
      <c r="AL22" s="1327"/>
      <c r="AM22" s="1328"/>
      <c r="AN22" s="1328"/>
      <c r="AO22" s="1328"/>
      <c r="AP22" s="1329"/>
      <c r="AQ22" s="2025"/>
      <c r="AR22" s="475"/>
      <c r="AS22" s="1291"/>
    </row>
    <row r="23" spans="5:45" ht="12.75" customHeight="1">
      <c r="E23" s="3667"/>
      <c r="F23" s="1715" t="s">
        <v>624</v>
      </c>
      <c r="G23" s="1333"/>
      <c r="H23" s="1334"/>
      <c r="I23" s="1334"/>
      <c r="J23" s="1334"/>
      <c r="K23" s="1335"/>
      <c r="L23" s="301"/>
      <c r="M23" s="516"/>
      <c r="N23" s="516"/>
      <c r="O23" s="516"/>
      <c r="P23" s="327"/>
      <c r="Q23" s="1193"/>
      <c r="R23" s="516"/>
      <c r="S23" s="516"/>
      <c r="T23" s="516"/>
      <c r="U23" s="327"/>
      <c r="W23" s="301"/>
      <c r="X23" s="516"/>
      <c r="Y23" s="516"/>
      <c r="Z23" s="516"/>
      <c r="AA23" s="327"/>
      <c r="AB23" s="1288" t="e">
        <f t="shared" si="0"/>
        <v>#DIV/0!</v>
      </c>
      <c r="AC23" s="301"/>
      <c r="AD23" s="516"/>
      <c r="AE23" s="516"/>
      <c r="AF23" s="516"/>
      <c r="AG23" s="516"/>
      <c r="AH23" s="1294" t="e">
        <f t="shared" si="1"/>
        <v>#DIV/0!</v>
      </c>
      <c r="AI23" s="66"/>
      <c r="AL23" s="1333"/>
      <c r="AM23" s="1334"/>
      <c r="AN23" s="1334"/>
      <c r="AO23" s="1334"/>
      <c r="AP23" s="1335"/>
      <c r="AQ23" s="305"/>
      <c r="AR23" s="521"/>
      <c r="AS23" s="329"/>
    </row>
    <row r="24" spans="5:45" ht="12.75" customHeight="1">
      <c r="E24" s="3667"/>
      <c r="F24" s="1715" t="s">
        <v>625</v>
      </c>
      <c r="G24" s="1333"/>
      <c r="H24" s="1334"/>
      <c r="I24" s="1334"/>
      <c r="J24" s="1334"/>
      <c r="K24" s="1335"/>
      <c r="L24" s="301"/>
      <c r="M24" s="516"/>
      <c r="N24" s="516"/>
      <c r="O24" s="516"/>
      <c r="P24" s="327"/>
      <c r="Q24" s="1193"/>
      <c r="R24" s="516"/>
      <c r="S24" s="516"/>
      <c r="T24" s="516"/>
      <c r="U24" s="327"/>
      <c r="W24" s="301"/>
      <c r="X24" s="516"/>
      <c r="Y24" s="516"/>
      <c r="Z24" s="516"/>
      <c r="AA24" s="327"/>
      <c r="AB24" s="1288" t="e">
        <f t="shared" si="0"/>
        <v>#DIV/0!</v>
      </c>
      <c r="AC24" s="301"/>
      <c r="AD24" s="516"/>
      <c r="AE24" s="516"/>
      <c r="AF24" s="516"/>
      <c r="AG24" s="516"/>
      <c r="AH24" s="1294" t="e">
        <f t="shared" si="1"/>
        <v>#DIV/0!</v>
      </c>
      <c r="AI24" s="66"/>
      <c r="AL24" s="1333"/>
      <c r="AM24" s="1334"/>
      <c r="AN24" s="1334"/>
      <c r="AO24" s="1334"/>
      <c r="AP24" s="1335"/>
      <c r="AQ24" s="305"/>
      <c r="AR24" s="521"/>
      <c r="AS24" s="329"/>
    </row>
    <row r="25" spans="5:45" ht="12.75" customHeight="1">
      <c r="E25" s="3667"/>
      <c r="F25" s="1715" t="s">
        <v>626</v>
      </c>
      <c r="G25" s="1333"/>
      <c r="H25" s="1334"/>
      <c r="I25" s="1334"/>
      <c r="J25" s="1334"/>
      <c r="K25" s="1335"/>
      <c r="L25" s="301"/>
      <c r="M25" s="516"/>
      <c r="N25" s="516"/>
      <c r="O25" s="516"/>
      <c r="P25" s="327"/>
      <c r="Q25" s="1193"/>
      <c r="R25" s="516"/>
      <c r="S25" s="516"/>
      <c r="T25" s="516"/>
      <c r="U25" s="327"/>
      <c r="W25" s="301"/>
      <c r="X25" s="516"/>
      <c r="Y25" s="516"/>
      <c r="Z25" s="516"/>
      <c r="AA25" s="327"/>
      <c r="AB25" s="1288" t="e">
        <f t="shared" si="0"/>
        <v>#DIV/0!</v>
      </c>
      <c r="AC25" s="301"/>
      <c r="AD25" s="516"/>
      <c r="AE25" s="516"/>
      <c r="AF25" s="516"/>
      <c r="AG25" s="516"/>
      <c r="AH25" s="1294" t="e">
        <f t="shared" si="1"/>
        <v>#DIV/0!</v>
      </c>
      <c r="AI25" s="66"/>
      <c r="AL25" s="1333"/>
      <c r="AM25" s="1334"/>
      <c r="AN25" s="1334"/>
      <c r="AO25" s="1334"/>
      <c r="AP25" s="1335"/>
      <c r="AQ25" s="305"/>
      <c r="AR25" s="521"/>
      <c r="AS25" s="329"/>
    </row>
    <row r="26" spans="5:45" ht="12.75" customHeight="1">
      <c r="E26" s="3667"/>
      <c r="F26" s="1715" t="s">
        <v>627</v>
      </c>
      <c r="G26" s="1333"/>
      <c r="H26" s="1334"/>
      <c r="I26" s="1334"/>
      <c r="J26" s="1334"/>
      <c r="K26" s="1335"/>
      <c r="L26" s="301"/>
      <c r="M26" s="516"/>
      <c r="N26" s="516"/>
      <c r="O26" s="516"/>
      <c r="P26" s="327"/>
      <c r="Q26" s="1193"/>
      <c r="R26" s="516"/>
      <c r="S26" s="516"/>
      <c r="T26" s="516"/>
      <c r="U26" s="327"/>
      <c r="W26" s="301"/>
      <c r="X26" s="516"/>
      <c r="Y26" s="516"/>
      <c r="Z26" s="516"/>
      <c r="AA26" s="327"/>
      <c r="AB26" s="1288" t="e">
        <f t="shared" si="0"/>
        <v>#DIV/0!</v>
      </c>
      <c r="AC26" s="301"/>
      <c r="AD26" s="516"/>
      <c r="AE26" s="516"/>
      <c r="AF26" s="516"/>
      <c r="AG26" s="516"/>
      <c r="AH26" s="1294" t="e">
        <f t="shared" si="1"/>
        <v>#DIV/0!</v>
      </c>
      <c r="AI26" s="66"/>
      <c r="AL26" s="1333"/>
      <c r="AM26" s="1334"/>
      <c r="AN26" s="1334"/>
      <c r="AO26" s="1334"/>
      <c r="AP26" s="1335"/>
      <c r="AQ26" s="305"/>
      <c r="AR26" s="521"/>
      <c r="AS26" s="329"/>
    </row>
    <row r="27" spans="5:45" ht="12.75" customHeight="1">
      <c r="E27" s="3667"/>
      <c r="F27" s="1715" t="s">
        <v>628</v>
      </c>
      <c r="G27" s="1333"/>
      <c r="H27" s="1334"/>
      <c r="I27" s="1334"/>
      <c r="J27" s="1334"/>
      <c r="K27" s="1335"/>
      <c r="L27" s="253">
        <f>SUM(L22:L26)</f>
        <v>0</v>
      </c>
      <c r="M27" s="511">
        <f t="shared" ref="M27:AA27" si="2">SUM(M22:M26)</f>
        <v>0</v>
      </c>
      <c r="N27" s="511">
        <f t="shared" si="2"/>
        <v>0</v>
      </c>
      <c r="O27" s="511">
        <f t="shared" si="2"/>
        <v>0</v>
      </c>
      <c r="P27" s="512">
        <f t="shared" si="2"/>
        <v>0</v>
      </c>
      <c r="Q27" s="270">
        <f t="shared" si="2"/>
        <v>0</v>
      </c>
      <c r="R27" s="511">
        <f t="shared" si="2"/>
        <v>0</v>
      </c>
      <c r="S27" s="511">
        <f t="shared" si="2"/>
        <v>0</v>
      </c>
      <c r="T27" s="511">
        <f t="shared" si="2"/>
        <v>0</v>
      </c>
      <c r="U27" s="512">
        <f t="shared" si="2"/>
        <v>0</v>
      </c>
      <c r="W27" s="253">
        <f t="shared" si="2"/>
        <v>0</v>
      </c>
      <c r="X27" s="511">
        <f t="shared" si="2"/>
        <v>0</v>
      </c>
      <c r="Y27" s="511">
        <f t="shared" si="2"/>
        <v>0</v>
      </c>
      <c r="Z27" s="511">
        <f t="shared" si="2"/>
        <v>0</v>
      </c>
      <c r="AA27" s="512">
        <f t="shared" si="2"/>
        <v>0</v>
      </c>
      <c r="AB27" s="1288" t="e">
        <f t="shared" si="0"/>
        <v>#DIV/0!</v>
      </c>
      <c r="AC27" s="253">
        <f t="shared" ref="AC27:AG27" si="3">SUM(AC22:AC26)</f>
        <v>0</v>
      </c>
      <c r="AD27" s="511">
        <f t="shared" si="3"/>
        <v>0</v>
      </c>
      <c r="AE27" s="511">
        <f t="shared" si="3"/>
        <v>0</v>
      </c>
      <c r="AF27" s="511">
        <f t="shared" si="3"/>
        <v>0</v>
      </c>
      <c r="AG27" s="511">
        <f t="shared" si="3"/>
        <v>0</v>
      </c>
      <c r="AH27" s="1295" t="e">
        <f t="shared" si="1"/>
        <v>#DIV/0!</v>
      </c>
      <c r="AI27" s="66"/>
      <c r="AL27" s="1333"/>
      <c r="AM27" s="1334"/>
      <c r="AN27" s="1334"/>
      <c r="AO27" s="1334"/>
      <c r="AP27" s="1335"/>
      <c r="AQ27" s="253">
        <f>SUM(AQ22:AQ26)</f>
        <v>0</v>
      </c>
      <c r="AR27" s="511">
        <f t="shared" ref="AR27:AS27" si="4">SUM(AR22:AR26)</f>
        <v>0</v>
      </c>
      <c r="AS27" s="512">
        <f t="shared" si="4"/>
        <v>0</v>
      </c>
    </row>
    <row r="28" spans="5:45">
      <c r="E28" s="3667"/>
      <c r="F28" s="1716" t="s">
        <v>623</v>
      </c>
      <c r="G28" s="1336"/>
      <c r="H28" s="1337"/>
      <c r="I28" s="1337"/>
      <c r="J28" s="1337"/>
      <c r="K28" s="1338"/>
      <c r="L28" s="304"/>
      <c r="M28" s="520"/>
      <c r="N28" s="520"/>
      <c r="O28" s="520"/>
      <c r="P28" s="328"/>
      <c r="Q28" s="1202"/>
      <c r="R28" s="520"/>
      <c r="S28" s="520"/>
      <c r="T28" s="520"/>
      <c r="U28" s="328"/>
      <c r="W28" s="304"/>
      <c r="X28" s="520"/>
      <c r="Y28" s="520"/>
      <c r="Z28" s="520"/>
      <c r="AA28" s="328"/>
      <c r="AB28" s="1233"/>
      <c r="AC28" s="304"/>
      <c r="AD28" s="520"/>
      <c r="AE28" s="520"/>
      <c r="AF28" s="520"/>
      <c r="AG28" s="520"/>
      <c r="AH28" s="1296"/>
      <c r="AI28" s="66"/>
      <c r="AL28" s="1336"/>
      <c r="AM28" s="1337"/>
      <c r="AN28" s="1337"/>
      <c r="AO28" s="1337"/>
      <c r="AP28" s="1338"/>
      <c r="AQ28" s="304"/>
      <c r="AR28" s="520"/>
      <c r="AS28" s="328"/>
    </row>
    <row r="29" spans="5:45">
      <c r="E29" s="3667"/>
      <c r="F29" s="1717" t="s">
        <v>629</v>
      </c>
      <c r="G29" s="1333"/>
      <c r="H29" s="1334"/>
      <c r="I29" s="1334"/>
      <c r="J29" s="1334"/>
      <c r="K29" s="1335"/>
      <c r="L29" s="301"/>
      <c r="M29" s="516"/>
      <c r="N29" s="516"/>
      <c r="O29" s="516"/>
      <c r="P29" s="327"/>
      <c r="Q29" s="1193"/>
      <c r="R29" s="516"/>
      <c r="S29" s="516"/>
      <c r="T29" s="516"/>
      <c r="U29" s="327"/>
      <c r="W29" s="301"/>
      <c r="X29" s="516"/>
      <c r="Y29" s="516"/>
      <c r="Z29" s="516"/>
      <c r="AA29" s="327"/>
      <c r="AB29" s="1288"/>
      <c r="AC29" s="301"/>
      <c r="AD29" s="516"/>
      <c r="AE29" s="516"/>
      <c r="AF29" s="516"/>
      <c r="AG29" s="516"/>
      <c r="AH29" s="1294"/>
      <c r="AI29" s="66"/>
      <c r="AL29" s="1333"/>
      <c r="AM29" s="1334"/>
      <c r="AN29" s="1334"/>
      <c r="AO29" s="1334"/>
      <c r="AP29" s="1335"/>
      <c r="AQ29" s="305"/>
      <c r="AR29" s="521"/>
      <c r="AS29" s="329"/>
    </row>
    <row r="30" spans="5:45">
      <c r="E30" s="3667"/>
      <c r="F30" s="485" t="s">
        <v>594</v>
      </c>
      <c r="G30" s="1333"/>
      <c r="H30" s="1334"/>
      <c r="I30" s="1334"/>
      <c r="J30" s="1334"/>
      <c r="K30" s="1335"/>
      <c r="L30" s="301"/>
      <c r="M30" s="516"/>
      <c r="N30" s="516"/>
      <c r="O30" s="516"/>
      <c r="P30" s="327"/>
      <c r="Q30" s="1193"/>
      <c r="R30" s="516"/>
      <c r="S30" s="516"/>
      <c r="T30" s="516"/>
      <c r="U30" s="327"/>
      <c r="W30" s="301"/>
      <c r="X30" s="516"/>
      <c r="Y30" s="516"/>
      <c r="Z30" s="516"/>
      <c r="AA30" s="327"/>
      <c r="AB30" s="1288"/>
      <c r="AC30" s="301"/>
      <c r="AD30" s="516"/>
      <c r="AE30" s="516"/>
      <c r="AF30" s="516"/>
      <c r="AG30" s="516"/>
      <c r="AH30" s="1294"/>
      <c r="AI30" s="66"/>
      <c r="AL30" s="1333"/>
      <c r="AM30" s="1334"/>
      <c r="AN30" s="1334"/>
      <c r="AO30" s="1334"/>
      <c r="AP30" s="1335"/>
      <c r="AQ30" s="305"/>
      <c r="AR30" s="521"/>
      <c r="AS30" s="329"/>
    </row>
    <row r="31" spans="5:45">
      <c r="E31" s="3667"/>
      <c r="F31" s="485" t="s">
        <v>595</v>
      </c>
      <c r="G31" s="1333"/>
      <c r="H31" s="1334"/>
      <c r="I31" s="1334"/>
      <c r="J31" s="1334"/>
      <c r="K31" s="1335"/>
      <c r="L31" s="301"/>
      <c r="M31" s="516"/>
      <c r="N31" s="516"/>
      <c r="O31" s="516"/>
      <c r="P31" s="327"/>
      <c r="Q31" s="1193"/>
      <c r="R31" s="516"/>
      <c r="S31" s="516"/>
      <c r="T31" s="516"/>
      <c r="U31" s="327"/>
      <c r="W31" s="301"/>
      <c r="X31" s="516"/>
      <c r="Y31" s="516"/>
      <c r="Z31" s="516"/>
      <c r="AA31" s="327"/>
      <c r="AB31" s="1288"/>
      <c r="AC31" s="301"/>
      <c r="AD31" s="516"/>
      <c r="AE31" s="516"/>
      <c r="AF31" s="516"/>
      <c r="AG31" s="516"/>
      <c r="AH31" s="1294"/>
      <c r="AI31" s="66"/>
      <c r="AL31" s="1333"/>
      <c r="AM31" s="1334"/>
      <c r="AN31" s="1334"/>
      <c r="AO31" s="1334"/>
      <c r="AP31" s="1335"/>
      <c r="AQ31" s="305"/>
      <c r="AR31" s="521"/>
      <c r="AS31" s="329"/>
    </row>
    <row r="32" spans="5:45">
      <c r="E32" s="3667"/>
      <c r="F32" s="485" t="s">
        <v>614</v>
      </c>
      <c r="G32" s="1339"/>
      <c r="H32" s="1340"/>
      <c r="I32" s="1340"/>
      <c r="J32" s="1340"/>
      <c r="K32" s="1341"/>
      <c r="L32" s="305"/>
      <c r="M32" s="511"/>
      <c r="N32" s="511"/>
      <c r="O32" s="511"/>
      <c r="P32" s="512"/>
      <c r="Q32" s="270"/>
      <c r="R32" s="511"/>
      <c r="S32" s="511"/>
      <c r="T32" s="511"/>
      <c r="U32" s="512"/>
      <c r="W32" s="253"/>
      <c r="X32" s="511"/>
      <c r="Y32" s="511"/>
      <c r="Z32" s="511"/>
      <c r="AA32" s="512"/>
      <c r="AB32" s="1288"/>
      <c r="AC32" s="253"/>
      <c r="AD32" s="511"/>
      <c r="AE32" s="511"/>
      <c r="AF32" s="511"/>
      <c r="AG32" s="511"/>
      <c r="AH32" s="1295"/>
      <c r="AI32" s="66"/>
      <c r="AL32" s="1339"/>
      <c r="AM32" s="1340"/>
      <c r="AN32" s="1340"/>
      <c r="AO32" s="1340"/>
      <c r="AP32" s="1341"/>
      <c r="AQ32" s="305"/>
      <c r="AR32" s="511"/>
      <c r="AS32" s="512"/>
    </row>
    <row r="33" spans="5:70">
      <c r="E33" s="3667"/>
      <c r="F33" s="1718" t="s">
        <v>615</v>
      </c>
      <c r="G33" s="1336"/>
      <c r="H33" s="1337"/>
      <c r="I33" s="1337"/>
      <c r="J33" s="1337"/>
      <c r="K33" s="1338"/>
      <c r="L33" s="304">
        <f>SUM(L30:L32)</f>
        <v>0</v>
      </c>
      <c r="M33" s="520">
        <f t="shared" ref="M33:P33" si="5">SUM(M30:M32)</f>
        <v>0</v>
      </c>
      <c r="N33" s="520">
        <f t="shared" si="5"/>
        <v>0</v>
      </c>
      <c r="O33" s="520">
        <f t="shared" si="5"/>
        <v>0</v>
      </c>
      <c r="P33" s="328">
        <f t="shared" si="5"/>
        <v>0</v>
      </c>
      <c r="Q33" s="1202">
        <f>SUM(Q30:Q32)</f>
        <v>0</v>
      </c>
      <c r="R33" s="520">
        <f t="shared" ref="R33:Z33" si="6">SUM(R30:R32)</f>
        <v>0</v>
      </c>
      <c r="S33" s="520">
        <f t="shared" si="6"/>
        <v>0</v>
      </c>
      <c r="T33" s="520">
        <f t="shared" si="6"/>
        <v>0</v>
      </c>
      <c r="U33" s="328">
        <f t="shared" si="6"/>
        <v>0</v>
      </c>
      <c r="W33" s="304">
        <f t="shared" si="6"/>
        <v>0</v>
      </c>
      <c r="X33" s="520">
        <f t="shared" si="6"/>
        <v>0</v>
      </c>
      <c r="Y33" s="520">
        <f t="shared" si="6"/>
        <v>0</v>
      </c>
      <c r="Z33" s="520">
        <f t="shared" si="6"/>
        <v>0</v>
      </c>
      <c r="AA33" s="328">
        <f>SUM(AA30:AA32)</f>
        <v>0</v>
      </c>
      <c r="AB33" s="1233" t="e">
        <f>SUM(G33:K33)/SUM(W33:AA33)-1</f>
        <v>#DIV/0!</v>
      </c>
      <c r="AC33" s="304">
        <f t="shared" ref="AC33:AG33" si="7">SUM(AC30:AC32)</f>
        <v>0</v>
      </c>
      <c r="AD33" s="520">
        <f t="shared" si="7"/>
        <v>0</v>
      </c>
      <c r="AE33" s="520">
        <f t="shared" si="7"/>
        <v>0</v>
      </c>
      <c r="AF33" s="520">
        <f t="shared" si="7"/>
        <v>0</v>
      </c>
      <c r="AG33" s="520">
        <f t="shared" si="7"/>
        <v>0</v>
      </c>
      <c r="AH33" s="1296" t="e">
        <f>SUM(L33:P33)/SUM(AC33:AG33)-1</f>
        <v>#DIV/0!</v>
      </c>
      <c r="AI33" s="66"/>
      <c r="AL33" s="1336"/>
      <c r="AM33" s="1337"/>
      <c r="AN33" s="1337"/>
      <c r="AO33" s="1337"/>
      <c r="AP33" s="1338"/>
      <c r="AQ33" s="304">
        <f>SUM(AQ30:AQ32)</f>
        <v>0</v>
      </c>
      <c r="AR33" s="520">
        <f t="shared" ref="AR33:AS33" si="8">SUM(AR30:AR32)</f>
        <v>0</v>
      </c>
      <c r="AS33" s="328">
        <f t="shared" si="8"/>
        <v>0</v>
      </c>
    </row>
    <row r="34" spans="5:70" ht="13.5" thickBot="1">
      <c r="E34" s="3667"/>
      <c r="F34" s="1282" t="s">
        <v>619</v>
      </c>
      <c r="G34" s="301"/>
      <c r="H34" s="516"/>
      <c r="I34" s="516"/>
      <c r="J34" s="516"/>
      <c r="K34" s="327"/>
      <c r="L34" s="253"/>
      <c r="M34" s="511"/>
      <c r="N34" s="511"/>
      <c r="O34" s="511"/>
      <c r="P34" s="512"/>
      <c r="Q34" s="270"/>
      <c r="R34" s="511"/>
      <c r="S34" s="511"/>
      <c r="T34" s="511"/>
      <c r="U34" s="512"/>
      <c r="W34" s="2070"/>
      <c r="X34" s="2071"/>
      <c r="Y34" s="2071"/>
      <c r="Z34" s="2071"/>
      <c r="AA34" s="2072"/>
      <c r="AB34" s="2073" t="e">
        <f>SUM(G34:K34)/SUM(W34:AA34)-1</f>
        <v>#DIV/0!</v>
      </c>
      <c r="AC34" s="2070"/>
      <c r="AD34" s="2074"/>
      <c r="AE34" s="2074"/>
      <c r="AF34" s="2074"/>
      <c r="AG34" s="2074"/>
      <c r="AH34" s="2075" t="e">
        <f>SUM(L34:P34)/SUM(AC34:AG34)-1</f>
        <v>#DIV/0!</v>
      </c>
      <c r="AI34" s="66"/>
      <c r="AL34" s="305"/>
      <c r="AM34" s="521"/>
      <c r="AN34" s="521"/>
      <c r="AO34" s="521"/>
      <c r="AP34" s="329"/>
      <c r="AQ34" s="305"/>
      <c r="AR34" s="521"/>
      <c r="AS34" s="329"/>
    </row>
    <row r="35" spans="5:70" ht="13.5" thickBot="1">
      <c r="E35" s="3667"/>
      <c r="F35" s="1721" t="s">
        <v>617</v>
      </c>
      <c r="G35" s="2066"/>
      <c r="H35" s="2067"/>
      <c r="I35" s="2067"/>
      <c r="J35" s="2067"/>
      <c r="K35" s="2068"/>
      <c r="L35" s="2066"/>
      <c r="M35" s="2067"/>
      <c r="N35" s="2067"/>
      <c r="O35" s="2067"/>
      <c r="P35" s="2068"/>
      <c r="Q35" s="2069"/>
      <c r="R35" s="2067"/>
      <c r="S35" s="2067"/>
      <c r="T35" s="2067"/>
      <c r="U35" s="2068"/>
      <c r="W35" s="2081"/>
      <c r="X35" s="2082"/>
      <c r="Y35" s="2082"/>
      <c r="Z35" s="2082"/>
      <c r="AA35" s="2082"/>
      <c r="AB35" s="2082"/>
      <c r="AC35" s="2082"/>
      <c r="AD35" s="2082"/>
      <c r="AE35" s="2082"/>
      <c r="AF35" s="2082"/>
      <c r="AG35" s="2082"/>
      <c r="AH35" s="2083"/>
      <c r="AI35" s="66"/>
      <c r="AL35" s="305"/>
      <c r="AM35" s="521"/>
      <c r="AN35" s="521"/>
      <c r="AO35" s="521"/>
      <c r="AP35" s="329"/>
      <c r="AQ35" s="305"/>
      <c r="AR35" s="521"/>
      <c r="AS35" s="329"/>
    </row>
    <row r="36" spans="5:70">
      <c r="E36" s="3667"/>
      <c r="F36" s="1719" t="s">
        <v>620</v>
      </c>
      <c r="G36" s="1297">
        <f t="shared" ref="G36:U36" si="9">SUM(G34:G35)</f>
        <v>0</v>
      </c>
      <c r="H36" s="1298">
        <f t="shared" si="9"/>
        <v>0</v>
      </c>
      <c r="I36" s="1298">
        <f t="shared" si="9"/>
        <v>0</v>
      </c>
      <c r="J36" s="1298">
        <f t="shared" si="9"/>
        <v>0</v>
      </c>
      <c r="K36" s="1299">
        <f t="shared" si="9"/>
        <v>0</v>
      </c>
      <c r="L36" s="1297">
        <f t="shared" si="9"/>
        <v>0</v>
      </c>
      <c r="M36" s="1298">
        <f t="shared" si="9"/>
        <v>0</v>
      </c>
      <c r="N36" s="1298">
        <f t="shared" si="9"/>
        <v>0</v>
      </c>
      <c r="O36" s="1298">
        <f t="shared" si="9"/>
        <v>0</v>
      </c>
      <c r="P36" s="1299">
        <f t="shared" si="9"/>
        <v>0</v>
      </c>
      <c r="Q36" s="1342">
        <f t="shared" si="9"/>
        <v>0</v>
      </c>
      <c r="R36" s="1298">
        <f t="shared" si="9"/>
        <v>0</v>
      </c>
      <c r="S36" s="1298">
        <f t="shared" si="9"/>
        <v>0</v>
      </c>
      <c r="T36" s="1298">
        <f t="shared" si="9"/>
        <v>0</v>
      </c>
      <c r="U36" s="1299">
        <f t="shared" si="9"/>
        <v>0</v>
      </c>
      <c r="W36" s="2076">
        <f>SUM(W34:W35)</f>
        <v>0</v>
      </c>
      <c r="X36" s="2077">
        <f>SUM(X34:X35)</f>
        <v>0</v>
      </c>
      <c r="Y36" s="2077">
        <f>SUM(Y34:Y35)</f>
        <v>0</v>
      </c>
      <c r="Z36" s="2077">
        <f>SUM(Z34:Z35)</f>
        <v>0</v>
      </c>
      <c r="AA36" s="2078">
        <f>SUM(AA34:AA35)</f>
        <v>0</v>
      </c>
      <c r="AB36" s="2079" t="e">
        <f>SUM(G36:K36)/SUM(W36:AA36)-1</f>
        <v>#DIV/0!</v>
      </c>
      <c r="AC36" s="2076">
        <f>SUM(AC34:AC35)</f>
        <v>0</v>
      </c>
      <c r="AD36" s="2077">
        <f>SUM(AD34:AD35)</f>
        <v>0</v>
      </c>
      <c r="AE36" s="2077">
        <f>SUM(AE34:AE35)</f>
        <v>0</v>
      </c>
      <c r="AF36" s="2077">
        <f>SUM(AF34:AF35)</f>
        <v>0</v>
      </c>
      <c r="AG36" s="2077">
        <f>SUM(AG34:AG35)</f>
        <v>0</v>
      </c>
      <c r="AH36" s="2080" t="e">
        <f>SUM(L36:P36)/SUM(AC36:AG36)-1</f>
        <v>#DIV/0!</v>
      </c>
      <c r="AI36" s="66"/>
      <c r="AJ36" s="132"/>
      <c r="AK36" s="132"/>
      <c r="AL36" s="1297">
        <f t="shared" ref="AL36:AS36" si="10">SUM(AL34:AL35)</f>
        <v>0</v>
      </c>
      <c r="AM36" s="1298">
        <f t="shared" si="10"/>
        <v>0</v>
      </c>
      <c r="AN36" s="1298">
        <f t="shared" si="10"/>
        <v>0</v>
      </c>
      <c r="AO36" s="1298">
        <f t="shared" si="10"/>
        <v>0</v>
      </c>
      <c r="AP36" s="1299">
        <f t="shared" si="10"/>
        <v>0</v>
      </c>
      <c r="AQ36" s="1297">
        <f t="shared" si="10"/>
        <v>0</v>
      </c>
      <c r="AR36" s="1298">
        <f t="shared" si="10"/>
        <v>0</v>
      </c>
      <c r="AS36" s="1299">
        <f t="shared" si="10"/>
        <v>0</v>
      </c>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row>
    <row r="37" spans="5:70">
      <c r="E37" s="3667"/>
      <c r="F37" s="1730" t="s">
        <v>35</v>
      </c>
      <c r="G37" s="301"/>
      <c r="H37" s="516"/>
      <c r="I37" s="516"/>
      <c r="J37" s="516"/>
      <c r="K37" s="327"/>
      <c r="L37" s="301"/>
      <c r="M37" s="516"/>
      <c r="N37" s="516"/>
      <c r="O37" s="516"/>
      <c r="P37" s="327"/>
      <c r="Q37" s="1193"/>
      <c r="R37" s="516"/>
      <c r="S37" s="516"/>
      <c r="T37" s="516"/>
      <c r="U37" s="327"/>
      <c r="W37" s="301"/>
      <c r="X37" s="516"/>
      <c r="Y37" s="516"/>
      <c r="Z37" s="516"/>
      <c r="AA37" s="327"/>
      <c r="AB37" s="1246"/>
      <c r="AC37" s="301"/>
      <c r="AD37" s="516"/>
      <c r="AE37" s="516"/>
      <c r="AF37" s="516"/>
      <c r="AG37" s="516"/>
      <c r="AH37" s="1294"/>
      <c r="AI37" s="66"/>
      <c r="AL37" s="305"/>
      <c r="AM37" s="521"/>
      <c r="AN37" s="521"/>
      <c r="AO37" s="521"/>
      <c r="AP37" s="329"/>
      <c r="AQ37" s="305"/>
      <c r="AR37" s="521"/>
      <c r="AS37" s="329"/>
    </row>
    <row r="38" spans="5:70" ht="13.5" thickBot="1">
      <c r="E38" s="3668"/>
      <c r="F38" s="1728" t="s">
        <v>621</v>
      </c>
      <c r="G38" s="1302">
        <f>G36-G37</f>
        <v>0</v>
      </c>
      <c r="H38" s="1303">
        <f t="shared" ref="H38:M38" si="11">H36-H37</f>
        <v>0</v>
      </c>
      <c r="I38" s="1303">
        <f t="shared" si="11"/>
        <v>0</v>
      </c>
      <c r="J38" s="1303">
        <f t="shared" si="11"/>
        <v>0</v>
      </c>
      <c r="K38" s="1304">
        <f t="shared" si="11"/>
        <v>0</v>
      </c>
      <c r="L38" s="2026">
        <f t="shared" si="11"/>
        <v>0</v>
      </c>
      <c r="M38" s="1303">
        <f t="shared" si="11"/>
        <v>0</v>
      </c>
      <c r="N38" s="1303">
        <f t="shared" ref="N38:R38" si="12">O36-O37</f>
        <v>0</v>
      </c>
      <c r="O38" s="1303">
        <f t="shared" si="12"/>
        <v>0</v>
      </c>
      <c r="P38" s="1304">
        <f t="shared" si="12"/>
        <v>0</v>
      </c>
      <c r="Q38" s="1343">
        <f t="shared" si="12"/>
        <v>0</v>
      </c>
      <c r="R38" s="1303">
        <f t="shared" si="12"/>
        <v>0</v>
      </c>
      <c r="S38" s="1303">
        <f t="shared" ref="S38:AA38" si="13">S36-S37</f>
        <v>0</v>
      </c>
      <c r="T38" s="1303">
        <f t="shared" si="13"/>
        <v>0</v>
      </c>
      <c r="U38" s="1304">
        <f t="shared" si="13"/>
        <v>0</v>
      </c>
      <c r="W38" s="1302">
        <f t="shared" si="13"/>
        <v>0</v>
      </c>
      <c r="X38" s="1303">
        <f t="shared" si="13"/>
        <v>0</v>
      </c>
      <c r="Y38" s="1303">
        <f t="shared" si="13"/>
        <v>0</v>
      </c>
      <c r="Z38" s="1303">
        <f t="shared" si="13"/>
        <v>0</v>
      </c>
      <c r="AA38" s="1304">
        <f t="shared" si="13"/>
        <v>0</v>
      </c>
      <c r="AB38" s="1305" t="e">
        <f t="shared" ref="AB38:AB44" si="14">SUM(G38:K38)/SUM(W38:AA38)-1</f>
        <v>#DIV/0!</v>
      </c>
      <c r="AC38" s="1302">
        <f t="shared" ref="AC38:AG38" si="15">AC36-AC37</f>
        <v>0</v>
      </c>
      <c r="AD38" s="1303">
        <f t="shared" si="15"/>
        <v>0</v>
      </c>
      <c r="AE38" s="1303">
        <f t="shared" si="15"/>
        <v>0</v>
      </c>
      <c r="AF38" s="1303">
        <f t="shared" si="15"/>
        <v>0</v>
      </c>
      <c r="AG38" s="1303">
        <f t="shared" si="15"/>
        <v>0</v>
      </c>
      <c r="AH38" s="1306" t="e">
        <f t="shared" ref="AH38:AH44" si="16">SUM(L38:P38)/SUM(AC38:AG38)-1</f>
        <v>#DIV/0!</v>
      </c>
      <c r="AI38" s="66"/>
      <c r="AL38" s="2026">
        <f>AL36-AL37</f>
        <v>0</v>
      </c>
      <c r="AM38" s="1303">
        <f t="shared" ref="AM38:AR38" si="17">AM36-AM37</f>
        <v>0</v>
      </c>
      <c r="AN38" s="1303">
        <f t="shared" si="17"/>
        <v>0</v>
      </c>
      <c r="AO38" s="1303">
        <f t="shared" si="17"/>
        <v>0</v>
      </c>
      <c r="AP38" s="1304">
        <f t="shared" si="17"/>
        <v>0</v>
      </c>
      <c r="AQ38" s="2026">
        <f t="shared" si="17"/>
        <v>0</v>
      </c>
      <c r="AR38" s="1303">
        <f t="shared" si="17"/>
        <v>0</v>
      </c>
      <c r="AS38" s="1304" t="e">
        <f>#REF!-#REF!</f>
        <v>#REF!</v>
      </c>
    </row>
    <row r="39" spans="5:70" ht="12.75" customHeight="1">
      <c r="E39" s="3666" t="s">
        <v>290</v>
      </c>
      <c r="F39" s="487" t="s">
        <v>115</v>
      </c>
      <c r="G39" s="1336"/>
      <c r="H39" s="1337"/>
      <c r="I39" s="1337"/>
      <c r="J39" s="1337"/>
      <c r="K39" s="1338"/>
      <c r="L39" s="304"/>
      <c r="M39" s="520"/>
      <c r="N39" s="520"/>
      <c r="O39" s="520"/>
      <c r="P39" s="328"/>
      <c r="Q39" s="1202"/>
      <c r="R39" s="520"/>
      <c r="S39" s="520"/>
      <c r="T39" s="520"/>
      <c r="U39" s="1291"/>
      <c r="W39" s="1290"/>
      <c r="X39" s="475"/>
      <c r="Y39" s="475"/>
      <c r="Z39" s="475"/>
      <c r="AA39" s="1291"/>
      <c r="AB39" s="1292" t="e">
        <f t="shared" si="14"/>
        <v>#DIV/0!</v>
      </c>
      <c r="AC39" s="1290"/>
      <c r="AD39" s="475"/>
      <c r="AE39" s="475"/>
      <c r="AF39" s="475"/>
      <c r="AG39" s="475"/>
      <c r="AH39" s="1293" t="e">
        <f t="shared" si="16"/>
        <v>#DIV/0!</v>
      </c>
      <c r="AI39" s="66"/>
      <c r="AL39" s="1336"/>
      <c r="AM39" s="1337"/>
      <c r="AN39" s="1337"/>
      <c r="AO39" s="1337"/>
      <c r="AP39" s="1338"/>
      <c r="AQ39" s="304"/>
      <c r="AR39" s="520"/>
      <c r="AS39" s="328"/>
    </row>
    <row r="40" spans="5:70" ht="12.75" customHeight="1">
      <c r="E40" s="3667"/>
      <c r="F40" s="1715" t="s">
        <v>624</v>
      </c>
      <c r="G40" s="1333"/>
      <c r="H40" s="1334"/>
      <c r="I40" s="1334"/>
      <c r="J40" s="1334"/>
      <c r="K40" s="1335"/>
      <c r="L40" s="301"/>
      <c r="M40" s="516"/>
      <c r="N40" s="516"/>
      <c r="O40" s="516"/>
      <c r="P40" s="327"/>
      <c r="Q40" s="1193"/>
      <c r="R40" s="516"/>
      <c r="S40" s="516"/>
      <c r="T40" s="516"/>
      <c r="U40" s="327"/>
      <c r="W40" s="301"/>
      <c r="X40" s="516"/>
      <c r="Y40" s="516"/>
      <c r="Z40" s="516"/>
      <c r="AA40" s="327"/>
      <c r="AB40" s="1288" t="e">
        <f t="shared" si="14"/>
        <v>#DIV/0!</v>
      </c>
      <c r="AC40" s="301"/>
      <c r="AD40" s="516"/>
      <c r="AE40" s="516"/>
      <c r="AF40" s="516"/>
      <c r="AG40" s="516"/>
      <c r="AH40" s="1294" t="e">
        <f t="shared" si="16"/>
        <v>#DIV/0!</v>
      </c>
      <c r="AI40" s="66"/>
      <c r="AL40" s="1333"/>
      <c r="AM40" s="1334"/>
      <c r="AN40" s="1334"/>
      <c r="AO40" s="1334"/>
      <c r="AP40" s="1335"/>
      <c r="AQ40" s="305"/>
      <c r="AR40" s="521"/>
      <c r="AS40" s="329"/>
    </row>
    <row r="41" spans="5:70" ht="12.75" customHeight="1">
      <c r="E41" s="3667"/>
      <c r="F41" s="1715" t="s">
        <v>625</v>
      </c>
      <c r="G41" s="1333"/>
      <c r="H41" s="1334"/>
      <c r="I41" s="1334"/>
      <c r="J41" s="1334"/>
      <c r="K41" s="1335"/>
      <c r="L41" s="301"/>
      <c r="M41" s="516"/>
      <c r="N41" s="516"/>
      <c r="O41" s="516"/>
      <c r="P41" s="327"/>
      <c r="Q41" s="1193"/>
      <c r="R41" s="516"/>
      <c r="S41" s="516"/>
      <c r="T41" s="516"/>
      <c r="U41" s="327"/>
      <c r="W41" s="301"/>
      <c r="X41" s="516"/>
      <c r="Y41" s="516"/>
      <c r="Z41" s="516"/>
      <c r="AA41" s="327"/>
      <c r="AB41" s="1288" t="e">
        <f t="shared" si="14"/>
        <v>#DIV/0!</v>
      </c>
      <c r="AC41" s="301"/>
      <c r="AD41" s="516"/>
      <c r="AE41" s="516"/>
      <c r="AF41" s="516"/>
      <c r="AG41" s="516"/>
      <c r="AH41" s="1294" t="e">
        <f t="shared" si="16"/>
        <v>#DIV/0!</v>
      </c>
      <c r="AI41" s="66"/>
      <c r="AL41" s="1333"/>
      <c r="AM41" s="1334"/>
      <c r="AN41" s="1334"/>
      <c r="AO41" s="1334"/>
      <c r="AP41" s="1335"/>
      <c r="AQ41" s="305"/>
      <c r="AR41" s="521"/>
      <c r="AS41" s="329"/>
    </row>
    <row r="42" spans="5:70" ht="12.75" customHeight="1">
      <c r="E42" s="3667"/>
      <c r="F42" s="1715" t="s">
        <v>626</v>
      </c>
      <c r="G42" s="1333"/>
      <c r="H42" s="1334"/>
      <c r="I42" s="1334"/>
      <c r="J42" s="1334"/>
      <c r="K42" s="1335"/>
      <c r="L42" s="301"/>
      <c r="M42" s="516"/>
      <c r="N42" s="516"/>
      <c r="O42" s="516"/>
      <c r="P42" s="327"/>
      <c r="Q42" s="1193"/>
      <c r="R42" s="516"/>
      <c r="S42" s="516"/>
      <c r="T42" s="516"/>
      <c r="U42" s="327"/>
      <c r="W42" s="301"/>
      <c r="X42" s="516"/>
      <c r="Y42" s="516"/>
      <c r="Z42" s="516"/>
      <c r="AA42" s="327"/>
      <c r="AB42" s="1288" t="e">
        <f t="shared" si="14"/>
        <v>#DIV/0!</v>
      </c>
      <c r="AC42" s="301"/>
      <c r="AD42" s="516"/>
      <c r="AE42" s="516"/>
      <c r="AF42" s="516"/>
      <c r="AG42" s="516"/>
      <c r="AH42" s="1294" t="e">
        <f t="shared" si="16"/>
        <v>#DIV/0!</v>
      </c>
      <c r="AI42" s="66"/>
      <c r="AL42" s="1333"/>
      <c r="AM42" s="1334"/>
      <c r="AN42" s="1334"/>
      <c r="AO42" s="1334"/>
      <c r="AP42" s="1335"/>
      <c r="AQ42" s="305"/>
      <c r="AR42" s="521"/>
      <c r="AS42" s="329"/>
    </row>
    <row r="43" spans="5:70" ht="12.75" customHeight="1">
      <c r="E43" s="3667"/>
      <c r="F43" s="1715" t="s">
        <v>627</v>
      </c>
      <c r="G43" s="1333"/>
      <c r="H43" s="1334"/>
      <c r="I43" s="1334"/>
      <c r="J43" s="1334"/>
      <c r="K43" s="1335"/>
      <c r="L43" s="301"/>
      <c r="M43" s="516"/>
      <c r="N43" s="516"/>
      <c r="O43" s="516"/>
      <c r="P43" s="327"/>
      <c r="Q43" s="1193"/>
      <c r="R43" s="516"/>
      <c r="S43" s="516"/>
      <c r="T43" s="516"/>
      <c r="U43" s="327"/>
      <c r="W43" s="301"/>
      <c r="X43" s="516"/>
      <c r="Y43" s="516"/>
      <c r="Z43" s="516"/>
      <c r="AA43" s="327"/>
      <c r="AB43" s="1288" t="e">
        <f t="shared" si="14"/>
        <v>#DIV/0!</v>
      </c>
      <c r="AC43" s="301"/>
      <c r="AD43" s="516"/>
      <c r="AE43" s="516"/>
      <c r="AF43" s="516"/>
      <c r="AG43" s="516"/>
      <c r="AH43" s="1294" t="e">
        <f t="shared" si="16"/>
        <v>#DIV/0!</v>
      </c>
      <c r="AI43" s="66"/>
      <c r="AL43" s="1333"/>
      <c r="AM43" s="1334"/>
      <c r="AN43" s="1334"/>
      <c r="AO43" s="1334"/>
      <c r="AP43" s="1335"/>
      <c r="AQ43" s="305"/>
      <c r="AR43" s="521"/>
      <c r="AS43" s="329"/>
    </row>
    <row r="44" spans="5:70" ht="12.75" customHeight="1">
      <c r="E44" s="3667"/>
      <c r="F44" s="1715" t="s">
        <v>628</v>
      </c>
      <c r="G44" s="1333"/>
      <c r="H44" s="1334"/>
      <c r="I44" s="1334"/>
      <c r="J44" s="1334"/>
      <c r="K44" s="1335"/>
      <c r="L44" s="253">
        <f>SUM(L39:L43)</f>
        <v>0</v>
      </c>
      <c r="M44" s="511">
        <f t="shared" ref="M44:AA44" si="18">SUM(M39:M43)</f>
        <v>0</v>
      </c>
      <c r="N44" s="511">
        <f t="shared" si="18"/>
        <v>0</v>
      </c>
      <c r="O44" s="511">
        <f t="shared" si="18"/>
        <v>0</v>
      </c>
      <c r="P44" s="512">
        <f t="shared" si="18"/>
        <v>0</v>
      </c>
      <c r="Q44" s="270">
        <f t="shared" si="18"/>
        <v>0</v>
      </c>
      <c r="R44" s="511">
        <f t="shared" si="18"/>
        <v>0</v>
      </c>
      <c r="S44" s="511">
        <f t="shared" si="18"/>
        <v>0</v>
      </c>
      <c r="T44" s="511">
        <f t="shared" si="18"/>
        <v>0</v>
      </c>
      <c r="U44" s="512">
        <f t="shared" si="18"/>
        <v>0</v>
      </c>
      <c r="W44" s="253">
        <f t="shared" si="18"/>
        <v>0</v>
      </c>
      <c r="X44" s="511">
        <f t="shared" si="18"/>
        <v>0</v>
      </c>
      <c r="Y44" s="511">
        <f t="shared" si="18"/>
        <v>0</v>
      </c>
      <c r="Z44" s="511">
        <f t="shared" si="18"/>
        <v>0</v>
      </c>
      <c r="AA44" s="512">
        <f t="shared" si="18"/>
        <v>0</v>
      </c>
      <c r="AB44" s="1288" t="e">
        <f t="shared" si="14"/>
        <v>#DIV/0!</v>
      </c>
      <c r="AC44" s="253">
        <f t="shared" ref="AC44:AG44" si="19">SUM(AC39:AC43)</f>
        <v>0</v>
      </c>
      <c r="AD44" s="511">
        <f t="shared" si="19"/>
        <v>0</v>
      </c>
      <c r="AE44" s="511">
        <f t="shared" si="19"/>
        <v>0</v>
      </c>
      <c r="AF44" s="511">
        <f t="shared" si="19"/>
        <v>0</v>
      </c>
      <c r="AG44" s="511">
        <f t="shared" si="19"/>
        <v>0</v>
      </c>
      <c r="AH44" s="1295" t="e">
        <f t="shared" si="16"/>
        <v>#DIV/0!</v>
      </c>
      <c r="AI44" s="66"/>
      <c r="AL44" s="1333"/>
      <c r="AM44" s="1334"/>
      <c r="AN44" s="1334"/>
      <c r="AO44" s="1334"/>
      <c r="AP44" s="1335"/>
      <c r="AQ44" s="253">
        <f>SUM(AQ39:AQ43)</f>
        <v>0</v>
      </c>
      <c r="AR44" s="511">
        <f t="shared" ref="AR44:AS44" si="20">SUM(AR39:AR43)</f>
        <v>0</v>
      </c>
      <c r="AS44" s="512">
        <f t="shared" si="20"/>
        <v>0</v>
      </c>
    </row>
    <row r="45" spans="5:70">
      <c r="E45" s="3667"/>
      <c r="F45" s="1716" t="s">
        <v>623</v>
      </c>
      <c r="G45" s="1336"/>
      <c r="H45" s="1337"/>
      <c r="I45" s="1337"/>
      <c r="J45" s="1337"/>
      <c r="K45" s="1338"/>
      <c r="L45" s="304"/>
      <c r="M45" s="520"/>
      <c r="N45" s="520"/>
      <c r="O45" s="520"/>
      <c r="P45" s="328"/>
      <c r="Q45" s="1202"/>
      <c r="R45" s="520"/>
      <c r="S45" s="520"/>
      <c r="T45" s="520"/>
      <c r="U45" s="328"/>
      <c r="W45" s="304"/>
      <c r="X45" s="520"/>
      <c r="Y45" s="520"/>
      <c r="Z45" s="520"/>
      <c r="AA45" s="328"/>
      <c r="AB45" s="1233"/>
      <c r="AC45" s="304"/>
      <c r="AD45" s="520"/>
      <c r="AE45" s="520"/>
      <c r="AF45" s="520"/>
      <c r="AG45" s="520"/>
      <c r="AH45" s="1296"/>
      <c r="AI45" s="66"/>
      <c r="AL45" s="1336"/>
      <c r="AM45" s="1337"/>
      <c r="AN45" s="1337"/>
      <c r="AO45" s="1337"/>
      <c r="AP45" s="1338"/>
      <c r="AQ45" s="304"/>
      <c r="AR45" s="520"/>
      <c r="AS45" s="328"/>
    </row>
    <row r="46" spans="5:70">
      <c r="E46" s="3667"/>
      <c r="F46" s="1717" t="s">
        <v>629</v>
      </c>
      <c r="G46" s="1333"/>
      <c r="H46" s="1334"/>
      <c r="I46" s="1334"/>
      <c r="J46" s="1334"/>
      <c r="K46" s="1335"/>
      <c r="L46" s="301"/>
      <c r="M46" s="516"/>
      <c r="N46" s="516"/>
      <c r="O46" s="516"/>
      <c r="P46" s="327"/>
      <c r="Q46" s="1193"/>
      <c r="R46" s="516"/>
      <c r="S46" s="516"/>
      <c r="T46" s="516"/>
      <c r="U46" s="327"/>
      <c r="W46" s="301"/>
      <c r="X46" s="516"/>
      <c r="Y46" s="516"/>
      <c r="Z46" s="516"/>
      <c r="AA46" s="327"/>
      <c r="AB46" s="1288"/>
      <c r="AC46" s="301"/>
      <c r="AD46" s="516"/>
      <c r="AE46" s="516"/>
      <c r="AF46" s="516"/>
      <c r="AG46" s="516"/>
      <c r="AH46" s="1294"/>
      <c r="AI46" s="66"/>
      <c r="AL46" s="1333"/>
      <c r="AM46" s="1334"/>
      <c r="AN46" s="1334"/>
      <c r="AO46" s="1334"/>
      <c r="AP46" s="1335"/>
      <c r="AQ46" s="305"/>
      <c r="AR46" s="521"/>
      <c r="AS46" s="329"/>
    </row>
    <row r="47" spans="5:70">
      <c r="E47" s="3667"/>
      <c r="F47" s="485" t="s">
        <v>594</v>
      </c>
      <c r="G47" s="1333"/>
      <c r="H47" s="1334"/>
      <c r="I47" s="1334"/>
      <c r="J47" s="1334"/>
      <c r="K47" s="1335"/>
      <c r="L47" s="301"/>
      <c r="M47" s="516"/>
      <c r="N47" s="516"/>
      <c r="O47" s="516"/>
      <c r="P47" s="327"/>
      <c r="Q47" s="1193"/>
      <c r="R47" s="516"/>
      <c r="S47" s="516"/>
      <c r="T47" s="516"/>
      <c r="U47" s="327"/>
      <c r="W47" s="301"/>
      <c r="X47" s="516"/>
      <c r="Y47" s="516"/>
      <c r="Z47" s="516"/>
      <c r="AA47" s="327"/>
      <c r="AB47" s="1288"/>
      <c r="AC47" s="301"/>
      <c r="AD47" s="516"/>
      <c r="AE47" s="516"/>
      <c r="AF47" s="516"/>
      <c r="AG47" s="516"/>
      <c r="AH47" s="1294"/>
      <c r="AI47" s="66"/>
      <c r="AL47" s="1333"/>
      <c r="AM47" s="1334"/>
      <c r="AN47" s="1334"/>
      <c r="AO47" s="1334"/>
      <c r="AP47" s="1335"/>
      <c r="AQ47" s="305"/>
      <c r="AR47" s="521"/>
      <c r="AS47" s="329"/>
    </row>
    <row r="48" spans="5:70">
      <c r="E48" s="3667"/>
      <c r="F48" s="485" t="s">
        <v>595</v>
      </c>
      <c r="G48" s="1333"/>
      <c r="H48" s="1334"/>
      <c r="I48" s="1334"/>
      <c r="J48" s="1334"/>
      <c r="K48" s="1335"/>
      <c r="L48" s="301"/>
      <c r="M48" s="516"/>
      <c r="N48" s="516"/>
      <c r="O48" s="516"/>
      <c r="P48" s="327"/>
      <c r="Q48" s="1193"/>
      <c r="R48" s="516"/>
      <c r="S48" s="516"/>
      <c r="T48" s="516"/>
      <c r="U48" s="327"/>
      <c r="W48" s="301"/>
      <c r="X48" s="516"/>
      <c r="Y48" s="516"/>
      <c r="Z48" s="516"/>
      <c r="AA48" s="327"/>
      <c r="AB48" s="1288"/>
      <c r="AC48" s="301"/>
      <c r="AD48" s="516"/>
      <c r="AE48" s="516"/>
      <c r="AF48" s="516"/>
      <c r="AG48" s="516"/>
      <c r="AH48" s="1294"/>
      <c r="AI48" s="66"/>
      <c r="AL48" s="1333"/>
      <c r="AM48" s="1334"/>
      <c r="AN48" s="1334"/>
      <c r="AO48" s="1334"/>
      <c r="AP48" s="1335"/>
      <c r="AQ48" s="305"/>
      <c r="AR48" s="521"/>
      <c r="AS48" s="329"/>
    </row>
    <row r="49" spans="5:70">
      <c r="E49" s="3667"/>
      <c r="F49" s="485" t="s">
        <v>614</v>
      </c>
      <c r="G49" s="1339"/>
      <c r="H49" s="1340"/>
      <c r="I49" s="1340"/>
      <c r="J49" s="1340"/>
      <c r="K49" s="1341"/>
      <c r="L49" s="305"/>
      <c r="M49" s="511"/>
      <c r="N49" s="511"/>
      <c r="O49" s="511"/>
      <c r="P49" s="512"/>
      <c r="Q49" s="270"/>
      <c r="R49" s="511"/>
      <c r="S49" s="511"/>
      <c r="T49" s="511"/>
      <c r="U49" s="512"/>
      <c r="W49" s="253"/>
      <c r="X49" s="511"/>
      <c r="Y49" s="511"/>
      <c r="Z49" s="511"/>
      <c r="AA49" s="512"/>
      <c r="AB49" s="1288"/>
      <c r="AC49" s="253"/>
      <c r="AD49" s="511"/>
      <c r="AE49" s="511"/>
      <c r="AF49" s="511"/>
      <c r="AG49" s="511"/>
      <c r="AH49" s="1295"/>
      <c r="AI49" s="66"/>
      <c r="AL49" s="1339"/>
      <c r="AM49" s="1340"/>
      <c r="AN49" s="1340"/>
      <c r="AO49" s="1340"/>
      <c r="AP49" s="1341"/>
      <c r="AQ49" s="305"/>
      <c r="AR49" s="521"/>
      <c r="AS49" s="329"/>
    </row>
    <row r="50" spans="5:70">
      <c r="E50" s="3667"/>
      <c r="F50" s="1718" t="s">
        <v>615</v>
      </c>
      <c r="G50" s="1336"/>
      <c r="H50" s="1337"/>
      <c r="I50" s="1337"/>
      <c r="J50" s="1337"/>
      <c r="K50" s="1338"/>
      <c r="L50" s="304">
        <f>SUM(L47:L49)</f>
        <v>0</v>
      </c>
      <c r="M50" s="520">
        <f t="shared" ref="M50:P50" si="21">SUM(M47:M49)</f>
        <v>0</v>
      </c>
      <c r="N50" s="520">
        <f t="shared" si="21"/>
        <v>0</v>
      </c>
      <c r="O50" s="520">
        <f t="shared" si="21"/>
        <v>0</v>
      </c>
      <c r="P50" s="328">
        <f t="shared" si="21"/>
        <v>0</v>
      </c>
      <c r="Q50" s="1202">
        <f>SUM(Q47:Q49)</f>
        <v>0</v>
      </c>
      <c r="R50" s="520">
        <f t="shared" ref="R50:Z50" si="22">SUM(R47:R49)</f>
        <v>0</v>
      </c>
      <c r="S50" s="520">
        <f t="shared" si="22"/>
        <v>0</v>
      </c>
      <c r="T50" s="520">
        <f t="shared" si="22"/>
        <v>0</v>
      </c>
      <c r="U50" s="328">
        <f t="shared" si="22"/>
        <v>0</v>
      </c>
      <c r="W50" s="304">
        <f t="shared" si="22"/>
        <v>0</v>
      </c>
      <c r="X50" s="520">
        <f t="shared" si="22"/>
        <v>0</v>
      </c>
      <c r="Y50" s="520">
        <f t="shared" si="22"/>
        <v>0</v>
      </c>
      <c r="Z50" s="520">
        <f t="shared" si="22"/>
        <v>0</v>
      </c>
      <c r="AA50" s="328">
        <f>SUM(AA47:AA49)</f>
        <v>0</v>
      </c>
      <c r="AB50" s="1233" t="e">
        <f>SUM(G50:K50)/SUM(W50:AA50)-1</f>
        <v>#DIV/0!</v>
      </c>
      <c r="AC50" s="304">
        <f t="shared" ref="AC50:AG50" si="23">SUM(AC47:AC49)</f>
        <v>0</v>
      </c>
      <c r="AD50" s="520">
        <f t="shared" si="23"/>
        <v>0</v>
      </c>
      <c r="AE50" s="520">
        <f t="shared" si="23"/>
        <v>0</v>
      </c>
      <c r="AF50" s="520">
        <f t="shared" si="23"/>
        <v>0</v>
      </c>
      <c r="AG50" s="520">
        <f t="shared" si="23"/>
        <v>0</v>
      </c>
      <c r="AH50" s="1296" t="e">
        <f>SUM(L50:P50)/SUM(AC50:AG50)-1</f>
        <v>#DIV/0!</v>
      </c>
      <c r="AI50" s="66"/>
      <c r="AL50" s="1336"/>
      <c r="AM50" s="1337"/>
      <c r="AN50" s="1337"/>
      <c r="AO50" s="1337"/>
      <c r="AP50" s="1338"/>
      <c r="AQ50" s="304">
        <f>SUM(AQ47:AQ49)</f>
        <v>0</v>
      </c>
      <c r="AR50" s="520">
        <f t="shared" ref="AR50:AS50" si="24">SUM(AR47:AR49)</f>
        <v>0</v>
      </c>
      <c r="AS50" s="328">
        <f t="shared" si="24"/>
        <v>0</v>
      </c>
    </row>
    <row r="51" spans="5:70" ht="13.5" thickBot="1">
      <c r="E51" s="3667"/>
      <c r="F51" s="1282" t="s">
        <v>619</v>
      </c>
      <c r="G51" s="301"/>
      <c r="H51" s="516"/>
      <c r="I51" s="516"/>
      <c r="J51" s="516"/>
      <c r="K51" s="327"/>
      <c r="L51" s="253"/>
      <c r="M51" s="511"/>
      <c r="N51" s="511"/>
      <c r="O51" s="511"/>
      <c r="P51" s="512"/>
      <c r="Q51" s="270"/>
      <c r="R51" s="511"/>
      <c r="S51" s="511"/>
      <c r="T51" s="511"/>
      <c r="U51" s="512"/>
      <c r="W51" s="253"/>
      <c r="X51" s="516"/>
      <c r="Y51" s="516"/>
      <c r="Z51" s="516"/>
      <c r="AA51" s="327"/>
      <c r="AB51" s="1288" t="e">
        <f>SUM(G51:K51)/SUM(W51:AA51)-1</f>
        <v>#DIV/0!</v>
      </c>
      <c r="AC51" s="253"/>
      <c r="AD51" s="511"/>
      <c r="AE51" s="511"/>
      <c r="AF51" s="511"/>
      <c r="AG51" s="511"/>
      <c r="AH51" s="1295" t="e">
        <f>SUM(L51:P51)/SUM(AC51:AG51)-1</f>
        <v>#DIV/0!</v>
      </c>
      <c r="AI51" s="66"/>
      <c r="AL51" s="305"/>
      <c r="AM51" s="521"/>
      <c r="AN51" s="521"/>
      <c r="AO51" s="521"/>
      <c r="AP51" s="329"/>
      <c r="AQ51" s="305"/>
      <c r="AR51" s="521"/>
      <c r="AS51" s="329"/>
    </row>
    <row r="52" spans="5:70" ht="13.5" thickBot="1">
      <c r="E52" s="3667"/>
      <c r="F52" s="1721" t="s">
        <v>617</v>
      </c>
      <c r="G52" s="2066"/>
      <c r="H52" s="2067"/>
      <c r="I52" s="2067"/>
      <c r="J52" s="2067"/>
      <c r="K52" s="2068"/>
      <c r="L52" s="2066"/>
      <c r="M52" s="2067"/>
      <c r="N52" s="2067"/>
      <c r="O52" s="2067"/>
      <c r="P52" s="2068"/>
      <c r="Q52" s="2069"/>
      <c r="R52" s="2067"/>
      <c r="S52" s="2067"/>
      <c r="T52" s="2067"/>
      <c r="U52" s="2068"/>
      <c r="V52" s="1427"/>
      <c r="W52" s="2081"/>
      <c r="X52" s="2082"/>
      <c r="Y52" s="2082"/>
      <c r="Z52" s="2082"/>
      <c r="AA52" s="2082"/>
      <c r="AB52" s="2082"/>
      <c r="AC52" s="2082"/>
      <c r="AD52" s="2082"/>
      <c r="AE52" s="2082"/>
      <c r="AF52" s="2082"/>
      <c r="AG52" s="2082"/>
      <c r="AH52" s="2083"/>
      <c r="AI52" s="66"/>
      <c r="AL52" s="305"/>
      <c r="AM52" s="521"/>
      <c r="AN52" s="521"/>
      <c r="AO52" s="521"/>
      <c r="AP52" s="329"/>
      <c r="AQ52" s="305"/>
      <c r="AR52" s="521"/>
      <c r="AS52" s="329"/>
    </row>
    <row r="53" spans="5:70">
      <c r="E53" s="3667"/>
      <c r="F53" s="1719" t="s">
        <v>620</v>
      </c>
      <c r="G53" s="1297">
        <f t="shared" ref="G53:U53" si="25">SUM(G51:G52)</f>
        <v>0</v>
      </c>
      <c r="H53" s="1298">
        <f t="shared" si="25"/>
        <v>0</v>
      </c>
      <c r="I53" s="1298">
        <f t="shared" si="25"/>
        <v>0</v>
      </c>
      <c r="J53" s="1298">
        <f t="shared" si="25"/>
        <v>0</v>
      </c>
      <c r="K53" s="1299">
        <f t="shared" si="25"/>
        <v>0</v>
      </c>
      <c r="L53" s="1297">
        <f t="shared" si="25"/>
        <v>0</v>
      </c>
      <c r="M53" s="1298">
        <f t="shared" si="25"/>
        <v>0</v>
      </c>
      <c r="N53" s="1298">
        <f t="shared" si="25"/>
        <v>0</v>
      </c>
      <c r="O53" s="1298">
        <f t="shared" si="25"/>
        <v>0</v>
      </c>
      <c r="P53" s="1299">
        <f t="shared" si="25"/>
        <v>0</v>
      </c>
      <c r="Q53" s="1342">
        <f t="shared" si="25"/>
        <v>0</v>
      </c>
      <c r="R53" s="1298">
        <f t="shared" si="25"/>
        <v>0</v>
      </c>
      <c r="S53" s="1298">
        <f t="shared" si="25"/>
        <v>0</v>
      </c>
      <c r="T53" s="1298">
        <f t="shared" si="25"/>
        <v>0</v>
      </c>
      <c r="U53" s="1299">
        <f t="shared" si="25"/>
        <v>0</v>
      </c>
      <c r="W53" s="1297">
        <f>SUM(W51:W52)</f>
        <v>0</v>
      </c>
      <c r="X53" s="1298">
        <f>SUM(X51:X52)</f>
        <v>0</v>
      </c>
      <c r="Y53" s="1298">
        <f>SUM(Y51:Y52)</f>
        <v>0</v>
      </c>
      <c r="Z53" s="1298">
        <f>SUM(Z51:Z52)</f>
        <v>0</v>
      </c>
      <c r="AA53" s="1299">
        <f>SUM(AA51:AA52)</f>
        <v>0</v>
      </c>
      <c r="AB53" s="1300" t="e">
        <f>SUM(G53:K53)/SUM(W53:AA53)-1</f>
        <v>#DIV/0!</v>
      </c>
      <c r="AC53" s="1297">
        <f>SUM(AC51:AC52)</f>
        <v>0</v>
      </c>
      <c r="AD53" s="1298">
        <f>SUM(AD51:AD52)</f>
        <v>0</v>
      </c>
      <c r="AE53" s="1298">
        <f>SUM(AE51:AE52)</f>
        <v>0</v>
      </c>
      <c r="AF53" s="1298">
        <f>SUM(AF51:AF52)</f>
        <v>0</v>
      </c>
      <c r="AG53" s="1298">
        <f>SUM(AG51:AG52)</f>
        <v>0</v>
      </c>
      <c r="AH53" s="1301" t="e">
        <f>SUM(L53:P53)/SUM(AC53:AG53)-1</f>
        <v>#DIV/0!</v>
      </c>
      <c r="AI53" s="66"/>
      <c r="AJ53" s="132"/>
      <c r="AK53" s="132"/>
      <c r="AL53" s="1297">
        <f t="shared" ref="AL53:AS53" si="26">SUM(AL51:AL52)</f>
        <v>0</v>
      </c>
      <c r="AM53" s="1298">
        <f t="shared" si="26"/>
        <v>0</v>
      </c>
      <c r="AN53" s="1298">
        <f t="shared" si="26"/>
        <v>0</v>
      </c>
      <c r="AO53" s="1298">
        <f t="shared" si="26"/>
        <v>0</v>
      </c>
      <c r="AP53" s="1299">
        <f t="shared" si="26"/>
        <v>0</v>
      </c>
      <c r="AQ53" s="1297">
        <f t="shared" si="26"/>
        <v>0</v>
      </c>
      <c r="AR53" s="1298">
        <f t="shared" si="26"/>
        <v>0</v>
      </c>
      <c r="AS53" s="1299">
        <f t="shared" si="26"/>
        <v>0</v>
      </c>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row>
    <row r="54" spans="5:70">
      <c r="E54" s="3667"/>
      <c r="F54" s="1730" t="s">
        <v>35</v>
      </c>
      <c r="G54" s="301"/>
      <c r="H54" s="516"/>
      <c r="I54" s="516"/>
      <c r="J54" s="516"/>
      <c r="K54" s="327"/>
      <c r="L54" s="301"/>
      <c r="M54" s="516"/>
      <c r="N54" s="516"/>
      <c r="O54" s="516"/>
      <c r="P54" s="327"/>
      <c r="Q54" s="1193"/>
      <c r="R54" s="516"/>
      <c r="S54" s="516"/>
      <c r="T54" s="516"/>
      <c r="U54" s="327"/>
      <c r="W54" s="301"/>
      <c r="X54" s="516"/>
      <c r="Y54" s="516"/>
      <c r="Z54" s="516"/>
      <c r="AA54" s="327"/>
      <c r="AB54" s="1246"/>
      <c r="AC54" s="301"/>
      <c r="AD54" s="516"/>
      <c r="AE54" s="516"/>
      <c r="AF54" s="516"/>
      <c r="AG54" s="516"/>
      <c r="AH54" s="1294"/>
      <c r="AI54" s="66"/>
      <c r="AL54" s="305"/>
      <c r="AM54" s="521"/>
      <c r="AN54" s="521"/>
      <c r="AO54" s="521"/>
      <c r="AP54" s="329"/>
      <c r="AQ54" s="305"/>
      <c r="AR54" s="521"/>
      <c r="AS54" s="329"/>
    </row>
    <row r="55" spans="5:70" ht="13.5" thickBot="1">
      <c r="E55" s="3668"/>
      <c r="F55" s="1728" t="s">
        <v>621</v>
      </c>
      <c r="G55" s="1302">
        <f>G53-G54</f>
        <v>0</v>
      </c>
      <c r="H55" s="1303">
        <f t="shared" ref="H55:M55" si="27">H53-H54</f>
        <v>0</v>
      </c>
      <c r="I55" s="1303">
        <f t="shared" si="27"/>
        <v>0</v>
      </c>
      <c r="J55" s="1303">
        <f t="shared" si="27"/>
        <v>0</v>
      </c>
      <c r="K55" s="1304">
        <f t="shared" si="27"/>
        <v>0</v>
      </c>
      <c r="L55" s="2026">
        <f t="shared" si="27"/>
        <v>0</v>
      </c>
      <c r="M55" s="1303">
        <f t="shared" si="27"/>
        <v>0</v>
      </c>
      <c r="N55" s="1303">
        <f t="shared" ref="N55:R55" si="28">O53-O54</f>
        <v>0</v>
      </c>
      <c r="O55" s="1303">
        <f t="shared" si="28"/>
        <v>0</v>
      </c>
      <c r="P55" s="1304">
        <f t="shared" si="28"/>
        <v>0</v>
      </c>
      <c r="Q55" s="1343">
        <f t="shared" si="28"/>
        <v>0</v>
      </c>
      <c r="R55" s="1303">
        <f t="shared" si="28"/>
        <v>0</v>
      </c>
      <c r="S55" s="1303">
        <f t="shared" ref="S55:AA55" si="29">S53-S54</f>
        <v>0</v>
      </c>
      <c r="T55" s="1303">
        <f t="shared" si="29"/>
        <v>0</v>
      </c>
      <c r="U55" s="1304">
        <f t="shared" si="29"/>
        <v>0</v>
      </c>
      <c r="W55" s="1302">
        <f t="shared" si="29"/>
        <v>0</v>
      </c>
      <c r="X55" s="1303">
        <f t="shared" si="29"/>
        <v>0</v>
      </c>
      <c r="Y55" s="1303">
        <f t="shared" si="29"/>
        <v>0</v>
      </c>
      <c r="Z55" s="1303">
        <f t="shared" si="29"/>
        <v>0</v>
      </c>
      <c r="AA55" s="1304">
        <f t="shared" si="29"/>
        <v>0</v>
      </c>
      <c r="AB55" s="1305" t="e">
        <f t="shared" ref="AB55:AB61" si="30">SUM(G55:K55)/SUM(W55:AA55)-1</f>
        <v>#DIV/0!</v>
      </c>
      <c r="AC55" s="1302">
        <f t="shared" ref="AC55:AG55" si="31">AC53-AC54</f>
        <v>0</v>
      </c>
      <c r="AD55" s="1303">
        <f t="shared" si="31"/>
        <v>0</v>
      </c>
      <c r="AE55" s="1303">
        <f t="shared" si="31"/>
        <v>0</v>
      </c>
      <c r="AF55" s="1303">
        <f t="shared" si="31"/>
        <v>0</v>
      </c>
      <c r="AG55" s="1303">
        <f t="shared" si="31"/>
        <v>0</v>
      </c>
      <c r="AH55" s="1306" t="e">
        <f t="shared" ref="AH55:AH61" si="32">SUM(L55:P55)/SUM(AC55:AG55)-1</f>
        <v>#DIV/0!</v>
      </c>
      <c r="AI55" s="66"/>
      <c r="AL55" s="2026">
        <f>AL53-AL54</f>
        <v>0</v>
      </c>
      <c r="AM55" s="1303">
        <f t="shared" ref="AM55:AR55" si="33">AM53-AM54</f>
        <v>0</v>
      </c>
      <c r="AN55" s="1303">
        <f t="shared" si="33"/>
        <v>0</v>
      </c>
      <c r="AO55" s="1303">
        <f t="shared" si="33"/>
        <v>0</v>
      </c>
      <c r="AP55" s="1304">
        <f t="shared" si="33"/>
        <v>0</v>
      </c>
      <c r="AQ55" s="2026">
        <f t="shared" si="33"/>
        <v>0</v>
      </c>
      <c r="AR55" s="1303">
        <f t="shared" si="33"/>
        <v>0</v>
      </c>
      <c r="AS55" s="1304" t="e">
        <f>#REF!-#REF!</f>
        <v>#REF!</v>
      </c>
    </row>
    <row r="56" spans="5:70" ht="12.75" customHeight="1">
      <c r="E56" s="3666" t="s">
        <v>290</v>
      </c>
      <c r="F56" s="487" t="s">
        <v>115</v>
      </c>
      <c r="G56" s="1336"/>
      <c r="H56" s="1337"/>
      <c r="I56" s="1337"/>
      <c r="J56" s="1337"/>
      <c r="K56" s="1338"/>
      <c r="L56" s="304"/>
      <c r="M56" s="520"/>
      <c r="N56" s="520"/>
      <c r="O56" s="520"/>
      <c r="P56" s="328"/>
      <c r="Q56" s="1202"/>
      <c r="R56" s="520"/>
      <c r="S56" s="520"/>
      <c r="T56" s="520"/>
      <c r="U56" s="328"/>
      <c r="W56" s="1290"/>
      <c r="X56" s="475"/>
      <c r="Y56" s="475"/>
      <c r="Z56" s="475"/>
      <c r="AA56" s="1291"/>
      <c r="AB56" s="1292" t="e">
        <f t="shared" si="30"/>
        <v>#DIV/0!</v>
      </c>
      <c r="AC56" s="1290"/>
      <c r="AD56" s="475"/>
      <c r="AE56" s="475"/>
      <c r="AF56" s="475"/>
      <c r="AG56" s="475"/>
      <c r="AH56" s="1293" t="e">
        <f t="shared" si="32"/>
        <v>#DIV/0!</v>
      </c>
      <c r="AI56" s="66"/>
      <c r="AL56" s="1336"/>
      <c r="AM56" s="1337"/>
      <c r="AN56" s="1337"/>
      <c r="AO56" s="1337"/>
      <c r="AP56" s="1338"/>
      <c r="AQ56" s="304"/>
      <c r="AR56" s="520"/>
      <c r="AS56" s="328"/>
    </row>
    <row r="57" spans="5:70" ht="12.75" customHeight="1">
      <c r="E57" s="3667"/>
      <c r="F57" s="1715" t="s">
        <v>624</v>
      </c>
      <c r="G57" s="1333"/>
      <c r="H57" s="1334"/>
      <c r="I57" s="1334"/>
      <c r="J57" s="1334"/>
      <c r="K57" s="1335"/>
      <c r="L57" s="301"/>
      <c r="M57" s="516"/>
      <c r="N57" s="516"/>
      <c r="O57" s="516"/>
      <c r="P57" s="327"/>
      <c r="Q57" s="1193"/>
      <c r="R57" s="516"/>
      <c r="S57" s="516"/>
      <c r="T57" s="516"/>
      <c r="U57" s="327"/>
      <c r="W57" s="301"/>
      <c r="X57" s="516"/>
      <c r="Y57" s="516"/>
      <c r="Z57" s="516"/>
      <c r="AA57" s="327"/>
      <c r="AB57" s="1288" t="e">
        <f t="shared" si="30"/>
        <v>#DIV/0!</v>
      </c>
      <c r="AC57" s="301"/>
      <c r="AD57" s="516"/>
      <c r="AE57" s="516"/>
      <c r="AF57" s="516"/>
      <c r="AG57" s="516"/>
      <c r="AH57" s="1294" t="e">
        <f t="shared" si="32"/>
        <v>#DIV/0!</v>
      </c>
      <c r="AI57" s="66"/>
      <c r="AL57" s="1333"/>
      <c r="AM57" s="1334"/>
      <c r="AN57" s="1334"/>
      <c r="AO57" s="1334"/>
      <c r="AP57" s="1335"/>
      <c r="AQ57" s="305"/>
      <c r="AR57" s="521"/>
      <c r="AS57" s="329"/>
    </row>
    <row r="58" spans="5:70" ht="12.75" customHeight="1">
      <c r="E58" s="3667"/>
      <c r="F58" s="1715" t="s">
        <v>625</v>
      </c>
      <c r="G58" s="1333"/>
      <c r="H58" s="1334"/>
      <c r="I58" s="1334"/>
      <c r="J58" s="1334"/>
      <c r="K58" s="1335"/>
      <c r="L58" s="301"/>
      <c r="M58" s="516"/>
      <c r="N58" s="516"/>
      <c r="O58" s="516"/>
      <c r="P58" s="327"/>
      <c r="Q58" s="1193"/>
      <c r="R58" s="516"/>
      <c r="S58" s="516"/>
      <c r="T58" s="516"/>
      <c r="U58" s="327"/>
      <c r="W58" s="301"/>
      <c r="X58" s="516"/>
      <c r="Y58" s="516"/>
      <c r="Z58" s="516"/>
      <c r="AA58" s="327"/>
      <c r="AB58" s="1288" t="e">
        <f t="shared" si="30"/>
        <v>#DIV/0!</v>
      </c>
      <c r="AC58" s="301"/>
      <c r="AD58" s="516"/>
      <c r="AE58" s="516"/>
      <c r="AF58" s="516"/>
      <c r="AG58" s="516"/>
      <c r="AH58" s="1294" t="e">
        <f t="shared" si="32"/>
        <v>#DIV/0!</v>
      </c>
      <c r="AI58" s="66"/>
      <c r="AL58" s="1333"/>
      <c r="AM58" s="1334"/>
      <c r="AN58" s="1334"/>
      <c r="AO58" s="1334"/>
      <c r="AP58" s="1335"/>
      <c r="AQ58" s="305"/>
      <c r="AR58" s="521"/>
      <c r="AS58" s="329"/>
    </row>
    <row r="59" spans="5:70" ht="12.75" customHeight="1">
      <c r="E59" s="3667"/>
      <c r="F59" s="1715" t="s">
        <v>626</v>
      </c>
      <c r="G59" s="1333"/>
      <c r="H59" s="1334"/>
      <c r="I59" s="1334"/>
      <c r="J59" s="1334"/>
      <c r="K59" s="1335"/>
      <c r="L59" s="301"/>
      <c r="M59" s="516"/>
      <c r="N59" s="516"/>
      <c r="O59" s="516"/>
      <c r="P59" s="327"/>
      <c r="Q59" s="1193"/>
      <c r="R59" s="516"/>
      <c r="S59" s="516"/>
      <c r="T59" s="516"/>
      <c r="U59" s="327"/>
      <c r="W59" s="301"/>
      <c r="X59" s="516"/>
      <c r="Y59" s="516"/>
      <c r="Z59" s="516"/>
      <c r="AA59" s="327"/>
      <c r="AB59" s="1288" t="e">
        <f t="shared" si="30"/>
        <v>#DIV/0!</v>
      </c>
      <c r="AC59" s="301"/>
      <c r="AD59" s="516"/>
      <c r="AE59" s="516"/>
      <c r="AF59" s="516"/>
      <c r="AG59" s="516"/>
      <c r="AH59" s="1294" t="e">
        <f t="shared" si="32"/>
        <v>#DIV/0!</v>
      </c>
      <c r="AI59" s="66"/>
      <c r="AL59" s="1333"/>
      <c r="AM59" s="1334"/>
      <c r="AN59" s="1334"/>
      <c r="AO59" s="1334"/>
      <c r="AP59" s="1335"/>
      <c r="AQ59" s="305"/>
      <c r="AR59" s="521"/>
      <c r="AS59" s="329"/>
    </row>
    <row r="60" spans="5:70" ht="12.75" customHeight="1">
      <c r="E60" s="3667"/>
      <c r="F60" s="1715" t="s">
        <v>627</v>
      </c>
      <c r="G60" s="1333"/>
      <c r="H60" s="1334"/>
      <c r="I60" s="1334"/>
      <c r="J60" s="1334"/>
      <c r="K60" s="1335"/>
      <c r="L60" s="301"/>
      <c r="M60" s="516"/>
      <c r="N60" s="516"/>
      <c r="O60" s="516"/>
      <c r="P60" s="327"/>
      <c r="Q60" s="1193"/>
      <c r="R60" s="516"/>
      <c r="S60" s="516"/>
      <c r="T60" s="516"/>
      <c r="U60" s="327"/>
      <c r="W60" s="301"/>
      <c r="X60" s="516"/>
      <c r="Y60" s="516"/>
      <c r="Z60" s="516"/>
      <c r="AA60" s="327"/>
      <c r="AB60" s="1288" t="e">
        <f t="shared" si="30"/>
        <v>#DIV/0!</v>
      </c>
      <c r="AC60" s="301"/>
      <c r="AD60" s="516"/>
      <c r="AE60" s="516"/>
      <c r="AF60" s="516"/>
      <c r="AG60" s="516"/>
      <c r="AH60" s="1294" t="e">
        <f t="shared" si="32"/>
        <v>#DIV/0!</v>
      </c>
      <c r="AI60" s="66"/>
      <c r="AL60" s="1333"/>
      <c r="AM60" s="1334"/>
      <c r="AN60" s="1334"/>
      <c r="AO60" s="1334"/>
      <c r="AP60" s="1335"/>
      <c r="AQ60" s="305"/>
      <c r="AR60" s="521"/>
      <c r="AS60" s="329"/>
    </row>
    <row r="61" spans="5:70" ht="12.75" customHeight="1">
      <c r="E61" s="3667"/>
      <c r="F61" s="1715" t="s">
        <v>628</v>
      </c>
      <c r="G61" s="1333"/>
      <c r="H61" s="1334"/>
      <c r="I61" s="1334"/>
      <c r="J61" s="1334"/>
      <c r="K61" s="1335"/>
      <c r="L61" s="253">
        <f>SUM(L56:L60)</f>
        <v>0</v>
      </c>
      <c r="M61" s="511">
        <f t="shared" ref="M61:AA61" si="34">SUM(M56:M60)</f>
        <v>0</v>
      </c>
      <c r="N61" s="511">
        <f t="shared" si="34"/>
        <v>0</v>
      </c>
      <c r="O61" s="511">
        <f t="shared" si="34"/>
        <v>0</v>
      </c>
      <c r="P61" s="512">
        <f t="shared" si="34"/>
        <v>0</v>
      </c>
      <c r="Q61" s="270">
        <f t="shared" si="34"/>
        <v>0</v>
      </c>
      <c r="R61" s="511">
        <f t="shared" si="34"/>
        <v>0</v>
      </c>
      <c r="S61" s="511">
        <f t="shared" si="34"/>
        <v>0</v>
      </c>
      <c r="T61" s="511">
        <f t="shared" si="34"/>
        <v>0</v>
      </c>
      <c r="U61" s="512">
        <f t="shared" si="34"/>
        <v>0</v>
      </c>
      <c r="W61" s="253">
        <f t="shared" si="34"/>
        <v>0</v>
      </c>
      <c r="X61" s="511">
        <f t="shared" si="34"/>
        <v>0</v>
      </c>
      <c r="Y61" s="511">
        <f t="shared" si="34"/>
        <v>0</v>
      </c>
      <c r="Z61" s="511">
        <f t="shared" si="34"/>
        <v>0</v>
      </c>
      <c r="AA61" s="512">
        <f t="shared" si="34"/>
        <v>0</v>
      </c>
      <c r="AB61" s="1288" t="e">
        <f t="shared" si="30"/>
        <v>#DIV/0!</v>
      </c>
      <c r="AC61" s="253">
        <f t="shared" ref="AC61:AG61" si="35">SUM(AC56:AC60)</f>
        <v>0</v>
      </c>
      <c r="AD61" s="511">
        <f t="shared" si="35"/>
        <v>0</v>
      </c>
      <c r="AE61" s="511">
        <f t="shared" si="35"/>
        <v>0</v>
      </c>
      <c r="AF61" s="511">
        <f t="shared" si="35"/>
        <v>0</v>
      </c>
      <c r="AG61" s="511">
        <f t="shared" si="35"/>
        <v>0</v>
      </c>
      <c r="AH61" s="1295" t="e">
        <f t="shared" si="32"/>
        <v>#DIV/0!</v>
      </c>
      <c r="AI61" s="66"/>
      <c r="AL61" s="1333"/>
      <c r="AM61" s="1334"/>
      <c r="AN61" s="1334"/>
      <c r="AO61" s="1334"/>
      <c r="AP61" s="1335"/>
      <c r="AQ61" s="253">
        <f>SUM(AQ56:AQ60)</f>
        <v>0</v>
      </c>
      <c r="AR61" s="511">
        <f t="shared" ref="AR61:AS61" si="36">SUM(AR56:AR60)</f>
        <v>0</v>
      </c>
      <c r="AS61" s="512">
        <f t="shared" si="36"/>
        <v>0</v>
      </c>
    </row>
    <row r="62" spans="5:70">
      <c r="E62" s="3667"/>
      <c r="F62" s="1716" t="s">
        <v>623</v>
      </c>
      <c r="G62" s="1336"/>
      <c r="H62" s="1337"/>
      <c r="I62" s="1337"/>
      <c r="J62" s="1337"/>
      <c r="K62" s="1338"/>
      <c r="L62" s="304"/>
      <c r="M62" s="520"/>
      <c r="N62" s="520"/>
      <c r="O62" s="520"/>
      <c r="P62" s="328"/>
      <c r="Q62" s="1202"/>
      <c r="R62" s="520"/>
      <c r="S62" s="520"/>
      <c r="T62" s="520"/>
      <c r="U62" s="328"/>
      <c r="W62" s="304"/>
      <c r="X62" s="520"/>
      <c r="Y62" s="520"/>
      <c r="Z62" s="520"/>
      <c r="AA62" s="328"/>
      <c r="AB62" s="1233"/>
      <c r="AC62" s="304"/>
      <c r="AD62" s="520"/>
      <c r="AE62" s="520"/>
      <c r="AF62" s="520"/>
      <c r="AG62" s="520"/>
      <c r="AH62" s="1296"/>
      <c r="AI62" s="66"/>
      <c r="AL62" s="1336"/>
      <c r="AM62" s="1337"/>
      <c r="AN62" s="1337"/>
      <c r="AO62" s="1337"/>
      <c r="AP62" s="1338"/>
      <c r="AQ62" s="304"/>
      <c r="AR62" s="520"/>
      <c r="AS62" s="328"/>
    </row>
    <row r="63" spans="5:70">
      <c r="E63" s="3667"/>
      <c r="F63" s="1717" t="s">
        <v>629</v>
      </c>
      <c r="G63" s="1333"/>
      <c r="H63" s="1334"/>
      <c r="I63" s="1334"/>
      <c r="J63" s="1334"/>
      <c r="K63" s="1335"/>
      <c r="L63" s="301"/>
      <c r="M63" s="516"/>
      <c r="N63" s="516"/>
      <c r="O63" s="516"/>
      <c r="P63" s="327"/>
      <c r="Q63" s="1193"/>
      <c r="R63" s="516"/>
      <c r="S63" s="516"/>
      <c r="T63" s="516"/>
      <c r="U63" s="327"/>
      <c r="W63" s="301"/>
      <c r="X63" s="516"/>
      <c r="Y63" s="516"/>
      <c r="Z63" s="516"/>
      <c r="AA63" s="327"/>
      <c r="AB63" s="1288"/>
      <c r="AC63" s="301"/>
      <c r="AD63" s="516"/>
      <c r="AE63" s="516"/>
      <c r="AF63" s="516"/>
      <c r="AG63" s="516"/>
      <c r="AH63" s="1294"/>
      <c r="AI63" s="66"/>
      <c r="AL63" s="1333"/>
      <c r="AM63" s="1334"/>
      <c r="AN63" s="1334"/>
      <c r="AO63" s="1334"/>
      <c r="AP63" s="1335"/>
      <c r="AQ63" s="305"/>
      <c r="AR63" s="521"/>
      <c r="AS63" s="329"/>
    </row>
    <row r="64" spans="5:70">
      <c r="E64" s="3667"/>
      <c r="F64" s="485" t="s">
        <v>594</v>
      </c>
      <c r="G64" s="1333"/>
      <c r="H64" s="1334"/>
      <c r="I64" s="1334"/>
      <c r="J64" s="1334"/>
      <c r="K64" s="1335"/>
      <c r="L64" s="301"/>
      <c r="M64" s="516"/>
      <c r="N64" s="516"/>
      <c r="O64" s="516"/>
      <c r="P64" s="327"/>
      <c r="Q64" s="1193"/>
      <c r="R64" s="516"/>
      <c r="S64" s="516"/>
      <c r="T64" s="516"/>
      <c r="U64" s="327"/>
      <c r="W64" s="301"/>
      <c r="X64" s="516"/>
      <c r="Y64" s="516"/>
      <c r="Z64" s="516"/>
      <c r="AA64" s="327"/>
      <c r="AB64" s="1288"/>
      <c r="AC64" s="301"/>
      <c r="AD64" s="516"/>
      <c r="AE64" s="516"/>
      <c r="AF64" s="516"/>
      <c r="AG64" s="516"/>
      <c r="AH64" s="1294"/>
      <c r="AI64" s="66"/>
      <c r="AL64" s="1333"/>
      <c r="AM64" s="1334"/>
      <c r="AN64" s="1334"/>
      <c r="AO64" s="1334"/>
      <c r="AP64" s="1335"/>
      <c r="AQ64" s="305"/>
      <c r="AR64" s="521"/>
      <c r="AS64" s="329"/>
    </row>
    <row r="65" spans="5:70">
      <c r="E65" s="3667"/>
      <c r="F65" s="485" t="s">
        <v>595</v>
      </c>
      <c r="G65" s="1333"/>
      <c r="H65" s="1334"/>
      <c r="I65" s="1334"/>
      <c r="J65" s="1334"/>
      <c r="K65" s="1335"/>
      <c r="L65" s="301"/>
      <c r="M65" s="516"/>
      <c r="N65" s="516"/>
      <c r="O65" s="516"/>
      <c r="P65" s="327"/>
      <c r="Q65" s="1193"/>
      <c r="R65" s="516"/>
      <c r="S65" s="516"/>
      <c r="T65" s="516"/>
      <c r="U65" s="327"/>
      <c r="W65" s="301"/>
      <c r="X65" s="516"/>
      <c r="Y65" s="516"/>
      <c r="Z65" s="516"/>
      <c r="AA65" s="327"/>
      <c r="AB65" s="1288"/>
      <c r="AC65" s="301"/>
      <c r="AD65" s="516"/>
      <c r="AE65" s="516"/>
      <c r="AF65" s="516"/>
      <c r="AG65" s="516"/>
      <c r="AH65" s="1294"/>
      <c r="AI65" s="66"/>
      <c r="AL65" s="1333"/>
      <c r="AM65" s="1334"/>
      <c r="AN65" s="1334"/>
      <c r="AO65" s="1334"/>
      <c r="AP65" s="1335"/>
      <c r="AQ65" s="305"/>
      <c r="AR65" s="521"/>
      <c r="AS65" s="329"/>
    </row>
    <row r="66" spans="5:70">
      <c r="E66" s="3667"/>
      <c r="F66" s="485" t="s">
        <v>614</v>
      </c>
      <c r="G66" s="1339"/>
      <c r="H66" s="1340"/>
      <c r="I66" s="1340"/>
      <c r="J66" s="1340"/>
      <c r="K66" s="1341"/>
      <c r="L66" s="305"/>
      <c r="M66" s="511"/>
      <c r="N66" s="511"/>
      <c r="O66" s="511"/>
      <c r="P66" s="512"/>
      <c r="Q66" s="270"/>
      <c r="R66" s="511"/>
      <c r="S66" s="511"/>
      <c r="T66" s="511"/>
      <c r="U66" s="512"/>
      <c r="W66" s="253"/>
      <c r="X66" s="511"/>
      <c r="Y66" s="511"/>
      <c r="Z66" s="511"/>
      <c r="AA66" s="512"/>
      <c r="AB66" s="1288"/>
      <c r="AC66" s="253"/>
      <c r="AD66" s="511"/>
      <c r="AE66" s="511"/>
      <c r="AF66" s="511"/>
      <c r="AG66" s="511"/>
      <c r="AH66" s="1295"/>
      <c r="AI66" s="66"/>
      <c r="AL66" s="1339"/>
      <c r="AM66" s="1340"/>
      <c r="AN66" s="1340"/>
      <c r="AO66" s="1340"/>
      <c r="AP66" s="1341"/>
      <c r="AQ66" s="305"/>
      <c r="AR66" s="511"/>
      <c r="AS66" s="512"/>
    </row>
    <row r="67" spans="5:70">
      <c r="E67" s="3667"/>
      <c r="F67" s="1718" t="s">
        <v>615</v>
      </c>
      <c r="G67" s="1336"/>
      <c r="H67" s="1337"/>
      <c r="I67" s="1337"/>
      <c r="J67" s="1337"/>
      <c r="K67" s="1338"/>
      <c r="L67" s="304">
        <f>SUM(L64:L66)</f>
        <v>0</v>
      </c>
      <c r="M67" s="520">
        <f t="shared" ref="M67:P67" si="37">SUM(M64:M66)</f>
        <v>0</v>
      </c>
      <c r="N67" s="520">
        <f t="shared" si="37"/>
        <v>0</v>
      </c>
      <c r="O67" s="520">
        <f t="shared" si="37"/>
        <v>0</v>
      </c>
      <c r="P67" s="328">
        <f t="shared" si="37"/>
        <v>0</v>
      </c>
      <c r="Q67" s="1202">
        <f>SUM(Q64:Q66)</f>
        <v>0</v>
      </c>
      <c r="R67" s="520">
        <f t="shared" ref="R67:Z67" si="38">SUM(R64:R66)</f>
        <v>0</v>
      </c>
      <c r="S67" s="520">
        <f t="shared" si="38"/>
        <v>0</v>
      </c>
      <c r="T67" s="520">
        <f t="shared" si="38"/>
        <v>0</v>
      </c>
      <c r="U67" s="328">
        <f t="shared" si="38"/>
        <v>0</v>
      </c>
      <c r="W67" s="304">
        <f t="shared" si="38"/>
        <v>0</v>
      </c>
      <c r="X67" s="520">
        <f t="shared" si="38"/>
        <v>0</v>
      </c>
      <c r="Y67" s="520">
        <f t="shared" si="38"/>
        <v>0</v>
      </c>
      <c r="Z67" s="520">
        <f t="shared" si="38"/>
        <v>0</v>
      </c>
      <c r="AA67" s="328">
        <f>SUM(AA64:AA66)</f>
        <v>0</v>
      </c>
      <c r="AB67" s="1233" t="e">
        <f>SUM(G67:K67)/SUM(W67:AA67)-1</f>
        <v>#DIV/0!</v>
      </c>
      <c r="AC67" s="304">
        <f t="shared" ref="AC67:AG67" si="39">SUM(AC64:AC66)</f>
        <v>0</v>
      </c>
      <c r="AD67" s="520">
        <f t="shared" si="39"/>
        <v>0</v>
      </c>
      <c r="AE67" s="520">
        <f t="shared" si="39"/>
        <v>0</v>
      </c>
      <c r="AF67" s="520">
        <f t="shared" si="39"/>
        <v>0</v>
      </c>
      <c r="AG67" s="520">
        <f t="shared" si="39"/>
        <v>0</v>
      </c>
      <c r="AH67" s="1296" t="e">
        <f>SUM(L67:P67)/SUM(AC67:AG67)-1</f>
        <v>#DIV/0!</v>
      </c>
      <c r="AI67" s="66"/>
      <c r="AL67" s="1336"/>
      <c r="AM67" s="1337"/>
      <c r="AN67" s="1337"/>
      <c r="AO67" s="1337"/>
      <c r="AP67" s="1338"/>
      <c r="AQ67" s="304">
        <f>SUM(AQ64:AQ66)</f>
        <v>0</v>
      </c>
      <c r="AR67" s="520">
        <f t="shared" ref="AR67:AS67" si="40">SUM(AR64:AR66)</f>
        <v>0</v>
      </c>
      <c r="AS67" s="328">
        <f t="shared" si="40"/>
        <v>0</v>
      </c>
    </row>
    <row r="68" spans="5:70" ht="13.5" thickBot="1">
      <c r="E68" s="3668"/>
      <c r="F68" s="1726" t="s">
        <v>619</v>
      </c>
      <c r="G68" s="301"/>
      <c r="H68" s="516"/>
      <c r="I68" s="516"/>
      <c r="J68" s="516"/>
      <c r="K68" s="327"/>
      <c r="L68" s="253"/>
      <c r="M68" s="511"/>
      <c r="N68" s="511"/>
      <c r="O68" s="511"/>
      <c r="P68" s="512"/>
      <c r="Q68" s="270"/>
      <c r="R68" s="511"/>
      <c r="S68" s="511"/>
      <c r="T68" s="511"/>
      <c r="U68" s="512"/>
      <c r="W68" s="253"/>
      <c r="X68" s="516"/>
      <c r="Y68" s="516"/>
      <c r="Z68" s="516"/>
      <c r="AA68" s="327"/>
      <c r="AB68" s="1288" t="e">
        <f>SUM(G68:K68)/SUM(W68:AA68)-1</f>
        <v>#DIV/0!</v>
      </c>
      <c r="AC68" s="253"/>
      <c r="AD68" s="511"/>
      <c r="AE68" s="511"/>
      <c r="AF68" s="511"/>
      <c r="AG68" s="511"/>
      <c r="AH68" s="1295" t="e">
        <f>SUM(L68:P68)/SUM(AC68:AG68)-1</f>
        <v>#DIV/0!</v>
      </c>
      <c r="AI68" s="66"/>
      <c r="AL68" s="305"/>
      <c r="AM68" s="521"/>
      <c r="AN68" s="521"/>
      <c r="AO68" s="521"/>
      <c r="AP68" s="329"/>
      <c r="AQ68" s="305"/>
      <c r="AR68" s="521"/>
      <c r="AS68" s="329"/>
    </row>
    <row r="69" spans="5:70" ht="13.5" thickBot="1">
      <c r="E69" s="3668"/>
      <c r="F69" s="1725" t="s">
        <v>617</v>
      </c>
      <c r="G69" s="2066"/>
      <c r="H69" s="2067"/>
      <c r="I69" s="2067"/>
      <c r="J69" s="2067"/>
      <c r="K69" s="2068"/>
      <c r="L69" s="2066"/>
      <c r="M69" s="2067"/>
      <c r="N69" s="2067"/>
      <c r="O69" s="2067"/>
      <c r="P69" s="2068"/>
      <c r="Q69" s="2069"/>
      <c r="R69" s="2067"/>
      <c r="S69" s="2067"/>
      <c r="T69" s="2067"/>
      <c r="U69" s="2068"/>
      <c r="V69" s="1427"/>
      <c r="W69" s="2081"/>
      <c r="X69" s="2082"/>
      <c r="Y69" s="2082"/>
      <c r="Z69" s="2082"/>
      <c r="AA69" s="2082"/>
      <c r="AB69" s="2082"/>
      <c r="AC69" s="2082"/>
      <c r="AD69" s="2082"/>
      <c r="AE69" s="2082"/>
      <c r="AF69" s="2082"/>
      <c r="AG69" s="2082"/>
      <c r="AH69" s="2083"/>
      <c r="AI69" s="66"/>
      <c r="AL69" s="305"/>
      <c r="AM69" s="521"/>
      <c r="AN69" s="521"/>
      <c r="AO69" s="521"/>
      <c r="AP69" s="329"/>
      <c r="AQ69" s="305"/>
      <c r="AR69" s="521"/>
      <c r="AS69" s="329"/>
    </row>
    <row r="70" spans="5:70">
      <c r="E70" s="3668"/>
      <c r="F70" s="1727" t="s">
        <v>620</v>
      </c>
      <c r="G70" s="1297">
        <f t="shared" ref="G70:U70" si="41">SUM(G68:G69)</f>
        <v>0</v>
      </c>
      <c r="H70" s="1298">
        <f t="shared" si="41"/>
        <v>0</v>
      </c>
      <c r="I70" s="1298">
        <f t="shared" si="41"/>
        <v>0</v>
      </c>
      <c r="J70" s="1298">
        <f t="shared" si="41"/>
        <v>0</v>
      </c>
      <c r="K70" s="1299">
        <f t="shared" si="41"/>
        <v>0</v>
      </c>
      <c r="L70" s="1297">
        <f t="shared" si="41"/>
        <v>0</v>
      </c>
      <c r="M70" s="1298">
        <f t="shared" si="41"/>
        <v>0</v>
      </c>
      <c r="N70" s="1298">
        <f t="shared" si="41"/>
        <v>0</v>
      </c>
      <c r="O70" s="1298">
        <f t="shared" si="41"/>
        <v>0</v>
      </c>
      <c r="P70" s="1299">
        <f t="shared" si="41"/>
        <v>0</v>
      </c>
      <c r="Q70" s="1342">
        <f t="shared" si="41"/>
        <v>0</v>
      </c>
      <c r="R70" s="1298">
        <f t="shared" si="41"/>
        <v>0</v>
      </c>
      <c r="S70" s="1298">
        <f t="shared" si="41"/>
        <v>0</v>
      </c>
      <c r="T70" s="1298">
        <f t="shared" si="41"/>
        <v>0</v>
      </c>
      <c r="U70" s="1299">
        <f t="shared" si="41"/>
        <v>0</v>
      </c>
      <c r="W70" s="1297">
        <f>SUM(W68:W69)</f>
        <v>0</v>
      </c>
      <c r="X70" s="1298">
        <f>SUM(X68:X69)</f>
        <v>0</v>
      </c>
      <c r="Y70" s="1298">
        <f>SUM(Y68:Y69)</f>
        <v>0</v>
      </c>
      <c r="Z70" s="1298">
        <f>SUM(Z68:Z69)</f>
        <v>0</v>
      </c>
      <c r="AA70" s="1299">
        <f>SUM(AA68:AA69)</f>
        <v>0</v>
      </c>
      <c r="AB70" s="1300" t="e">
        <f>SUM(G70:K70)/SUM(W70:AA70)-1</f>
        <v>#DIV/0!</v>
      </c>
      <c r="AC70" s="1297">
        <f>SUM(AC68:AC69)</f>
        <v>0</v>
      </c>
      <c r="AD70" s="1298">
        <f>SUM(AD68:AD69)</f>
        <v>0</v>
      </c>
      <c r="AE70" s="1298">
        <f>SUM(AE68:AE69)</f>
        <v>0</v>
      </c>
      <c r="AF70" s="1298">
        <f>SUM(AF68:AF69)</f>
        <v>0</v>
      </c>
      <c r="AG70" s="1298">
        <f>SUM(AG68:AG69)</f>
        <v>0</v>
      </c>
      <c r="AH70" s="1301" t="e">
        <f>SUM(L70:P70)/SUM(AC70:AG70)-1</f>
        <v>#DIV/0!</v>
      </c>
      <c r="AI70" s="66"/>
      <c r="AJ70" s="132"/>
      <c r="AK70" s="132"/>
      <c r="AL70" s="1297">
        <f t="shared" ref="AL70:AS70" si="42">SUM(AL68:AL69)</f>
        <v>0</v>
      </c>
      <c r="AM70" s="1298">
        <f t="shared" si="42"/>
        <v>0</v>
      </c>
      <c r="AN70" s="1298">
        <f t="shared" si="42"/>
        <v>0</v>
      </c>
      <c r="AO70" s="1298">
        <f t="shared" si="42"/>
        <v>0</v>
      </c>
      <c r="AP70" s="1299">
        <f t="shared" si="42"/>
        <v>0</v>
      </c>
      <c r="AQ70" s="1297">
        <f t="shared" si="42"/>
        <v>0</v>
      </c>
      <c r="AR70" s="1298">
        <f t="shared" si="42"/>
        <v>0</v>
      </c>
      <c r="AS70" s="1299">
        <f t="shared" si="42"/>
        <v>0</v>
      </c>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row>
    <row r="71" spans="5:70">
      <c r="E71" s="3668"/>
      <c r="F71" s="1729" t="s">
        <v>35</v>
      </c>
      <c r="G71" s="301"/>
      <c r="H71" s="516"/>
      <c r="I71" s="516"/>
      <c r="J71" s="516"/>
      <c r="K71" s="327"/>
      <c r="L71" s="301"/>
      <c r="M71" s="516"/>
      <c r="N71" s="516"/>
      <c r="O71" s="516"/>
      <c r="P71" s="327"/>
      <c r="Q71" s="1193"/>
      <c r="R71" s="516"/>
      <c r="S71" s="516"/>
      <c r="T71" s="516"/>
      <c r="U71" s="327"/>
      <c r="W71" s="301"/>
      <c r="X71" s="516"/>
      <c r="Y71" s="516"/>
      <c r="Z71" s="516"/>
      <c r="AA71" s="327"/>
      <c r="AB71" s="1246"/>
      <c r="AC71" s="301"/>
      <c r="AD71" s="516"/>
      <c r="AE71" s="516"/>
      <c r="AF71" s="516"/>
      <c r="AG71" s="516"/>
      <c r="AH71" s="1294"/>
      <c r="AI71" s="66"/>
      <c r="AL71" s="305"/>
      <c r="AM71" s="521"/>
      <c r="AN71" s="521"/>
      <c r="AO71" s="521"/>
      <c r="AP71" s="329"/>
      <c r="AQ71" s="305"/>
      <c r="AR71" s="521"/>
      <c r="AS71" s="329"/>
    </row>
    <row r="72" spans="5:70" ht="13.5" thickBot="1">
      <c r="E72" s="3668"/>
      <c r="F72" s="1728" t="s">
        <v>621</v>
      </c>
      <c r="G72" s="1302">
        <f>G70-G71</f>
        <v>0</v>
      </c>
      <c r="H72" s="1303">
        <f t="shared" ref="H72:M72" si="43">H70-H71</f>
        <v>0</v>
      </c>
      <c r="I72" s="1303">
        <f t="shared" si="43"/>
        <v>0</v>
      </c>
      <c r="J72" s="1303">
        <f t="shared" si="43"/>
        <v>0</v>
      </c>
      <c r="K72" s="1304">
        <f t="shared" si="43"/>
        <v>0</v>
      </c>
      <c r="L72" s="2026">
        <f t="shared" si="43"/>
        <v>0</v>
      </c>
      <c r="M72" s="1303">
        <f t="shared" si="43"/>
        <v>0</v>
      </c>
      <c r="N72" s="1303">
        <f t="shared" ref="N72:R72" si="44">O70-O71</f>
        <v>0</v>
      </c>
      <c r="O72" s="1303">
        <f t="shared" si="44"/>
        <v>0</v>
      </c>
      <c r="P72" s="1304">
        <f t="shared" si="44"/>
        <v>0</v>
      </c>
      <c r="Q72" s="1343">
        <f t="shared" si="44"/>
        <v>0</v>
      </c>
      <c r="R72" s="1303">
        <f t="shared" si="44"/>
        <v>0</v>
      </c>
      <c r="S72" s="1303">
        <f t="shared" ref="S72:AA72" si="45">S70-S71</f>
        <v>0</v>
      </c>
      <c r="T72" s="1303">
        <f t="shared" si="45"/>
        <v>0</v>
      </c>
      <c r="U72" s="1304">
        <f t="shared" si="45"/>
        <v>0</v>
      </c>
      <c r="W72" s="1302">
        <f t="shared" si="45"/>
        <v>0</v>
      </c>
      <c r="X72" s="1303">
        <f t="shared" si="45"/>
        <v>0</v>
      </c>
      <c r="Y72" s="1303">
        <f t="shared" si="45"/>
        <v>0</v>
      </c>
      <c r="Z72" s="1303">
        <f t="shared" si="45"/>
        <v>0</v>
      </c>
      <c r="AA72" s="1304">
        <f t="shared" si="45"/>
        <v>0</v>
      </c>
      <c r="AB72" s="1305" t="e">
        <f t="shared" ref="AB72:AB78" si="46">SUM(G72:K72)/SUM(W72:AA72)-1</f>
        <v>#DIV/0!</v>
      </c>
      <c r="AC72" s="1302">
        <f t="shared" ref="AC72:AG72" si="47">AC70-AC71</f>
        <v>0</v>
      </c>
      <c r="AD72" s="1303">
        <f t="shared" si="47"/>
        <v>0</v>
      </c>
      <c r="AE72" s="1303">
        <f t="shared" si="47"/>
        <v>0</v>
      </c>
      <c r="AF72" s="1303">
        <f t="shared" si="47"/>
        <v>0</v>
      </c>
      <c r="AG72" s="1303">
        <f t="shared" si="47"/>
        <v>0</v>
      </c>
      <c r="AH72" s="1306" t="e">
        <f t="shared" ref="AH72:AH78" si="48">SUM(L72:P72)/SUM(AC72:AG72)-1</f>
        <v>#DIV/0!</v>
      </c>
      <c r="AI72" s="66"/>
      <c r="AL72" s="2026">
        <f>AL70-AL71</f>
        <v>0</v>
      </c>
      <c r="AM72" s="1303">
        <f t="shared" ref="AM72:AR72" si="49">AM70-AM71</f>
        <v>0</v>
      </c>
      <c r="AN72" s="1303">
        <f t="shared" si="49"/>
        <v>0</v>
      </c>
      <c r="AO72" s="1303">
        <f t="shared" si="49"/>
        <v>0</v>
      </c>
      <c r="AP72" s="1304">
        <f t="shared" si="49"/>
        <v>0</v>
      </c>
      <c r="AQ72" s="2026">
        <f t="shared" si="49"/>
        <v>0</v>
      </c>
      <c r="AR72" s="1303">
        <f t="shared" si="49"/>
        <v>0</v>
      </c>
      <c r="AS72" s="1304" t="e">
        <f>#REF!-#REF!</f>
        <v>#REF!</v>
      </c>
    </row>
    <row r="73" spans="5:70" ht="12.75" customHeight="1">
      <c r="E73" s="3666" t="s">
        <v>290</v>
      </c>
      <c r="F73" s="487" t="s">
        <v>115</v>
      </c>
      <c r="G73" s="1336"/>
      <c r="H73" s="1337"/>
      <c r="I73" s="1337"/>
      <c r="J73" s="1337"/>
      <c r="K73" s="1338"/>
      <c r="L73" s="304"/>
      <c r="M73" s="520"/>
      <c r="N73" s="520"/>
      <c r="O73" s="520"/>
      <c r="P73" s="328"/>
      <c r="Q73" s="1202"/>
      <c r="R73" s="520"/>
      <c r="S73" s="520"/>
      <c r="T73" s="520"/>
      <c r="U73" s="328"/>
      <c r="W73" s="1290"/>
      <c r="X73" s="475"/>
      <c r="Y73" s="475"/>
      <c r="Z73" s="475"/>
      <c r="AA73" s="1291"/>
      <c r="AB73" s="1292" t="e">
        <f t="shared" si="46"/>
        <v>#DIV/0!</v>
      </c>
      <c r="AC73" s="1290"/>
      <c r="AD73" s="475"/>
      <c r="AE73" s="475"/>
      <c r="AF73" s="475"/>
      <c r="AG73" s="475"/>
      <c r="AH73" s="1293" t="e">
        <f t="shared" si="48"/>
        <v>#DIV/0!</v>
      </c>
      <c r="AL73" s="1336"/>
      <c r="AM73" s="1337"/>
      <c r="AN73" s="1337"/>
      <c r="AO73" s="1337"/>
      <c r="AP73" s="1338"/>
      <c r="AQ73" s="304"/>
      <c r="AR73" s="520"/>
      <c r="AS73" s="328"/>
    </row>
    <row r="74" spans="5:70" ht="12.75" customHeight="1">
      <c r="E74" s="3667"/>
      <c r="F74" s="1715" t="s">
        <v>624</v>
      </c>
      <c r="G74" s="1333"/>
      <c r="H74" s="1334"/>
      <c r="I74" s="1334"/>
      <c r="J74" s="1334"/>
      <c r="K74" s="1335"/>
      <c r="L74" s="301"/>
      <c r="M74" s="516"/>
      <c r="N74" s="516"/>
      <c r="O74" s="516"/>
      <c r="P74" s="327"/>
      <c r="Q74" s="1193"/>
      <c r="R74" s="516"/>
      <c r="S74" s="516"/>
      <c r="T74" s="516"/>
      <c r="U74" s="327"/>
      <c r="W74" s="301"/>
      <c r="X74" s="516"/>
      <c r="Y74" s="516"/>
      <c r="Z74" s="516"/>
      <c r="AA74" s="327"/>
      <c r="AB74" s="1288" t="e">
        <f t="shared" si="46"/>
        <v>#DIV/0!</v>
      </c>
      <c r="AC74" s="301"/>
      <c r="AD74" s="516"/>
      <c r="AE74" s="516"/>
      <c r="AF74" s="516"/>
      <c r="AG74" s="516"/>
      <c r="AH74" s="1294" t="e">
        <f t="shared" si="48"/>
        <v>#DIV/0!</v>
      </c>
      <c r="AL74" s="1333"/>
      <c r="AM74" s="1334"/>
      <c r="AN74" s="1334"/>
      <c r="AO74" s="1334"/>
      <c r="AP74" s="1335"/>
      <c r="AQ74" s="305"/>
      <c r="AR74" s="521"/>
      <c r="AS74" s="329"/>
    </row>
    <row r="75" spans="5:70" ht="12.75" customHeight="1">
      <c r="E75" s="3667"/>
      <c r="F75" s="1715" t="s">
        <v>625</v>
      </c>
      <c r="G75" s="1333"/>
      <c r="H75" s="1334"/>
      <c r="I75" s="1334"/>
      <c r="J75" s="1334"/>
      <c r="K75" s="1335"/>
      <c r="L75" s="301"/>
      <c r="M75" s="516"/>
      <c r="N75" s="516"/>
      <c r="O75" s="516"/>
      <c r="P75" s="327"/>
      <c r="Q75" s="1193"/>
      <c r="R75" s="516"/>
      <c r="S75" s="516"/>
      <c r="T75" s="516"/>
      <c r="U75" s="327"/>
      <c r="W75" s="301"/>
      <c r="X75" s="516"/>
      <c r="Y75" s="516"/>
      <c r="Z75" s="516"/>
      <c r="AA75" s="327"/>
      <c r="AB75" s="1288" t="e">
        <f t="shared" si="46"/>
        <v>#DIV/0!</v>
      </c>
      <c r="AC75" s="301"/>
      <c r="AD75" s="516"/>
      <c r="AE75" s="516"/>
      <c r="AF75" s="516"/>
      <c r="AG75" s="516"/>
      <c r="AH75" s="1294" t="e">
        <f t="shared" si="48"/>
        <v>#DIV/0!</v>
      </c>
      <c r="AL75" s="1333"/>
      <c r="AM75" s="1334"/>
      <c r="AN75" s="1334"/>
      <c r="AO75" s="1334"/>
      <c r="AP75" s="1335"/>
      <c r="AQ75" s="305"/>
      <c r="AR75" s="521"/>
      <c r="AS75" s="329"/>
    </row>
    <row r="76" spans="5:70" ht="12.75" customHeight="1">
      <c r="E76" s="3667"/>
      <c r="F76" s="1715" t="s">
        <v>626</v>
      </c>
      <c r="G76" s="1333"/>
      <c r="H76" s="1334"/>
      <c r="I76" s="1334"/>
      <c r="J76" s="1334"/>
      <c r="K76" s="1335"/>
      <c r="L76" s="301"/>
      <c r="M76" s="516"/>
      <c r="N76" s="516"/>
      <c r="O76" s="516"/>
      <c r="P76" s="327"/>
      <c r="Q76" s="1193"/>
      <c r="R76" s="516"/>
      <c r="S76" s="516"/>
      <c r="T76" s="516"/>
      <c r="U76" s="327"/>
      <c r="W76" s="301"/>
      <c r="X76" s="516"/>
      <c r="Y76" s="516"/>
      <c r="Z76" s="516"/>
      <c r="AA76" s="327"/>
      <c r="AB76" s="1288" t="e">
        <f t="shared" si="46"/>
        <v>#DIV/0!</v>
      </c>
      <c r="AC76" s="301"/>
      <c r="AD76" s="516"/>
      <c r="AE76" s="516"/>
      <c r="AF76" s="516"/>
      <c r="AG76" s="516"/>
      <c r="AH76" s="1294" t="e">
        <f t="shared" si="48"/>
        <v>#DIV/0!</v>
      </c>
      <c r="AL76" s="1333"/>
      <c r="AM76" s="1334"/>
      <c r="AN76" s="1334"/>
      <c r="AO76" s="1334"/>
      <c r="AP76" s="1335"/>
      <c r="AQ76" s="305"/>
      <c r="AR76" s="521"/>
      <c r="AS76" s="329"/>
    </row>
    <row r="77" spans="5:70" ht="12.75" customHeight="1">
      <c r="E77" s="3667"/>
      <c r="F77" s="1715" t="s">
        <v>627</v>
      </c>
      <c r="G77" s="1333"/>
      <c r="H77" s="1334"/>
      <c r="I77" s="1334"/>
      <c r="J77" s="1334"/>
      <c r="K77" s="1335"/>
      <c r="L77" s="301"/>
      <c r="M77" s="516"/>
      <c r="N77" s="516"/>
      <c r="O77" s="516"/>
      <c r="P77" s="327"/>
      <c r="Q77" s="1193"/>
      <c r="R77" s="516"/>
      <c r="S77" s="516"/>
      <c r="T77" s="516"/>
      <c r="U77" s="327"/>
      <c r="W77" s="301"/>
      <c r="X77" s="516"/>
      <c r="Y77" s="516"/>
      <c r="Z77" s="516"/>
      <c r="AA77" s="327"/>
      <c r="AB77" s="1288" t="e">
        <f t="shared" si="46"/>
        <v>#DIV/0!</v>
      </c>
      <c r="AC77" s="301"/>
      <c r="AD77" s="516"/>
      <c r="AE77" s="516"/>
      <c r="AF77" s="516"/>
      <c r="AG77" s="516"/>
      <c r="AH77" s="1294" t="e">
        <f t="shared" si="48"/>
        <v>#DIV/0!</v>
      </c>
      <c r="AL77" s="1333"/>
      <c r="AM77" s="1334"/>
      <c r="AN77" s="1334"/>
      <c r="AO77" s="1334"/>
      <c r="AP77" s="1335"/>
      <c r="AQ77" s="305"/>
      <c r="AR77" s="521"/>
      <c r="AS77" s="329"/>
    </row>
    <row r="78" spans="5:70" ht="12.75" customHeight="1">
      <c r="E78" s="3667"/>
      <c r="F78" s="1715" t="s">
        <v>628</v>
      </c>
      <c r="G78" s="1333"/>
      <c r="H78" s="1334"/>
      <c r="I78" s="1334"/>
      <c r="J78" s="1334"/>
      <c r="K78" s="1335"/>
      <c r="L78" s="253">
        <f>SUM(L73:L77)</f>
        <v>0</v>
      </c>
      <c r="M78" s="511">
        <f t="shared" ref="M78:AA78" si="50">SUM(M73:M77)</f>
        <v>0</v>
      </c>
      <c r="N78" s="511">
        <f t="shared" ref="N78" si="51">SUM(N73:N77)</f>
        <v>0</v>
      </c>
      <c r="O78" s="511">
        <f t="shared" si="50"/>
        <v>0</v>
      </c>
      <c r="P78" s="512">
        <f t="shared" si="50"/>
        <v>0</v>
      </c>
      <c r="Q78" s="270">
        <f t="shared" si="50"/>
        <v>0</v>
      </c>
      <c r="R78" s="511">
        <f t="shared" si="50"/>
        <v>0</v>
      </c>
      <c r="S78" s="511">
        <f t="shared" si="50"/>
        <v>0</v>
      </c>
      <c r="T78" s="511">
        <f t="shared" si="50"/>
        <v>0</v>
      </c>
      <c r="U78" s="512">
        <f t="shared" si="50"/>
        <v>0</v>
      </c>
      <c r="W78" s="253">
        <f t="shared" si="50"/>
        <v>0</v>
      </c>
      <c r="X78" s="511">
        <f t="shared" si="50"/>
        <v>0</v>
      </c>
      <c r="Y78" s="511">
        <f t="shared" si="50"/>
        <v>0</v>
      </c>
      <c r="Z78" s="511">
        <f t="shared" si="50"/>
        <v>0</v>
      </c>
      <c r="AA78" s="512">
        <f t="shared" si="50"/>
        <v>0</v>
      </c>
      <c r="AB78" s="1288" t="e">
        <f t="shared" si="46"/>
        <v>#DIV/0!</v>
      </c>
      <c r="AC78" s="253">
        <f t="shared" ref="AC78:AG78" si="52">SUM(AC73:AC77)</f>
        <v>0</v>
      </c>
      <c r="AD78" s="511">
        <f t="shared" si="52"/>
        <v>0</v>
      </c>
      <c r="AE78" s="511">
        <f t="shared" si="52"/>
        <v>0</v>
      </c>
      <c r="AF78" s="511">
        <f t="shared" si="52"/>
        <v>0</v>
      </c>
      <c r="AG78" s="511">
        <f t="shared" si="52"/>
        <v>0</v>
      </c>
      <c r="AH78" s="1295" t="e">
        <f t="shared" si="48"/>
        <v>#DIV/0!</v>
      </c>
      <c r="AL78" s="1333"/>
      <c r="AM78" s="1334"/>
      <c r="AN78" s="1334"/>
      <c r="AO78" s="1334"/>
      <c r="AP78" s="1335"/>
      <c r="AQ78" s="253">
        <f>SUM(AQ73:AQ77)</f>
        <v>0</v>
      </c>
      <c r="AR78" s="511">
        <f t="shared" ref="AR78:AS78" si="53">SUM(AR73:AR77)</f>
        <v>0</v>
      </c>
      <c r="AS78" s="512">
        <f t="shared" si="53"/>
        <v>0</v>
      </c>
    </row>
    <row r="79" spans="5:70">
      <c r="E79" s="3667"/>
      <c r="F79" s="1716" t="s">
        <v>623</v>
      </c>
      <c r="G79" s="1336"/>
      <c r="H79" s="1337"/>
      <c r="I79" s="1337"/>
      <c r="J79" s="1337"/>
      <c r="K79" s="1338"/>
      <c r="L79" s="304"/>
      <c r="M79" s="520"/>
      <c r="N79" s="520"/>
      <c r="O79" s="520"/>
      <c r="P79" s="328"/>
      <c r="Q79" s="1202"/>
      <c r="R79" s="520"/>
      <c r="S79" s="520"/>
      <c r="T79" s="520"/>
      <c r="U79" s="328"/>
      <c r="W79" s="304"/>
      <c r="X79" s="520"/>
      <c r="Y79" s="520"/>
      <c r="Z79" s="520"/>
      <c r="AA79" s="328"/>
      <c r="AB79" s="1233"/>
      <c r="AC79" s="304"/>
      <c r="AD79" s="520"/>
      <c r="AE79" s="520"/>
      <c r="AF79" s="520"/>
      <c r="AG79" s="520"/>
      <c r="AH79" s="1296"/>
      <c r="AL79" s="1336"/>
      <c r="AM79" s="1337"/>
      <c r="AN79" s="1337"/>
      <c r="AO79" s="1337"/>
      <c r="AP79" s="1338"/>
      <c r="AQ79" s="304"/>
      <c r="AR79" s="520"/>
      <c r="AS79" s="328"/>
    </row>
    <row r="80" spans="5:70">
      <c r="E80" s="3667"/>
      <c r="F80" s="1717" t="s">
        <v>629</v>
      </c>
      <c r="G80" s="1333"/>
      <c r="H80" s="1334"/>
      <c r="I80" s="1334"/>
      <c r="J80" s="1334"/>
      <c r="K80" s="1335"/>
      <c r="L80" s="301"/>
      <c r="M80" s="516"/>
      <c r="N80" s="516"/>
      <c r="O80" s="516"/>
      <c r="P80" s="327"/>
      <c r="Q80" s="1193"/>
      <c r="R80" s="516"/>
      <c r="S80" s="516"/>
      <c r="T80" s="516"/>
      <c r="U80" s="327"/>
      <c r="W80" s="301"/>
      <c r="X80" s="516"/>
      <c r="Y80" s="516"/>
      <c r="Z80" s="516"/>
      <c r="AA80" s="327"/>
      <c r="AB80" s="1288"/>
      <c r="AC80" s="301"/>
      <c r="AD80" s="516"/>
      <c r="AE80" s="516"/>
      <c r="AF80" s="516"/>
      <c r="AG80" s="516"/>
      <c r="AH80" s="1294"/>
      <c r="AL80" s="1333"/>
      <c r="AM80" s="1334"/>
      <c r="AN80" s="1334"/>
      <c r="AO80" s="1334"/>
      <c r="AP80" s="1335"/>
      <c r="AQ80" s="305"/>
      <c r="AR80" s="521"/>
      <c r="AS80" s="329"/>
    </row>
    <row r="81" spans="5:70">
      <c r="E81" s="3667"/>
      <c r="F81" s="485" t="s">
        <v>594</v>
      </c>
      <c r="G81" s="1333"/>
      <c r="H81" s="1334"/>
      <c r="I81" s="1334"/>
      <c r="J81" s="1334"/>
      <c r="K81" s="1335"/>
      <c r="L81" s="301"/>
      <c r="M81" s="516"/>
      <c r="N81" s="516"/>
      <c r="O81" s="516"/>
      <c r="P81" s="327"/>
      <c r="Q81" s="1193"/>
      <c r="R81" s="516"/>
      <c r="S81" s="516"/>
      <c r="T81" s="516"/>
      <c r="U81" s="327"/>
      <c r="W81" s="301"/>
      <c r="X81" s="516"/>
      <c r="Y81" s="516"/>
      <c r="Z81" s="516"/>
      <c r="AA81" s="327"/>
      <c r="AB81" s="1288"/>
      <c r="AC81" s="301"/>
      <c r="AD81" s="516"/>
      <c r="AE81" s="516"/>
      <c r="AF81" s="516"/>
      <c r="AG81" s="516"/>
      <c r="AH81" s="1294"/>
      <c r="AL81" s="1333"/>
      <c r="AM81" s="1334"/>
      <c r="AN81" s="1334"/>
      <c r="AO81" s="1334"/>
      <c r="AP81" s="1335"/>
      <c r="AQ81" s="305"/>
      <c r="AR81" s="521"/>
      <c r="AS81" s="329"/>
    </row>
    <row r="82" spans="5:70">
      <c r="E82" s="3667"/>
      <c r="F82" s="485" t="s">
        <v>595</v>
      </c>
      <c r="G82" s="1333"/>
      <c r="H82" s="1334"/>
      <c r="I82" s="1334"/>
      <c r="J82" s="1334"/>
      <c r="K82" s="1335"/>
      <c r="L82" s="301"/>
      <c r="M82" s="516"/>
      <c r="N82" s="516"/>
      <c r="O82" s="516"/>
      <c r="P82" s="327"/>
      <c r="Q82" s="1193"/>
      <c r="R82" s="516"/>
      <c r="S82" s="516"/>
      <c r="T82" s="516"/>
      <c r="U82" s="327"/>
      <c r="W82" s="301"/>
      <c r="X82" s="516"/>
      <c r="Y82" s="516"/>
      <c r="Z82" s="516"/>
      <c r="AA82" s="327"/>
      <c r="AB82" s="1288"/>
      <c r="AC82" s="301"/>
      <c r="AD82" s="516"/>
      <c r="AE82" s="516"/>
      <c r="AF82" s="516"/>
      <c r="AG82" s="516"/>
      <c r="AH82" s="1294"/>
      <c r="AL82" s="1333"/>
      <c r="AM82" s="1334"/>
      <c r="AN82" s="1334"/>
      <c r="AO82" s="1334"/>
      <c r="AP82" s="1335"/>
      <c r="AQ82" s="305"/>
      <c r="AR82" s="521"/>
      <c r="AS82" s="329"/>
    </row>
    <row r="83" spans="5:70">
      <c r="E83" s="3667"/>
      <c r="F83" s="485" t="s">
        <v>614</v>
      </c>
      <c r="G83" s="1339"/>
      <c r="H83" s="1340"/>
      <c r="I83" s="1340"/>
      <c r="J83" s="1340"/>
      <c r="K83" s="1341"/>
      <c r="L83" s="305"/>
      <c r="M83" s="511"/>
      <c r="N83" s="511"/>
      <c r="O83" s="511"/>
      <c r="P83" s="512"/>
      <c r="Q83" s="270"/>
      <c r="R83" s="511"/>
      <c r="S83" s="511"/>
      <c r="T83" s="511"/>
      <c r="U83" s="512"/>
      <c r="W83" s="253"/>
      <c r="X83" s="511"/>
      <c r="Y83" s="511"/>
      <c r="Z83" s="511"/>
      <c r="AA83" s="512"/>
      <c r="AB83" s="1288"/>
      <c r="AC83" s="253"/>
      <c r="AD83" s="511"/>
      <c r="AE83" s="511"/>
      <c r="AF83" s="511"/>
      <c r="AG83" s="511"/>
      <c r="AH83" s="1295"/>
      <c r="AL83" s="1339"/>
      <c r="AM83" s="1340"/>
      <c r="AN83" s="1340"/>
      <c r="AO83" s="1340"/>
      <c r="AP83" s="1341"/>
      <c r="AQ83" s="305"/>
      <c r="AR83" s="511"/>
      <c r="AS83" s="512"/>
    </row>
    <row r="84" spans="5:70">
      <c r="E84" s="3667"/>
      <c r="F84" s="1718" t="s">
        <v>615</v>
      </c>
      <c r="G84" s="1336"/>
      <c r="H84" s="1337"/>
      <c r="I84" s="1337"/>
      <c r="J84" s="1337"/>
      <c r="K84" s="1338"/>
      <c r="L84" s="304">
        <f>SUM(L81:L83)</f>
        <v>0</v>
      </c>
      <c r="M84" s="520">
        <f t="shared" ref="M84:Z84" si="54">SUM(M81:M83)</f>
        <v>0</v>
      </c>
      <c r="N84" s="520">
        <f t="shared" ref="N84" si="55">SUM(N81:N83)</f>
        <v>0</v>
      </c>
      <c r="O84" s="520">
        <f t="shared" si="54"/>
        <v>0</v>
      </c>
      <c r="P84" s="328">
        <f t="shared" si="54"/>
        <v>0</v>
      </c>
      <c r="Q84" s="1202">
        <f>SUM(Q81:Q83)</f>
        <v>0</v>
      </c>
      <c r="R84" s="520">
        <f t="shared" si="54"/>
        <v>0</v>
      </c>
      <c r="S84" s="520">
        <f t="shared" si="54"/>
        <v>0</v>
      </c>
      <c r="T84" s="520">
        <f t="shared" si="54"/>
        <v>0</v>
      </c>
      <c r="U84" s="328">
        <f t="shared" si="54"/>
        <v>0</v>
      </c>
      <c r="W84" s="304">
        <f t="shared" si="54"/>
        <v>0</v>
      </c>
      <c r="X84" s="520">
        <f t="shared" si="54"/>
        <v>0</v>
      </c>
      <c r="Y84" s="520">
        <f t="shared" si="54"/>
        <v>0</v>
      </c>
      <c r="Z84" s="520">
        <f t="shared" si="54"/>
        <v>0</v>
      </c>
      <c r="AA84" s="328">
        <f>SUM(AA81:AA83)</f>
        <v>0</v>
      </c>
      <c r="AB84" s="1233" t="e">
        <f>SUM(G84:K84)/SUM(W84:AA84)-1</f>
        <v>#DIV/0!</v>
      </c>
      <c r="AC84" s="304">
        <f t="shared" ref="AC84:AG84" si="56">SUM(AC81:AC83)</f>
        <v>0</v>
      </c>
      <c r="AD84" s="520">
        <f t="shared" si="56"/>
        <v>0</v>
      </c>
      <c r="AE84" s="520">
        <f t="shared" si="56"/>
        <v>0</v>
      </c>
      <c r="AF84" s="520">
        <f t="shared" si="56"/>
        <v>0</v>
      </c>
      <c r="AG84" s="520">
        <f t="shared" si="56"/>
        <v>0</v>
      </c>
      <c r="AH84" s="1296" t="e">
        <f>SUM(L84:P84)/SUM(AC84:AG84)-1</f>
        <v>#DIV/0!</v>
      </c>
      <c r="AL84" s="1336"/>
      <c r="AM84" s="1337"/>
      <c r="AN84" s="1337"/>
      <c r="AO84" s="1337"/>
      <c r="AP84" s="1338"/>
      <c r="AQ84" s="304">
        <f>SUM(AQ81:AQ83)</f>
        <v>0</v>
      </c>
      <c r="AR84" s="520">
        <f t="shared" ref="AR84:AS84" si="57">SUM(AR81:AR83)</f>
        <v>0</v>
      </c>
      <c r="AS84" s="328">
        <f t="shared" si="57"/>
        <v>0</v>
      </c>
    </row>
    <row r="85" spans="5:70" ht="13.5" thickBot="1">
      <c r="E85" s="3667"/>
      <c r="F85" s="1282" t="s">
        <v>619</v>
      </c>
      <c r="G85" s="301"/>
      <c r="H85" s="516"/>
      <c r="I85" s="516"/>
      <c r="J85" s="516"/>
      <c r="K85" s="327"/>
      <c r="L85" s="253"/>
      <c r="M85" s="511"/>
      <c r="N85" s="511"/>
      <c r="O85" s="511"/>
      <c r="P85" s="512"/>
      <c r="Q85" s="270"/>
      <c r="R85" s="511"/>
      <c r="S85" s="511"/>
      <c r="T85" s="511"/>
      <c r="U85" s="512"/>
      <c r="W85" s="253"/>
      <c r="X85" s="516"/>
      <c r="Y85" s="516"/>
      <c r="Z85" s="516"/>
      <c r="AA85" s="327"/>
      <c r="AB85" s="1288" t="e">
        <f>SUM(G85:K85)/SUM(W85:AA85)-1</f>
        <v>#DIV/0!</v>
      </c>
      <c r="AC85" s="253"/>
      <c r="AD85" s="511"/>
      <c r="AE85" s="511"/>
      <c r="AF85" s="511"/>
      <c r="AG85" s="511"/>
      <c r="AH85" s="1295" t="e">
        <f>SUM(L85:P85)/SUM(AC85:AG85)-1</f>
        <v>#DIV/0!</v>
      </c>
      <c r="AL85" s="305"/>
      <c r="AM85" s="521"/>
      <c r="AN85" s="521"/>
      <c r="AO85" s="521"/>
      <c r="AP85" s="329"/>
      <c r="AQ85" s="253"/>
      <c r="AR85" s="511"/>
      <c r="AS85" s="512"/>
    </row>
    <row r="86" spans="5:70" ht="13.5" thickBot="1">
      <c r="E86" s="3667"/>
      <c r="F86" s="1721" t="s">
        <v>617</v>
      </c>
      <c r="G86" s="2066"/>
      <c r="H86" s="2067"/>
      <c r="I86" s="2067"/>
      <c r="J86" s="2067"/>
      <c r="K86" s="2068"/>
      <c r="L86" s="2066"/>
      <c r="M86" s="2067"/>
      <c r="N86" s="2067"/>
      <c r="O86" s="2067"/>
      <c r="P86" s="2068"/>
      <c r="Q86" s="2069"/>
      <c r="R86" s="2067"/>
      <c r="S86" s="2067"/>
      <c r="T86" s="2067"/>
      <c r="U86" s="2068"/>
      <c r="V86" s="1427"/>
      <c r="W86" s="2081"/>
      <c r="X86" s="2082"/>
      <c r="Y86" s="2082"/>
      <c r="Z86" s="2082"/>
      <c r="AA86" s="2082"/>
      <c r="AB86" s="2082"/>
      <c r="AC86" s="2082"/>
      <c r="AD86" s="2082"/>
      <c r="AE86" s="2082"/>
      <c r="AF86" s="2082"/>
      <c r="AG86" s="2082"/>
      <c r="AH86" s="2083"/>
      <c r="AL86" s="305"/>
      <c r="AM86" s="521"/>
      <c r="AN86" s="521"/>
      <c r="AO86" s="521"/>
      <c r="AP86" s="329"/>
      <c r="AQ86" s="305"/>
      <c r="AR86" s="521"/>
      <c r="AS86" s="329"/>
    </row>
    <row r="87" spans="5:70">
      <c r="E87" s="3667"/>
      <c r="F87" s="1719" t="s">
        <v>620</v>
      </c>
      <c r="G87" s="1297">
        <f t="shared" ref="G87:U87" si="58">SUM(G85:G86)</f>
        <v>0</v>
      </c>
      <c r="H87" s="1298">
        <f t="shared" si="58"/>
        <v>0</v>
      </c>
      <c r="I87" s="1298">
        <f t="shared" si="58"/>
        <v>0</v>
      </c>
      <c r="J87" s="1298">
        <f t="shared" si="58"/>
        <v>0</v>
      </c>
      <c r="K87" s="1299">
        <f t="shared" si="58"/>
        <v>0</v>
      </c>
      <c r="L87" s="1297">
        <f t="shared" si="58"/>
        <v>0</v>
      </c>
      <c r="M87" s="1298">
        <f t="shared" si="58"/>
        <v>0</v>
      </c>
      <c r="N87" s="1298">
        <f t="shared" si="58"/>
        <v>0</v>
      </c>
      <c r="O87" s="1298">
        <f t="shared" si="58"/>
        <v>0</v>
      </c>
      <c r="P87" s="1299">
        <f t="shared" si="58"/>
        <v>0</v>
      </c>
      <c r="Q87" s="1342">
        <f t="shared" si="58"/>
        <v>0</v>
      </c>
      <c r="R87" s="1298">
        <f t="shared" si="58"/>
        <v>0</v>
      </c>
      <c r="S87" s="1298">
        <f t="shared" si="58"/>
        <v>0</v>
      </c>
      <c r="T87" s="1298">
        <f t="shared" si="58"/>
        <v>0</v>
      </c>
      <c r="U87" s="1299">
        <f t="shared" si="58"/>
        <v>0</v>
      </c>
      <c r="W87" s="1297">
        <f>SUM(W85:W86)</f>
        <v>0</v>
      </c>
      <c r="X87" s="1298">
        <f>SUM(X85:X86)</f>
        <v>0</v>
      </c>
      <c r="Y87" s="1298">
        <f>SUM(Y85:Y86)</f>
        <v>0</v>
      </c>
      <c r="Z87" s="1298">
        <f>SUM(Z85:Z86)</f>
        <v>0</v>
      </c>
      <c r="AA87" s="1299">
        <f>SUM(AA85:AA86)</f>
        <v>0</v>
      </c>
      <c r="AB87" s="1300" t="e">
        <f>SUM(G87:K87)/SUM(W87:AA87)-1</f>
        <v>#DIV/0!</v>
      </c>
      <c r="AC87" s="1297">
        <f>SUM(AC85:AC86)</f>
        <v>0</v>
      </c>
      <c r="AD87" s="1298">
        <f>SUM(AD85:AD86)</f>
        <v>0</v>
      </c>
      <c r="AE87" s="1298">
        <f>SUM(AE85:AE86)</f>
        <v>0</v>
      </c>
      <c r="AF87" s="1298">
        <f>SUM(AF85:AF86)</f>
        <v>0</v>
      </c>
      <c r="AG87" s="1298">
        <f>SUM(AG85:AG86)</f>
        <v>0</v>
      </c>
      <c r="AH87" s="1301" t="e">
        <f>SUM(L87:P87)/SUM(AC87:AG87)-1</f>
        <v>#DIV/0!</v>
      </c>
      <c r="AJ87" s="132"/>
      <c r="AK87" s="132"/>
      <c r="AL87" s="1297">
        <f t="shared" ref="AL87:AS87" si="59">SUM(AL85:AL86)</f>
        <v>0</v>
      </c>
      <c r="AM87" s="1298">
        <f t="shared" si="59"/>
        <v>0</v>
      </c>
      <c r="AN87" s="1298">
        <f t="shared" si="59"/>
        <v>0</v>
      </c>
      <c r="AO87" s="1298">
        <f t="shared" si="59"/>
        <v>0</v>
      </c>
      <c r="AP87" s="1299">
        <f t="shared" si="59"/>
        <v>0</v>
      </c>
      <c r="AQ87" s="1297">
        <f t="shared" si="59"/>
        <v>0</v>
      </c>
      <c r="AR87" s="1298">
        <f t="shared" si="59"/>
        <v>0</v>
      </c>
      <c r="AS87" s="1299">
        <f t="shared" si="59"/>
        <v>0</v>
      </c>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row>
    <row r="88" spans="5:70">
      <c r="E88" s="3667"/>
      <c r="F88" s="1730" t="s">
        <v>35</v>
      </c>
      <c r="G88" s="301"/>
      <c r="H88" s="516"/>
      <c r="I88" s="516"/>
      <c r="J88" s="516"/>
      <c r="K88" s="327"/>
      <c r="L88" s="301"/>
      <c r="M88" s="516"/>
      <c r="N88" s="516"/>
      <c r="O88" s="516"/>
      <c r="P88" s="327"/>
      <c r="Q88" s="1193"/>
      <c r="R88" s="516"/>
      <c r="S88" s="516"/>
      <c r="T88" s="516"/>
      <c r="U88" s="327"/>
      <c r="W88" s="301"/>
      <c r="X88" s="516"/>
      <c r="Y88" s="516"/>
      <c r="Z88" s="516"/>
      <c r="AA88" s="327"/>
      <c r="AB88" s="1246"/>
      <c r="AC88" s="301"/>
      <c r="AD88" s="516"/>
      <c r="AE88" s="516"/>
      <c r="AF88" s="516"/>
      <c r="AG88" s="516"/>
      <c r="AH88" s="1294"/>
      <c r="AL88" s="305"/>
      <c r="AM88" s="521"/>
      <c r="AN88" s="521"/>
      <c r="AO88" s="521"/>
      <c r="AP88" s="329"/>
      <c r="AQ88" s="305"/>
      <c r="AR88" s="521"/>
      <c r="AS88" s="329"/>
    </row>
    <row r="89" spans="5:70" ht="13.5" thickBot="1">
      <c r="E89" s="3668"/>
      <c r="F89" s="1720" t="s">
        <v>621</v>
      </c>
      <c r="G89" s="1344">
        <f>G87-G88</f>
        <v>0</v>
      </c>
      <c r="H89" s="1345">
        <f t="shared" ref="H89:M89" si="60">H87-H88</f>
        <v>0</v>
      </c>
      <c r="I89" s="1345">
        <f t="shared" si="60"/>
        <v>0</v>
      </c>
      <c r="J89" s="1345">
        <f t="shared" si="60"/>
        <v>0</v>
      </c>
      <c r="K89" s="1346">
        <f t="shared" si="60"/>
        <v>0</v>
      </c>
      <c r="L89" s="1344">
        <f t="shared" si="60"/>
        <v>0</v>
      </c>
      <c r="M89" s="1345">
        <f t="shared" si="60"/>
        <v>0</v>
      </c>
      <c r="N89" s="1345">
        <f t="shared" ref="N89:R89" si="61">O87-O88</f>
        <v>0</v>
      </c>
      <c r="O89" s="1345">
        <f t="shared" si="61"/>
        <v>0</v>
      </c>
      <c r="P89" s="1346">
        <f t="shared" si="61"/>
        <v>0</v>
      </c>
      <c r="Q89" s="1347">
        <f t="shared" si="61"/>
        <v>0</v>
      </c>
      <c r="R89" s="1345">
        <f t="shared" si="61"/>
        <v>0</v>
      </c>
      <c r="S89" s="1345">
        <f t="shared" ref="S89:AA89" si="62">S87-S88</f>
        <v>0</v>
      </c>
      <c r="T89" s="1345">
        <f t="shared" si="62"/>
        <v>0</v>
      </c>
      <c r="U89" s="1346">
        <f t="shared" si="62"/>
        <v>0</v>
      </c>
      <c r="W89" s="1302">
        <f t="shared" si="62"/>
        <v>0</v>
      </c>
      <c r="X89" s="1303">
        <f t="shared" si="62"/>
        <v>0</v>
      </c>
      <c r="Y89" s="1303">
        <f t="shared" si="62"/>
        <v>0</v>
      </c>
      <c r="Z89" s="1303">
        <f t="shared" si="62"/>
        <v>0</v>
      </c>
      <c r="AA89" s="1304">
        <f t="shared" si="62"/>
        <v>0</v>
      </c>
      <c r="AB89" s="1305" t="e">
        <f>SUM(G89:K89)/SUM(W89:AA89)-1</f>
        <v>#DIV/0!</v>
      </c>
      <c r="AC89" s="1302">
        <f t="shared" ref="AC89:AG89" si="63">AC87-AC88</f>
        <v>0</v>
      </c>
      <c r="AD89" s="1303">
        <f t="shared" si="63"/>
        <v>0</v>
      </c>
      <c r="AE89" s="1303">
        <f t="shared" si="63"/>
        <v>0</v>
      </c>
      <c r="AF89" s="1303">
        <f t="shared" si="63"/>
        <v>0</v>
      </c>
      <c r="AG89" s="1303">
        <f t="shared" si="63"/>
        <v>0</v>
      </c>
      <c r="AH89" s="1306" t="e">
        <f>SUM(L89:P89)/SUM(AC89:AG89)-1</f>
        <v>#DIV/0!</v>
      </c>
      <c r="AL89" s="1344">
        <f>AL87-AL88</f>
        <v>0</v>
      </c>
      <c r="AM89" s="1345">
        <f t="shared" ref="AM89:AR89" si="64">AM87-AM88</f>
        <v>0</v>
      </c>
      <c r="AN89" s="1345">
        <f t="shared" si="64"/>
        <v>0</v>
      </c>
      <c r="AO89" s="1345">
        <f t="shared" si="64"/>
        <v>0</v>
      </c>
      <c r="AP89" s="1346">
        <f t="shared" si="64"/>
        <v>0</v>
      </c>
      <c r="AQ89" s="1344">
        <f t="shared" si="64"/>
        <v>0</v>
      </c>
      <c r="AR89" s="1345">
        <f t="shared" si="64"/>
        <v>0</v>
      </c>
      <c r="AS89" s="1346" t="e">
        <f>#REF!-#REF!</f>
        <v>#REF!</v>
      </c>
    </row>
    <row r="90" spans="5:70" customFormat="1" ht="13.5" customHeight="1" thickBot="1">
      <c r="E90" s="453"/>
      <c r="F90" s="454"/>
      <c r="G90" s="1307"/>
      <c r="H90" s="1308"/>
      <c r="I90" s="1308"/>
      <c r="J90" s="1308"/>
      <c r="K90" s="1309"/>
      <c r="L90" s="1307"/>
      <c r="M90" s="1308"/>
      <c r="N90" s="1308"/>
      <c r="O90" s="1308"/>
      <c r="P90" s="1309"/>
      <c r="Q90" s="1308"/>
      <c r="R90" s="1308"/>
      <c r="S90" s="1308"/>
      <c r="T90" s="1308"/>
      <c r="U90" s="1309"/>
      <c r="W90" s="1307"/>
      <c r="X90" s="1308"/>
      <c r="Y90" s="1308"/>
      <c r="Z90" s="1308"/>
      <c r="AA90" s="1309"/>
      <c r="AB90" s="1310"/>
      <c r="AC90" s="1307"/>
      <c r="AD90" s="1308"/>
      <c r="AE90" s="1308"/>
      <c r="AF90" s="1308"/>
      <c r="AG90" s="1308"/>
      <c r="AH90" s="1311"/>
      <c r="AL90" s="1307"/>
      <c r="AM90" s="1308"/>
      <c r="AN90" s="1308"/>
      <c r="AO90" s="1308"/>
      <c r="AP90" s="1309"/>
      <c r="AQ90" s="1307"/>
      <c r="AR90" s="1308"/>
      <c r="AS90" s="1309"/>
    </row>
    <row r="91" spans="5:70" s="108" customFormat="1">
      <c r="E91" s="3663" t="s">
        <v>142</v>
      </c>
      <c r="F91" s="1744" t="s">
        <v>115</v>
      </c>
      <c r="G91" s="1752">
        <f t="shared" ref="G91:K91" ca="1" si="65">SUMIF($F$73:$AH$90,"Length of mains replaced (metres)",H73:H90)</f>
        <v>0</v>
      </c>
      <c r="H91" s="1233">
        <f t="shared" ca="1" si="65"/>
        <v>0</v>
      </c>
      <c r="I91" s="1233">
        <f t="shared" ca="1" si="65"/>
        <v>0</v>
      </c>
      <c r="J91" s="1233">
        <f t="shared" ca="1" si="65"/>
        <v>0</v>
      </c>
      <c r="K91" s="1237">
        <f t="shared" ca="1" si="65"/>
        <v>0</v>
      </c>
      <c r="L91" s="304">
        <f ca="1">SUMIF($F$73:$AH$90,"Length of mains replaced (metres)",M73:M90)</f>
        <v>0</v>
      </c>
      <c r="M91" s="520">
        <f t="shared" ref="M91:U91" ca="1" si="66">SUMIF($F$73:$AH$90,"Length of mains replaced (metres)",M73:M90)</f>
        <v>0</v>
      </c>
      <c r="N91" s="520">
        <f t="shared" ca="1" si="66"/>
        <v>0</v>
      </c>
      <c r="O91" s="520">
        <f t="shared" ca="1" si="66"/>
        <v>0</v>
      </c>
      <c r="P91" s="328">
        <f t="shared" ca="1" si="66"/>
        <v>0</v>
      </c>
      <c r="Q91" s="1202">
        <f t="shared" ca="1" si="66"/>
        <v>0</v>
      </c>
      <c r="R91" s="520">
        <f t="shared" ca="1" si="66"/>
        <v>0</v>
      </c>
      <c r="S91" s="520">
        <f t="shared" ca="1" si="66"/>
        <v>0</v>
      </c>
      <c r="T91" s="520">
        <f t="shared" ca="1" si="66"/>
        <v>0</v>
      </c>
      <c r="U91" s="328">
        <f t="shared" ca="1" si="66"/>
        <v>0</v>
      </c>
      <c r="V91"/>
      <c r="W91" s="304">
        <f t="shared" ref="W91:AH91" ca="1" si="67">SUMIF($F$73:$AH$90,"Length of mains replaced (metres)",W73:W90)</f>
        <v>0</v>
      </c>
      <c r="X91" s="520">
        <f t="shared" ca="1" si="67"/>
        <v>0</v>
      </c>
      <c r="Y91" s="520">
        <f t="shared" ca="1" si="67"/>
        <v>0</v>
      </c>
      <c r="Z91" s="520">
        <f t="shared" ca="1" si="67"/>
        <v>0</v>
      </c>
      <c r="AA91" s="328">
        <f t="shared" ca="1" si="67"/>
        <v>0</v>
      </c>
      <c r="AB91" s="1233" t="e">
        <f t="shared" ca="1" si="67"/>
        <v>#DIV/0!</v>
      </c>
      <c r="AC91" s="304">
        <f t="shared" ca="1" si="67"/>
        <v>0</v>
      </c>
      <c r="AD91" s="520">
        <f t="shared" ca="1" si="67"/>
        <v>0</v>
      </c>
      <c r="AE91" s="520">
        <f t="shared" ca="1" si="67"/>
        <v>0</v>
      </c>
      <c r="AF91" s="520">
        <f t="shared" ca="1" si="67"/>
        <v>0</v>
      </c>
      <c r="AG91" s="520">
        <f t="shared" ca="1" si="67"/>
        <v>0</v>
      </c>
      <c r="AH91" s="1237" t="e">
        <f t="shared" ca="1" si="67"/>
        <v>#DIV/0!</v>
      </c>
      <c r="AJ91"/>
      <c r="AL91" s="1752">
        <f t="shared" ref="AL91" ca="1" si="68">SUMIF($F$73:$AH$90,"Length of mains replaced (metres)",AM73:AM90)</f>
        <v>0</v>
      </c>
      <c r="AM91" s="1233">
        <f t="shared" ref="AM91" ca="1" si="69">SUMIF($F$73:$AH$90,"Length of mains replaced (metres)",AN73:AN90)</f>
        <v>0</v>
      </c>
      <c r="AN91" s="1233">
        <f t="shared" ref="AN91" ca="1" si="70">SUMIF($F$73:$AH$90,"Length of mains replaced (metres)",AO73:AO90)</f>
        <v>0</v>
      </c>
      <c r="AO91" s="1233">
        <f t="shared" ref="AO91" ca="1" si="71">SUMIF($F$73:$AH$90,"Length of mains replaced (metres)",AP73:AP90)</f>
        <v>0</v>
      </c>
      <c r="AP91" s="1237">
        <f t="shared" ref="AP91" ca="1" si="72">SUMIF($F$73:$AH$90,"Length of mains replaced (metres)",AQ73:AQ90)</f>
        <v>0</v>
      </c>
      <c r="AQ91" s="304">
        <f ca="1">SUMIF($F$73:$AH$90,"Length of mains replaced (metres)",AR73:AR90)</f>
        <v>0</v>
      </c>
      <c r="AR91" s="520">
        <f t="shared" ref="AR91:AS91" ca="1" si="73">SUMIF($F$73:$AH$90,"Length of mains replaced (metres)",AR73:AR90)</f>
        <v>0</v>
      </c>
      <c r="AS91" s="328">
        <f t="shared" ca="1" si="73"/>
        <v>0</v>
      </c>
    </row>
    <row r="92" spans="5:70" s="108" customFormat="1">
      <c r="E92" s="3664"/>
      <c r="F92" s="1745" t="s">
        <v>629</v>
      </c>
      <c r="G92" s="1336"/>
      <c r="H92" s="1337"/>
      <c r="I92" s="1337"/>
      <c r="J92" s="1337"/>
      <c r="K92" s="1338"/>
      <c r="L92" s="1348"/>
      <c r="M92" s="1313"/>
      <c r="N92" s="1313"/>
      <c r="O92" s="1313"/>
      <c r="P92" s="1314"/>
      <c r="Q92" s="1313"/>
      <c r="R92" s="1313"/>
      <c r="S92" s="1313"/>
      <c r="T92" s="1313"/>
      <c r="U92" s="1314"/>
      <c r="V92"/>
      <c r="W92" s="1312"/>
      <c r="X92" s="1313"/>
      <c r="Y92" s="1313"/>
      <c r="Z92" s="1313"/>
      <c r="AA92" s="1314"/>
      <c r="AB92" s="1315"/>
      <c r="AC92" s="1312"/>
      <c r="AD92" s="1313"/>
      <c r="AE92" s="1313"/>
      <c r="AF92" s="1313"/>
      <c r="AG92" s="1313"/>
      <c r="AH92" s="1316"/>
      <c r="AJ92" s="66"/>
      <c r="AL92" s="1336"/>
      <c r="AM92" s="1337"/>
      <c r="AN92" s="1337"/>
      <c r="AO92" s="1337"/>
      <c r="AP92" s="1338"/>
      <c r="AQ92" s="1348"/>
      <c r="AR92" s="1313"/>
      <c r="AS92" s="1314"/>
    </row>
    <row r="93" spans="5:70">
      <c r="E93" s="3664"/>
      <c r="F93" s="1746" t="s">
        <v>594</v>
      </c>
      <c r="G93" s="1333"/>
      <c r="H93" s="1334"/>
      <c r="I93" s="1334"/>
      <c r="J93" s="1334"/>
      <c r="K93" s="1335"/>
      <c r="L93" s="1287">
        <f ca="1">SUMIF($F$73:$AH$90,"Direct contractor expenditure (excl. escalation)",M73:M90)</f>
        <v>0</v>
      </c>
      <c r="M93" s="534">
        <f t="shared" ref="M93:U93" ca="1" si="74">SUMIF($F$73:$AH$90,"Direct contractor expenditure (excl. escalation)",M73:M90)</f>
        <v>0</v>
      </c>
      <c r="N93" s="534">
        <f t="shared" ca="1" si="74"/>
        <v>0</v>
      </c>
      <c r="O93" s="534">
        <f t="shared" ca="1" si="74"/>
        <v>0</v>
      </c>
      <c r="P93" s="479">
        <f t="shared" ca="1" si="74"/>
        <v>0</v>
      </c>
      <c r="Q93" s="1286">
        <f t="shared" ca="1" si="74"/>
        <v>0</v>
      </c>
      <c r="R93" s="534">
        <f t="shared" ca="1" si="74"/>
        <v>0</v>
      </c>
      <c r="S93" s="534">
        <f t="shared" ca="1" si="74"/>
        <v>0</v>
      </c>
      <c r="T93" s="534">
        <f t="shared" ca="1" si="74"/>
        <v>0</v>
      </c>
      <c r="U93" s="479">
        <f t="shared" ca="1" si="74"/>
        <v>0</v>
      </c>
      <c r="W93" s="533">
        <f t="shared" ref="W93:AH93" ca="1" si="75">SUMIF($F$73:$AH$90,"Direct contractor expenditure (excl. escalation)",W73:W90)</f>
        <v>0</v>
      </c>
      <c r="X93" s="534">
        <f t="shared" ca="1" si="75"/>
        <v>0</v>
      </c>
      <c r="Y93" s="534">
        <f t="shared" ca="1" si="75"/>
        <v>0</v>
      </c>
      <c r="Z93" s="534">
        <f t="shared" ca="1" si="75"/>
        <v>0</v>
      </c>
      <c r="AA93" s="479">
        <f t="shared" ca="1" si="75"/>
        <v>0</v>
      </c>
      <c r="AB93" s="1288">
        <f t="shared" ca="1" si="75"/>
        <v>0</v>
      </c>
      <c r="AC93" s="533">
        <f t="shared" ca="1" si="75"/>
        <v>0</v>
      </c>
      <c r="AD93" s="534">
        <f t="shared" ca="1" si="75"/>
        <v>0</v>
      </c>
      <c r="AE93" s="534">
        <f t="shared" ca="1" si="75"/>
        <v>0</v>
      </c>
      <c r="AF93" s="534">
        <f t="shared" ca="1" si="75"/>
        <v>0</v>
      </c>
      <c r="AG93" s="534">
        <f t="shared" ca="1" si="75"/>
        <v>0</v>
      </c>
      <c r="AH93" s="1289">
        <f t="shared" ca="1" si="75"/>
        <v>0</v>
      </c>
      <c r="AI93" s="108"/>
      <c r="AJ93"/>
      <c r="AL93" s="1333"/>
      <c r="AM93" s="1334"/>
      <c r="AN93" s="1334"/>
      <c r="AO93" s="1334"/>
      <c r="AP93" s="1335"/>
      <c r="AQ93" s="1287">
        <f ca="1">SUMIF($F$73:$AH$90,"Direct contractor expenditure (excl. escalation)",AR73:AR90)</f>
        <v>0</v>
      </c>
      <c r="AR93" s="534">
        <f t="shared" ref="AR93:AS93" ca="1" si="76">SUMIF($F$73:$AH$90,"Direct contractor expenditure (excl. escalation)",AR73:AR90)</f>
        <v>0</v>
      </c>
      <c r="AS93" s="479">
        <f t="shared" ca="1" si="76"/>
        <v>0</v>
      </c>
    </row>
    <row r="94" spans="5:70">
      <c r="E94" s="3664"/>
      <c r="F94" s="1746" t="s">
        <v>595</v>
      </c>
      <c r="G94" s="1333"/>
      <c r="H94" s="1334"/>
      <c r="I94" s="1334"/>
      <c r="J94" s="1334"/>
      <c r="K94" s="1335"/>
      <c r="L94" s="1287">
        <f ca="1">SUMIF($F$73:$AH$90,"Direct internal labour expenditure (excl. escalation)",M73:M90)</f>
        <v>0</v>
      </c>
      <c r="M94" s="534">
        <f t="shared" ref="M94:U94" ca="1" si="77">SUMIF($F$73:$AH$90,"Direct internal labour expenditure (excl. escalation)",M73:M90)</f>
        <v>0</v>
      </c>
      <c r="N94" s="534">
        <f t="shared" ca="1" si="77"/>
        <v>0</v>
      </c>
      <c r="O94" s="534">
        <f t="shared" ca="1" si="77"/>
        <v>0</v>
      </c>
      <c r="P94" s="479">
        <f t="shared" ca="1" si="77"/>
        <v>0</v>
      </c>
      <c r="Q94" s="1286">
        <f t="shared" ca="1" si="77"/>
        <v>0</v>
      </c>
      <c r="R94" s="534">
        <f t="shared" ca="1" si="77"/>
        <v>0</v>
      </c>
      <c r="S94" s="534">
        <f t="shared" ca="1" si="77"/>
        <v>0</v>
      </c>
      <c r="T94" s="534">
        <f t="shared" ca="1" si="77"/>
        <v>0</v>
      </c>
      <c r="U94" s="479">
        <f t="shared" ca="1" si="77"/>
        <v>0</v>
      </c>
      <c r="W94" s="533">
        <f t="shared" ref="W94:AH94" ca="1" si="78">SUMIF($F$73:$AH$90,"Direct internal labour expenditure (excl. escalation)",W73:W90)</f>
        <v>0</v>
      </c>
      <c r="X94" s="534">
        <f t="shared" ca="1" si="78"/>
        <v>0</v>
      </c>
      <c r="Y94" s="534">
        <f t="shared" ca="1" si="78"/>
        <v>0</v>
      </c>
      <c r="Z94" s="534">
        <f t="shared" ca="1" si="78"/>
        <v>0</v>
      </c>
      <c r="AA94" s="479">
        <f t="shared" ca="1" si="78"/>
        <v>0</v>
      </c>
      <c r="AB94" s="1288">
        <f t="shared" ca="1" si="78"/>
        <v>0</v>
      </c>
      <c r="AC94" s="533">
        <f t="shared" ca="1" si="78"/>
        <v>0</v>
      </c>
      <c r="AD94" s="534">
        <f t="shared" ca="1" si="78"/>
        <v>0</v>
      </c>
      <c r="AE94" s="534">
        <f t="shared" ca="1" si="78"/>
        <v>0</v>
      </c>
      <c r="AF94" s="534">
        <f t="shared" ca="1" si="78"/>
        <v>0</v>
      </c>
      <c r="AG94" s="534">
        <f t="shared" ca="1" si="78"/>
        <v>0</v>
      </c>
      <c r="AH94" s="1289">
        <f t="shared" ca="1" si="78"/>
        <v>0</v>
      </c>
      <c r="AI94" s="108"/>
      <c r="AJ94"/>
      <c r="AL94" s="1333"/>
      <c r="AM94" s="1334"/>
      <c r="AN94" s="1334"/>
      <c r="AO94" s="1334"/>
      <c r="AP94" s="1335"/>
      <c r="AQ94" s="1287">
        <f ca="1">SUMIF($F$73:$AH$90,"Direct internal labour expenditure (excl. escalation)",AR73:AR90)</f>
        <v>0</v>
      </c>
      <c r="AR94" s="534">
        <f t="shared" ref="AR94:AS94" ca="1" si="79">SUMIF($F$73:$AH$90,"Direct internal labour expenditure (excl. escalation)",AR73:AR90)</f>
        <v>0</v>
      </c>
      <c r="AS94" s="479">
        <f t="shared" ca="1" si="79"/>
        <v>0</v>
      </c>
    </row>
    <row r="95" spans="5:70">
      <c r="E95" s="3664"/>
      <c r="F95" s="1746" t="s">
        <v>614</v>
      </c>
      <c r="G95" s="1333"/>
      <c r="H95" s="1334"/>
      <c r="I95" s="1334"/>
      <c r="J95" s="1334"/>
      <c r="K95" s="1335"/>
      <c r="L95" s="1287">
        <f ca="1">SUMIF($F$73:$AH$90,"Direct material expenditure (excl. escalation)",M73:M90)</f>
        <v>0</v>
      </c>
      <c r="M95" s="534">
        <f t="shared" ref="M95:U95" ca="1" si="80">SUMIF($F$73:$AH$90,"Direct material expenditure (excl. escalation)",M73:M90)</f>
        <v>0</v>
      </c>
      <c r="N95" s="534">
        <f t="shared" ca="1" si="80"/>
        <v>0</v>
      </c>
      <c r="O95" s="534">
        <f t="shared" ca="1" si="80"/>
        <v>0</v>
      </c>
      <c r="P95" s="479">
        <f t="shared" ca="1" si="80"/>
        <v>0</v>
      </c>
      <c r="Q95" s="1286">
        <f t="shared" ca="1" si="80"/>
        <v>0</v>
      </c>
      <c r="R95" s="534">
        <f t="shared" ca="1" si="80"/>
        <v>0</v>
      </c>
      <c r="S95" s="534">
        <f t="shared" ca="1" si="80"/>
        <v>0</v>
      </c>
      <c r="T95" s="534">
        <f t="shared" ca="1" si="80"/>
        <v>0</v>
      </c>
      <c r="U95" s="479">
        <f t="shared" ca="1" si="80"/>
        <v>0</v>
      </c>
      <c r="W95" s="533">
        <f t="shared" ref="W95:AH95" ca="1" si="81">SUMIF($F$73:$AH$90,"Direct material expenditure (excl. escalation)",W73:W90)</f>
        <v>0</v>
      </c>
      <c r="X95" s="534">
        <f t="shared" ca="1" si="81"/>
        <v>0</v>
      </c>
      <c r="Y95" s="534">
        <f t="shared" ca="1" si="81"/>
        <v>0</v>
      </c>
      <c r="Z95" s="534">
        <f t="shared" ca="1" si="81"/>
        <v>0</v>
      </c>
      <c r="AA95" s="479">
        <f t="shared" ca="1" si="81"/>
        <v>0</v>
      </c>
      <c r="AB95" s="1288">
        <f t="shared" ca="1" si="81"/>
        <v>0</v>
      </c>
      <c r="AC95" s="533">
        <f t="shared" ca="1" si="81"/>
        <v>0</v>
      </c>
      <c r="AD95" s="534">
        <f t="shared" ca="1" si="81"/>
        <v>0</v>
      </c>
      <c r="AE95" s="534">
        <f t="shared" ca="1" si="81"/>
        <v>0</v>
      </c>
      <c r="AF95" s="534">
        <f t="shared" ca="1" si="81"/>
        <v>0</v>
      </c>
      <c r="AG95" s="534">
        <f t="shared" ca="1" si="81"/>
        <v>0</v>
      </c>
      <c r="AH95" s="1289">
        <f t="shared" ca="1" si="81"/>
        <v>0</v>
      </c>
      <c r="AI95" s="108"/>
      <c r="AJ95"/>
      <c r="AL95" s="1333"/>
      <c r="AM95" s="1334"/>
      <c r="AN95" s="1334"/>
      <c r="AO95" s="1334"/>
      <c r="AP95" s="1335"/>
      <c r="AQ95" s="1287">
        <f ca="1">SUMIF($F$73:$AH$90,"Direct material expenditure (excl. escalation)",AR73:AR90)</f>
        <v>0</v>
      </c>
      <c r="AR95" s="534">
        <f t="shared" ref="AR95:AS95" ca="1" si="82">SUMIF($F$73:$AH$90,"Direct material expenditure (excl. escalation)",AR73:AR90)</f>
        <v>0</v>
      </c>
      <c r="AS95" s="479">
        <f t="shared" ca="1" si="82"/>
        <v>0</v>
      </c>
    </row>
    <row r="96" spans="5:70">
      <c r="E96" s="3664"/>
      <c r="F96" s="1747" t="s">
        <v>615</v>
      </c>
      <c r="G96" s="1336"/>
      <c r="H96" s="1337"/>
      <c r="I96" s="1337"/>
      <c r="J96" s="1337"/>
      <c r="K96" s="1338"/>
      <c r="L96" s="304">
        <f ca="1">SUMIF($F$73:$AH$90,"Total direct expenditure (excl. escalation)",M73:M90)</f>
        <v>0</v>
      </c>
      <c r="M96" s="520">
        <f t="shared" ref="M96:U96" ca="1" si="83">SUMIF($F$73:$AH$90,"Total direct expenditure (excl. escalation)",M73:M90)</f>
        <v>0</v>
      </c>
      <c r="N96" s="520">
        <f t="shared" ca="1" si="83"/>
        <v>0</v>
      </c>
      <c r="O96" s="520">
        <f t="shared" ca="1" si="83"/>
        <v>0</v>
      </c>
      <c r="P96" s="328">
        <f t="shared" ca="1" si="83"/>
        <v>0</v>
      </c>
      <c r="Q96" s="1202">
        <f t="shared" ca="1" si="83"/>
        <v>0</v>
      </c>
      <c r="R96" s="520">
        <f t="shared" ca="1" si="83"/>
        <v>0</v>
      </c>
      <c r="S96" s="520">
        <f t="shared" ca="1" si="83"/>
        <v>0</v>
      </c>
      <c r="T96" s="520">
        <f t="shared" ca="1" si="83"/>
        <v>0</v>
      </c>
      <c r="U96" s="328">
        <f t="shared" ca="1" si="83"/>
        <v>0</v>
      </c>
      <c r="W96" s="304">
        <f t="shared" ref="W96:AH96" ca="1" si="84">SUMIF($F$73:$AH$90,"Total direct expenditure (excl. escalation)",W73:W90)</f>
        <v>0</v>
      </c>
      <c r="X96" s="520">
        <f t="shared" ca="1" si="84"/>
        <v>0</v>
      </c>
      <c r="Y96" s="520">
        <f t="shared" ca="1" si="84"/>
        <v>0</v>
      </c>
      <c r="Z96" s="520">
        <f t="shared" ca="1" si="84"/>
        <v>0</v>
      </c>
      <c r="AA96" s="328">
        <f t="shared" ca="1" si="84"/>
        <v>0</v>
      </c>
      <c r="AB96" s="1233">
        <f t="shared" ca="1" si="84"/>
        <v>0</v>
      </c>
      <c r="AC96" s="304">
        <f t="shared" ca="1" si="84"/>
        <v>0</v>
      </c>
      <c r="AD96" s="520">
        <f t="shared" ca="1" si="84"/>
        <v>0</v>
      </c>
      <c r="AE96" s="520">
        <f t="shared" ca="1" si="84"/>
        <v>0</v>
      </c>
      <c r="AF96" s="520">
        <f t="shared" ca="1" si="84"/>
        <v>0</v>
      </c>
      <c r="AG96" s="520">
        <f t="shared" ca="1" si="84"/>
        <v>0</v>
      </c>
      <c r="AH96" s="1237">
        <f t="shared" ca="1" si="84"/>
        <v>0</v>
      </c>
      <c r="AI96" s="108"/>
      <c r="AJ96"/>
      <c r="AL96" s="1336"/>
      <c r="AM96" s="1337"/>
      <c r="AN96" s="1337"/>
      <c r="AO96" s="1337"/>
      <c r="AP96" s="1338"/>
      <c r="AQ96" s="304">
        <f ca="1">SUMIF($F$73:$AH$90,"Total direct expenditure (excl. escalation)",AR73:AR90)</f>
        <v>0</v>
      </c>
      <c r="AR96" s="520">
        <f t="shared" ref="AR96:AS96" ca="1" si="85">SUMIF($F$73:$AH$90,"Total direct expenditure (excl. escalation)",AR73:AR90)</f>
        <v>0</v>
      </c>
      <c r="AS96" s="328">
        <f t="shared" ca="1" si="85"/>
        <v>0</v>
      </c>
    </row>
    <row r="97" spans="1:70">
      <c r="E97" s="3664"/>
      <c r="F97" s="1748" t="s">
        <v>619</v>
      </c>
      <c r="G97" s="1284">
        <f t="shared" ref="G97:L97" ca="1" si="86">SUMIF($F$73:$AH$90,"Total overhead expenditure",H73:H90)</f>
        <v>0</v>
      </c>
      <c r="H97" s="452">
        <f t="shared" ca="1" si="86"/>
        <v>0</v>
      </c>
      <c r="I97" s="452">
        <f t="shared" ca="1" si="86"/>
        <v>0</v>
      </c>
      <c r="J97" s="452">
        <f t="shared" ca="1" si="86"/>
        <v>0</v>
      </c>
      <c r="K97" s="1285">
        <f t="shared" ca="1" si="86"/>
        <v>0</v>
      </c>
      <c r="L97" s="1287">
        <f t="shared" ca="1" si="86"/>
        <v>0</v>
      </c>
      <c r="M97" s="534">
        <f t="shared" ref="M97:U97" ca="1" si="87">SUMIF($F$73:$AH$90,"Total overhead expenditure",M73:M90)</f>
        <v>0</v>
      </c>
      <c r="N97" s="534">
        <f t="shared" ca="1" si="87"/>
        <v>0</v>
      </c>
      <c r="O97" s="534">
        <f t="shared" ca="1" si="87"/>
        <v>0</v>
      </c>
      <c r="P97" s="479">
        <f t="shared" ca="1" si="87"/>
        <v>0</v>
      </c>
      <c r="Q97" s="1286">
        <f t="shared" ca="1" si="87"/>
        <v>0</v>
      </c>
      <c r="R97" s="534">
        <f t="shared" ca="1" si="87"/>
        <v>0</v>
      </c>
      <c r="S97" s="534">
        <f t="shared" ca="1" si="87"/>
        <v>0</v>
      </c>
      <c r="T97" s="534">
        <f t="shared" ca="1" si="87"/>
        <v>0</v>
      </c>
      <c r="U97" s="479">
        <f t="shared" ca="1" si="87"/>
        <v>0</v>
      </c>
      <c r="W97" s="533">
        <f t="shared" ref="W97:AH97" ca="1" si="88">SUMIF($F$73:$AH$90,"Total overhead expenditure",W73:W90)</f>
        <v>0</v>
      </c>
      <c r="X97" s="534">
        <f t="shared" ca="1" si="88"/>
        <v>0</v>
      </c>
      <c r="Y97" s="534">
        <f t="shared" ca="1" si="88"/>
        <v>0</v>
      </c>
      <c r="Z97" s="534">
        <f t="shared" ca="1" si="88"/>
        <v>0</v>
      </c>
      <c r="AA97" s="479">
        <f t="shared" ca="1" si="88"/>
        <v>0</v>
      </c>
      <c r="AB97" s="1288" t="e">
        <f t="shared" ca="1" si="88"/>
        <v>#DIV/0!</v>
      </c>
      <c r="AC97" s="533">
        <f t="shared" ca="1" si="88"/>
        <v>0</v>
      </c>
      <c r="AD97" s="534">
        <f t="shared" ca="1" si="88"/>
        <v>0</v>
      </c>
      <c r="AE97" s="534">
        <f t="shared" ca="1" si="88"/>
        <v>0</v>
      </c>
      <c r="AF97" s="534">
        <f t="shared" ca="1" si="88"/>
        <v>0</v>
      </c>
      <c r="AG97" s="534">
        <f t="shared" ca="1" si="88"/>
        <v>0</v>
      </c>
      <c r="AH97" s="1289" t="e">
        <f t="shared" ca="1" si="88"/>
        <v>#DIV/0!</v>
      </c>
      <c r="AI97" s="108"/>
      <c r="AJ97"/>
      <c r="AL97" s="1284">
        <f t="shared" ref="AL97" ca="1" si="89">SUMIF($F$73:$AH$90,"Total overhead expenditure",AM73:AM90)</f>
        <v>0</v>
      </c>
      <c r="AM97" s="452">
        <f t="shared" ref="AM97" ca="1" si="90">SUMIF($F$73:$AH$90,"Total overhead expenditure",AN73:AN90)</f>
        <v>0</v>
      </c>
      <c r="AN97" s="452">
        <f t="shared" ref="AN97" ca="1" si="91">SUMIF($F$73:$AH$90,"Total overhead expenditure",AO73:AO90)</f>
        <v>0</v>
      </c>
      <c r="AO97" s="452">
        <f t="shared" ref="AO97" ca="1" si="92">SUMIF($F$73:$AH$90,"Total overhead expenditure",AP73:AP90)</f>
        <v>0</v>
      </c>
      <c r="AP97" s="1285">
        <f t="shared" ref="AP97" ca="1" si="93">SUMIF($F$73:$AH$90,"Total overhead expenditure",AQ73:AQ90)</f>
        <v>0</v>
      </c>
      <c r="AQ97" s="1287">
        <f t="shared" ref="AQ97" ca="1" si="94">SUMIF($F$73:$AH$90,"Total overhead expenditure",AR73:AR90)</f>
        <v>0</v>
      </c>
      <c r="AR97" s="534">
        <f t="shared" ref="AR97:AS97" ca="1" si="95">SUMIF($F$73:$AH$90,"Total overhead expenditure",AR73:AR90)</f>
        <v>0</v>
      </c>
      <c r="AS97" s="479">
        <f t="shared" ca="1" si="95"/>
        <v>0</v>
      </c>
    </row>
    <row r="98" spans="1:70">
      <c r="E98" s="3664"/>
      <c r="F98" s="1736" t="s">
        <v>617</v>
      </c>
      <c r="G98" s="1284">
        <f t="shared" ref="G98:L98" ca="1" si="96">SUMIF($F$73:$AH$90,"Related party margin",H73:H90)</f>
        <v>0</v>
      </c>
      <c r="H98" s="452">
        <f t="shared" ca="1" si="96"/>
        <v>0</v>
      </c>
      <c r="I98" s="452">
        <f t="shared" ca="1" si="96"/>
        <v>0</v>
      </c>
      <c r="J98" s="452">
        <f t="shared" ca="1" si="96"/>
        <v>0</v>
      </c>
      <c r="K98" s="1285">
        <f t="shared" ca="1" si="96"/>
        <v>0</v>
      </c>
      <c r="L98" s="1287">
        <f t="shared" ca="1" si="96"/>
        <v>0</v>
      </c>
      <c r="M98" s="534">
        <f t="shared" ref="M98:U98" ca="1" si="97">SUMIF($F$73:$AH$90,"Related party margin",M73:M90)</f>
        <v>0</v>
      </c>
      <c r="N98" s="534">
        <f t="shared" ca="1" si="97"/>
        <v>0</v>
      </c>
      <c r="O98" s="534">
        <f t="shared" ca="1" si="97"/>
        <v>0</v>
      </c>
      <c r="P98" s="479">
        <f t="shared" ca="1" si="97"/>
        <v>0</v>
      </c>
      <c r="Q98" s="1286">
        <f t="shared" ca="1" si="97"/>
        <v>0</v>
      </c>
      <c r="R98" s="534">
        <f t="shared" ca="1" si="97"/>
        <v>0</v>
      </c>
      <c r="S98" s="534">
        <f t="shared" ca="1" si="97"/>
        <v>0</v>
      </c>
      <c r="T98" s="534">
        <f t="shared" ca="1" si="97"/>
        <v>0</v>
      </c>
      <c r="U98" s="479">
        <f t="shared" ca="1" si="97"/>
        <v>0</v>
      </c>
      <c r="W98" s="533">
        <f t="shared" ref="W98:AH98" ca="1" si="98">SUMIF($F$73:$AH$90,"Related party margin",W73:W90)</f>
        <v>0</v>
      </c>
      <c r="X98" s="534">
        <f t="shared" ca="1" si="98"/>
        <v>0</v>
      </c>
      <c r="Y98" s="534">
        <f t="shared" ca="1" si="98"/>
        <v>0</v>
      </c>
      <c r="Z98" s="534">
        <f t="shared" ca="1" si="98"/>
        <v>0</v>
      </c>
      <c r="AA98" s="479">
        <f t="shared" ca="1" si="98"/>
        <v>0</v>
      </c>
      <c r="AB98" s="1288">
        <f t="shared" ca="1" si="98"/>
        <v>0</v>
      </c>
      <c r="AC98" s="533">
        <f t="shared" ca="1" si="98"/>
        <v>0</v>
      </c>
      <c r="AD98" s="534">
        <f t="shared" ca="1" si="98"/>
        <v>0</v>
      </c>
      <c r="AE98" s="534">
        <f t="shared" ca="1" si="98"/>
        <v>0</v>
      </c>
      <c r="AF98" s="534">
        <f t="shared" ca="1" si="98"/>
        <v>0</v>
      </c>
      <c r="AG98" s="534">
        <f t="shared" ca="1" si="98"/>
        <v>0</v>
      </c>
      <c r="AH98" s="1289">
        <f t="shared" ca="1" si="98"/>
        <v>0</v>
      </c>
      <c r="AI98" s="108"/>
      <c r="AJ98"/>
      <c r="AL98" s="1284">
        <f t="shared" ref="AL98" ca="1" si="99">SUMIF($F$73:$AH$90,"Related party margin",AM73:AM90)</f>
        <v>0</v>
      </c>
      <c r="AM98" s="452">
        <f t="shared" ref="AM98" ca="1" si="100">SUMIF($F$73:$AH$90,"Related party margin",AN73:AN90)</f>
        <v>0</v>
      </c>
      <c r="AN98" s="452">
        <f t="shared" ref="AN98" ca="1" si="101">SUMIF($F$73:$AH$90,"Related party margin",AO73:AO90)</f>
        <v>0</v>
      </c>
      <c r="AO98" s="452">
        <f t="shared" ref="AO98" ca="1" si="102">SUMIF($F$73:$AH$90,"Related party margin",AP73:AP90)</f>
        <v>0</v>
      </c>
      <c r="AP98" s="1285">
        <f t="shared" ref="AP98" ca="1" si="103">SUMIF($F$73:$AH$90,"Related party margin",AQ73:AQ90)</f>
        <v>0</v>
      </c>
      <c r="AQ98" s="1287">
        <f t="shared" ref="AQ98" ca="1" si="104">SUMIF($F$73:$AH$90,"Related party margin",AR73:AR90)</f>
        <v>0</v>
      </c>
      <c r="AR98" s="534">
        <f t="shared" ref="AR98:AS98" ca="1" si="105">SUMIF($F$73:$AH$90,"Related party margin",AR73:AR90)</f>
        <v>0</v>
      </c>
      <c r="AS98" s="479">
        <f t="shared" ca="1" si="105"/>
        <v>0</v>
      </c>
    </row>
    <row r="99" spans="1:70">
      <c r="E99" s="3664"/>
      <c r="F99" s="1749" t="s">
        <v>620</v>
      </c>
      <c r="G99" s="1349">
        <f ca="1">SUM(G97:G98)</f>
        <v>0</v>
      </c>
      <c r="H99" s="1350">
        <f ca="1">SUM(H97:H98)</f>
        <v>0</v>
      </c>
      <c r="I99" s="1350">
        <f ca="1">SUMIF($F$73:$AH$90,"Gross total expenditure (incl. escalation)",J73:J90)</f>
        <v>0</v>
      </c>
      <c r="J99" s="1350">
        <f ca="1">SUMIF($F$73:$AH$90,"Gross total expenditure (incl. escalation)",K73:K90)</f>
        <v>0</v>
      </c>
      <c r="K99" s="1351">
        <f ca="1">SUMIF($F$73:$AH$90,"Gross total expenditure (incl. escalation)",L73:L90)</f>
        <v>0</v>
      </c>
      <c r="L99" s="1352">
        <f ca="1">SUMIF($F$73:$AH$90,"Gross total expenditure (incl. escalation)",M73:M90)</f>
        <v>0</v>
      </c>
      <c r="M99" s="1318">
        <f t="shared" ref="M99:U99" ca="1" si="106">SUMIF($F$73:$AH$90,"Gross total expenditure (incl. escalation)",M73:M90)</f>
        <v>0</v>
      </c>
      <c r="N99" s="1318">
        <f t="shared" ca="1" si="106"/>
        <v>0</v>
      </c>
      <c r="O99" s="1318">
        <f t="shared" ca="1" si="106"/>
        <v>0</v>
      </c>
      <c r="P99" s="1319">
        <f t="shared" ca="1" si="106"/>
        <v>0</v>
      </c>
      <c r="Q99" s="1353">
        <f t="shared" ca="1" si="106"/>
        <v>0</v>
      </c>
      <c r="R99" s="1318">
        <f t="shared" ca="1" si="106"/>
        <v>0</v>
      </c>
      <c r="S99" s="1318">
        <f t="shared" ca="1" si="106"/>
        <v>0</v>
      </c>
      <c r="T99" s="1318">
        <f t="shared" ca="1" si="106"/>
        <v>0</v>
      </c>
      <c r="U99" s="1319">
        <f t="shared" ca="1" si="106"/>
        <v>0</v>
      </c>
      <c r="W99" s="1317">
        <f t="shared" ref="W99:AH99" ca="1" si="107">SUM(W97:W98)</f>
        <v>0</v>
      </c>
      <c r="X99" s="1318">
        <f t="shared" ca="1" si="107"/>
        <v>0</v>
      </c>
      <c r="Y99" s="1318">
        <f t="shared" ca="1" si="107"/>
        <v>0</v>
      </c>
      <c r="Z99" s="1318">
        <f t="shared" ca="1" si="107"/>
        <v>0</v>
      </c>
      <c r="AA99" s="1319">
        <f t="shared" ca="1" si="107"/>
        <v>0</v>
      </c>
      <c r="AB99" s="1320" t="e">
        <f t="shared" ca="1" si="107"/>
        <v>#DIV/0!</v>
      </c>
      <c r="AC99" s="1317">
        <f t="shared" ca="1" si="107"/>
        <v>0</v>
      </c>
      <c r="AD99" s="1318">
        <f t="shared" ca="1" si="107"/>
        <v>0</v>
      </c>
      <c r="AE99" s="1318">
        <f t="shared" ca="1" si="107"/>
        <v>0</v>
      </c>
      <c r="AF99" s="1318">
        <f t="shared" ca="1" si="107"/>
        <v>0</v>
      </c>
      <c r="AG99" s="1318">
        <f t="shared" ca="1" si="107"/>
        <v>0</v>
      </c>
      <c r="AH99" s="1321" t="e">
        <f t="shared" ca="1" si="107"/>
        <v>#DIV/0!</v>
      </c>
      <c r="AI99" s="132"/>
      <c r="AJ99"/>
      <c r="AK99" s="132"/>
      <c r="AL99" s="1349">
        <f ca="1">SUM(AL97:AL98)</f>
        <v>0</v>
      </c>
      <c r="AM99" s="1350">
        <f ca="1">SUM(AM97:AM98)</f>
        <v>0</v>
      </c>
      <c r="AN99" s="1350">
        <f ca="1">SUMIF($F$73:$AH$90,"Gross total expenditure (incl. escalation)",AO73:AO90)</f>
        <v>0</v>
      </c>
      <c r="AO99" s="1350">
        <f ca="1">SUMIF($F$73:$AH$90,"Gross total expenditure (incl. escalation)",AP73:AP90)</f>
        <v>0</v>
      </c>
      <c r="AP99" s="1351">
        <f ca="1">SUMIF($F$73:$AH$90,"Gross total expenditure (incl. escalation)",AQ73:AQ90)</f>
        <v>0</v>
      </c>
      <c r="AQ99" s="1352">
        <f ca="1">SUMIF($F$73:$AH$90,"Gross total expenditure (incl. escalation)",AR73:AR90)</f>
        <v>0</v>
      </c>
      <c r="AR99" s="1318">
        <f t="shared" ref="AR99:AS99" ca="1" si="108">SUMIF($F$73:$AH$90,"Gross total expenditure (incl. escalation)",AR73:AR90)</f>
        <v>0</v>
      </c>
      <c r="AS99" s="1319">
        <f t="shared" ca="1" si="108"/>
        <v>0</v>
      </c>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row>
    <row r="100" spans="1:70">
      <c r="E100" s="3664"/>
      <c r="F100" s="1750" t="s">
        <v>35</v>
      </c>
      <c r="G100" s="1284">
        <f t="shared" ref="G100:L100" ca="1" si="109">SUMIF($F$73:$AH$90,"Less customer contributions",H73:H90)</f>
        <v>0</v>
      </c>
      <c r="H100" s="452">
        <f t="shared" ca="1" si="109"/>
        <v>0</v>
      </c>
      <c r="I100" s="452">
        <f t="shared" ca="1" si="109"/>
        <v>0</v>
      </c>
      <c r="J100" s="452">
        <f t="shared" ca="1" si="109"/>
        <v>0</v>
      </c>
      <c r="K100" s="1285">
        <f t="shared" ca="1" si="109"/>
        <v>0</v>
      </c>
      <c r="L100" s="1287">
        <f t="shared" ca="1" si="109"/>
        <v>0</v>
      </c>
      <c r="M100" s="534">
        <f t="shared" ref="M100:U100" ca="1" si="110">SUMIF($F$73:$AH$90,"Less customer contributions",M73:M90)</f>
        <v>0</v>
      </c>
      <c r="N100" s="534">
        <f t="shared" ca="1" si="110"/>
        <v>0</v>
      </c>
      <c r="O100" s="534">
        <f t="shared" ca="1" si="110"/>
        <v>0</v>
      </c>
      <c r="P100" s="479">
        <f t="shared" ca="1" si="110"/>
        <v>0</v>
      </c>
      <c r="Q100" s="1286">
        <f t="shared" ca="1" si="110"/>
        <v>0</v>
      </c>
      <c r="R100" s="534">
        <f t="shared" ca="1" si="110"/>
        <v>0</v>
      </c>
      <c r="S100" s="534">
        <f t="shared" ca="1" si="110"/>
        <v>0</v>
      </c>
      <c r="T100" s="534">
        <f t="shared" ca="1" si="110"/>
        <v>0</v>
      </c>
      <c r="U100" s="479">
        <f t="shared" ca="1" si="110"/>
        <v>0</v>
      </c>
      <c r="W100" s="533">
        <f t="shared" ref="W100:AH100" ca="1" si="111">SUMIF($F$73:$AH$90,"Less customer contributions",W73:W90)</f>
        <v>0</v>
      </c>
      <c r="X100" s="534">
        <f t="shared" ca="1" si="111"/>
        <v>0</v>
      </c>
      <c r="Y100" s="534">
        <f t="shared" ca="1" si="111"/>
        <v>0</v>
      </c>
      <c r="Z100" s="534">
        <f t="shared" ca="1" si="111"/>
        <v>0</v>
      </c>
      <c r="AA100" s="479">
        <f t="shared" ca="1" si="111"/>
        <v>0</v>
      </c>
      <c r="AB100" s="1288">
        <f t="shared" ca="1" si="111"/>
        <v>0</v>
      </c>
      <c r="AC100" s="533">
        <f t="shared" ca="1" si="111"/>
        <v>0</v>
      </c>
      <c r="AD100" s="534">
        <f t="shared" ca="1" si="111"/>
        <v>0</v>
      </c>
      <c r="AE100" s="534">
        <f t="shared" ca="1" si="111"/>
        <v>0</v>
      </c>
      <c r="AF100" s="534">
        <f t="shared" ca="1" si="111"/>
        <v>0</v>
      </c>
      <c r="AG100" s="534">
        <f t="shared" ca="1" si="111"/>
        <v>0</v>
      </c>
      <c r="AH100" s="1289">
        <f t="shared" ca="1" si="111"/>
        <v>0</v>
      </c>
      <c r="AI100" s="108"/>
      <c r="AJ100"/>
      <c r="AL100" s="1284">
        <f t="shared" ref="AL100" ca="1" si="112">SUMIF($F$73:$AH$90,"Less customer contributions",AM73:AM90)</f>
        <v>0</v>
      </c>
      <c r="AM100" s="452">
        <f t="shared" ref="AM100" ca="1" si="113">SUMIF($F$73:$AH$90,"Less customer contributions",AN73:AN90)</f>
        <v>0</v>
      </c>
      <c r="AN100" s="452">
        <f t="shared" ref="AN100" ca="1" si="114">SUMIF($F$73:$AH$90,"Less customer contributions",AO73:AO90)</f>
        <v>0</v>
      </c>
      <c r="AO100" s="452">
        <f t="shared" ref="AO100" ca="1" si="115">SUMIF($F$73:$AH$90,"Less customer contributions",AP73:AP90)</f>
        <v>0</v>
      </c>
      <c r="AP100" s="1285">
        <f t="shared" ref="AP100" ca="1" si="116">SUMIF($F$73:$AH$90,"Less customer contributions",AQ73:AQ90)</f>
        <v>0</v>
      </c>
      <c r="AQ100" s="1287">
        <f t="shared" ref="AQ100" ca="1" si="117">SUMIF($F$73:$AH$90,"Less customer contributions",AR73:AR90)</f>
        <v>0</v>
      </c>
      <c r="AR100" s="534">
        <f t="shared" ref="AR100:AS100" ca="1" si="118">SUMIF($F$73:$AH$90,"Less customer contributions",AR73:AR90)</f>
        <v>0</v>
      </c>
      <c r="AS100" s="479">
        <f t="shared" ca="1" si="118"/>
        <v>0</v>
      </c>
    </row>
    <row r="101" spans="1:70" ht="24" customHeight="1" thickBot="1">
      <c r="E101" s="3665"/>
      <c r="F101" s="1751" t="s">
        <v>621</v>
      </c>
      <c r="G101" s="1354">
        <f ca="1">G99-G100</f>
        <v>0</v>
      </c>
      <c r="H101" s="1355">
        <f ca="1">H99-H100</f>
        <v>0</v>
      </c>
      <c r="I101" s="1355">
        <f ca="1">SUMIF($F$73:$AH$90,"Net total expenditure (incl. escalation)",J73:J90)</f>
        <v>0</v>
      </c>
      <c r="J101" s="1355">
        <f ca="1">SUMIF($F$73:$AH$90,"Net total expenditure (incl. escalation)",K73:K90)</f>
        <v>0</v>
      </c>
      <c r="K101" s="1356">
        <f ca="1">SUMIF($F$73:$AH$90,"Net total expenditure (incl. escalation)",L73:L90)</f>
        <v>0</v>
      </c>
      <c r="L101" s="1357">
        <f ca="1">SUMIF($F$73:$AH$90,"Net total expenditure (incl. escalation)",M73:M90)</f>
        <v>0</v>
      </c>
      <c r="M101" s="1323">
        <f t="shared" ref="M101:U101" ca="1" si="119">SUMIF($F$73:$AH$90,"Net total expenditure (incl. escalation)",M73:M90)</f>
        <v>0</v>
      </c>
      <c r="N101" s="1323">
        <f t="shared" ca="1" si="119"/>
        <v>0</v>
      </c>
      <c r="O101" s="1323">
        <f t="shared" ca="1" si="119"/>
        <v>0</v>
      </c>
      <c r="P101" s="1324">
        <f t="shared" ca="1" si="119"/>
        <v>0</v>
      </c>
      <c r="Q101" s="1358">
        <f t="shared" ca="1" si="119"/>
        <v>0</v>
      </c>
      <c r="R101" s="1323">
        <f t="shared" ca="1" si="119"/>
        <v>0</v>
      </c>
      <c r="S101" s="1323">
        <f t="shared" ca="1" si="119"/>
        <v>0</v>
      </c>
      <c r="T101" s="1323">
        <f t="shared" ca="1" si="119"/>
        <v>0</v>
      </c>
      <c r="U101" s="1324">
        <f t="shared" ca="1" si="119"/>
        <v>0</v>
      </c>
      <c r="W101" s="1322">
        <f t="shared" ref="W101:AH101" ca="1" si="120">SUMIF($F$73:$AH$90,"Net total expenditure (incl. escalation)",W73:W90)</f>
        <v>0</v>
      </c>
      <c r="X101" s="1323">
        <f t="shared" ca="1" si="120"/>
        <v>0</v>
      </c>
      <c r="Y101" s="1323">
        <f t="shared" ca="1" si="120"/>
        <v>0</v>
      </c>
      <c r="Z101" s="1323">
        <f t="shared" ca="1" si="120"/>
        <v>0</v>
      </c>
      <c r="AA101" s="1324">
        <f t="shared" ca="1" si="120"/>
        <v>0</v>
      </c>
      <c r="AB101" s="1325">
        <f t="shared" ca="1" si="120"/>
        <v>0</v>
      </c>
      <c r="AC101" s="1322">
        <f t="shared" ca="1" si="120"/>
        <v>0</v>
      </c>
      <c r="AD101" s="1323">
        <f t="shared" ca="1" si="120"/>
        <v>0</v>
      </c>
      <c r="AE101" s="1323">
        <f t="shared" ca="1" si="120"/>
        <v>0</v>
      </c>
      <c r="AF101" s="1323">
        <f t="shared" ca="1" si="120"/>
        <v>0</v>
      </c>
      <c r="AG101" s="1323">
        <f t="shared" ca="1" si="120"/>
        <v>0</v>
      </c>
      <c r="AH101" s="1326">
        <f t="shared" ca="1" si="120"/>
        <v>0</v>
      </c>
      <c r="AI101" s="108"/>
      <c r="AJ101"/>
      <c r="AL101" s="1354">
        <f ca="1">AL99-AL100</f>
        <v>0</v>
      </c>
      <c r="AM101" s="1355">
        <f ca="1">AM99-AM100</f>
        <v>0</v>
      </c>
      <c r="AN101" s="1355">
        <f ca="1">SUMIF($F$73:$AH$90,"Net total expenditure (incl. escalation)",AO73:AO90)</f>
        <v>0</v>
      </c>
      <c r="AO101" s="1355">
        <f ca="1">SUMIF($F$73:$AH$90,"Net total expenditure (incl. escalation)",AP73:AP90)</f>
        <v>0</v>
      </c>
      <c r="AP101" s="1356">
        <f ca="1">SUMIF($F$73:$AH$90,"Net total expenditure (incl. escalation)",AQ73:AQ90)</f>
        <v>0</v>
      </c>
      <c r="AQ101" s="1357">
        <f ca="1">SUMIF($F$73:$AH$90,"Net total expenditure (incl. escalation)",AR73:AR90)</f>
        <v>0</v>
      </c>
      <c r="AR101" s="1323">
        <f t="shared" ref="AR101:AS101" ca="1" si="121">SUMIF($F$73:$AH$90,"Net total expenditure (incl. escalation)",AR73:AR90)</f>
        <v>0</v>
      </c>
      <c r="AS101" s="1324">
        <f t="shared" ca="1" si="121"/>
        <v>0</v>
      </c>
    </row>
    <row r="102" spans="1:70" s="70" customFormat="1" ht="45.75" customHeight="1" thickBot="1">
      <c r="A102" s="76"/>
      <c r="B102" s="76"/>
      <c r="C102" s="76"/>
      <c r="D102" s="76"/>
      <c r="E102" s="1724" t="s">
        <v>125</v>
      </c>
      <c r="F102" s="309"/>
      <c r="G102" s="310"/>
      <c r="H102" s="310"/>
      <c r="I102" s="310"/>
      <c r="J102" s="310"/>
      <c r="K102" s="310"/>
      <c r="L102" s="310"/>
      <c r="M102" s="310"/>
      <c r="N102" s="310"/>
      <c r="O102" s="310"/>
      <c r="P102" s="310"/>
      <c r="Q102" s="310"/>
      <c r="R102" s="310"/>
      <c r="S102" s="310"/>
      <c r="T102" s="310"/>
      <c r="U102" s="458"/>
      <c r="V102" s="504"/>
      <c r="W102" s="310"/>
      <c r="X102" s="310"/>
      <c r="Y102" s="310"/>
      <c r="Z102" s="310"/>
      <c r="AA102" s="310"/>
      <c r="AB102" s="310"/>
      <c r="AC102" s="310"/>
      <c r="AD102" s="310"/>
      <c r="AE102" s="310"/>
      <c r="AF102" s="310"/>
      <c r="AG102" s="310"/>
      <c r="AH102" s="458"/>
      <c r="AI102" s="66"/>
      <c r="AJ102" s="75"/>
      <c r="AK102" s="75"/>
      <c r="AL102" s="2135"/>
      <c r="AM102" s="2116"/>
      <c r="AN102" s="2116"/>
      <c r="AO102" s="2116"/>
      <c r="AP102" s="2116"/>
      <c r="AQ102" s="2116"/>
      <c r="AR102" s="2116"/>
      <c r="AS102" s="2119"/>
      <c r="AT102" s="75"/>
      <c r="AU102" s="75"/>
      <c r="AV102" s="75"/>
      <c r="AW102" s="75"/>
      <c r="AX102" s="75"/>
      <c r="AY102" s="75"/>
      <c r="AZ102" s="75"/>
      <c r="BA102" s="75"/>
      <c r="BB102" s="75"/>
      <c r="BC102" s="75"/>
      <c r="BD102" s="75"/>
      <c r="BE102" s="75"/>
      <c r="BF102" s="75"/>
      <c r="BG102" s="75"/>
      <c r="BH102" s="75"/>
      <c r="BI102" s="75"/>
      <c r="BJ102" s="75"/>
      <c r="BK102" s="75"/>
      <c r="BL102" s="75"/>
      <c r="BM102" s="75"/>
      <c r="BN102" s="75"/>
      <c r="BO102" s="75"/>
      <c r="BP102" s="75"/>
      <c r="BQ102" s="75"/>
      <c r="BR102" s="75"/>
    </row>
    <row r="103" spans="1:70" s="91" customFormat="1" ht="27.75" customHeight="1" thickBot="1">
      <c r="F103" s="90"/>
      <c r="G103" s="90"/>
      <c r="H103" s="90"/>
      <c r="I103" s="90"/>
      <c r="J103" s="90"/>
      <c r="K103" s="24"/>
      <c r="L103" s="24"/>
      <c r="M103" s="24"/>
      <c r="N103" s="24"/>
      <c r="O103" s="24"/>
      <c r="P103" s="24"/>
      <c r="Q103" s="24"/>
      <c r="R103" s="24"/>
      <c r="S103" s="24"/>
      <c r="T103" s="24"/>
      <c r="U103" s="24"/>
      <c r="V103"/>
      <c r="W103" s="24"/>
      <c r="X103" s="24"/>
      <c r="Y103" s="24"/>
      <c r="Z103" s="24"/>
      <c r="AA103" s="24"/>
      <c r="AB103" s="449"/>
      <c r="AC103" s="24"/>
      <c r="AD103" s="24"/>
      <c r="AE103" s="24"/>
      <c r="AF103" s="24"/>
      <c r="AG103" s="24"/>
      <c r="AH103" s="451"/>
      <c r="AI103"/>
      <c r="AJ103" s="108"/>
      <c r="AK103" s="108"/>
      <c r="AL103" s="90"/>
      <c r="AM103" s="90"/>
      <c r="AN103" s="90"/>
      <c r="AO103" s="90"/>
      <c r="AP103" s="24"/>
      <c r="AQ103" s="24"/>
      <c r="AR103" s="24"/>
      <c r="AS103" s="24"/>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row>
    <row r="104" spans="1:70" s="66" customFormat="1" ht="28.5" customHeight="1" thickBot="1">
      <c r="E104" s="298" t="s">
        <v>466</v>
      </c>
      <c r="F104" s="317"/>
      <c r="G104" s="317"/>
      <c r="H104" s="317"/>
      <c r="I104" s="317"/>
      <c r="J104" s="317"/>
      <c r="K104" s="317"/>
      <c r="L104" s="317"/>
      <c r="M104" s="317"/>
      <c r="N104" s="317"/>
      <c r="O104" s="317"/>
      <c r="P104" s="317"/>
      <c r="Q104" s="317"/>
      <c r="R104" s="317"/>
      <c r="S104" s="317"/>
      <c r="T104" s="317"/>
      <c r="U104" s="318"/>
      <c r="V104" s="504"/>
      <c r="W104" s="317"/>
      <c r="X104" s="317"/>
      <c r="Y104" s="317"/>
      <c r="Z104" s="317"/>
      <c r="AA104" s="317"/>
      <c r="AB104" s="317"/>
      <c r="AC104" s="317"/>
      <c r="AD104" s="317"/>
      <c r="AE104" s="317"/>
      <c r="AF104" s="317"/>
      <c r="AG104" s="317"/>
      <c r="AH104" s="318"/>
      <c r="AL104" s="2133"/>
      <c r="AM104" s="317"/>
      <c r="AN104" s="317"/>
      <c r="AO104" s="317"/>
      <c r="AP104" s="317"/>
      <c r="AQ104" s="317"/>
      <c r="AR104" s="317"/>
      <c r="AS104" s="318"/>
    </row>
    <row r="105" spans="1:70" s="66" customFormat="1" ht="18">
      <c r="E105" s="3651"/>
      <c r="F105" s="3652"/>
      <c r="G105" s="3643" t="s">
        <v>36</v>
      </c>
      <c r="H105" s="3549"/>
      <c r="I105" s="3549"/>
      <c r="J105" s="3549"/>
      <c r="K105" s="3549"/>
      <c r="L105" s="3657" t="s">
        <v>37</v>
      </c>
      <c r="M105" s="3603"/>
      <c r="N105" s="3603"/>
      <c r="O105" s="3603"/>
      <c r="P105" s="3603"/>
      <c r="Q105" s="3658" t="s">
        <v>73</v>
      </c>
      <c r="R105" s="3658"/>
      <c r="S105" s="3658"/>
      <c r="T105" s="3658"/>
      <c r="U105" s="3659"/>
      <c r="V105" s="234"/>
      <c r="W105" s="3643" t="s">
        <v>36</v>
      </c>
      <c r="X105" s="3644"/>
      <c r="Y105" s="3644"/>
      <c r="Z105" s="3644"/>
      <c r="AA105" s="3644"/>
      <c r="AB105" s="3645"/>
      <c r="AC105" s="3602" t="s">
        <v>37</v>
      </c>
      <c r="AD105" s="3646"/>
      <c r="AE105" s="3646"/>
      <c r="AF105" s="3646"/>
      <c r="AG105" s="3646"/>
      <c r="AH105" s="3647"/>
      <c r="AL105" s="3681" t="s">
        <v>36</v>
      </c>
      <c r="AM105" s="3549"/>
      <c r="AN105" s="3549"/>
      <c r="AO105" s="3549"/>
      <c r="AP105" s="3549"/>
      <c r="AQ105" s="3657" t="s">
        <v>37</v>
      </c>
      <c r="AR105" s="3603"/>
      <c r="AS105" s="3604"/>
    </row>
    <row r="106" spans="1:70" s="66" customFormat="1" ht="15" customHeight="1">
      <c r="E106" s="3653"/>
      <c r="F106" s="3654"/>
      <c r="G106" s="3550" t="s">
        <v>579</v>
      </c>
      <c r="H106" s="3551"/>
      <c r="I106" s="3551"/>
      <c r="J106" s="3551"/>
      <c r="K106" s="3551"/>
      <c r="L106" s="3551"/>
      <c r="M106" s="3551"/>
      <c r="N106" s="3595"/>
      <c r="O106" s="3589" t="str">
        <f>CONCATENATE("$0's, real ",dms_DollarReal)</f>
        <v>$0's, real December 2017</v>
      </c>
      <c r="P106" s="3590"/>
      <c r="Q106" s="3590"/>
      <c r="R106" s="3590"/>
      <c r="S106" s="3590"/>
      <c r="T106" s="3590"/>
      <c r="U106" s="3591"/>
      <c r="V106" s="234"/>
      <c r="W106" s="3592" t="str">
        <f>CONCATENATE("$0's, real ",dms_DollarReal)</f>
        <v>$0's, real December 2017</v>
      </c>
      <c r="X106" s="3593"/>
      <c r="Y106" s="3593"/>
      <c r="Z106" s="3593"/>
      <c r="AA106" s="3593"/>
      <c r="AB106" s="456" t="s">
        <v>118</v>
      </c>
      <c r="AC106" s="3594" t="str">
        <f>CONCATENATE("$0's, real ",dms_DollarReal)</f>
        <v>$0's, real December 2017</v>
      </c>
      <c r="AD106" s="3594"/>
      <c r="AE106" s="3594"/>
      <c r="AF106" s="3594"/>
      <c r="AG106" s="3594"/>
      <c r="AH106" s="455" t="s">
        <v>118</v>
      </c>
      <c r="AL106" s="3550" t="str">
        <f>CONCATENATE("$0's, real ",dms_DollarReal)</f>
        <v>$0's, real December 2017</v>
      </c>
      <c r="AM106" s="3551"/>
      <c r="AN106" s="3551"/>
      <c r="AO106" s="3551"/>
      <c r="AP106" s="3551"/>
      <c r="AQ106" s="3551"/>
      <c r="AR106" s="3551"/>
      <c r="AS106" s="3552"/>
    </row>
    <row r="107" spans="1:70" s="66" customFormat="1" ht="25.5">
      <c r="E107" s="3653"/>
      <c r="F107" s="3654"/>
      <c r="G107" s="3550" t="s">
        <v>54</v>
      </c>
      <c r="H107" s="3551"/>
      <c r="I107" s="3551"/>
      <c r="J107" s="3551"/>
      <c r="K107" s="3551"/>
      <c r="L107" s="3551"/>
      <c r="M107" s="3551"/>
      <c r="N107" s="3595"/>
      <c r="O107" s="3589" t="s">
        <v>55</v>
      </c>
      <c r="P107" s="3590"/>
      <c r="Q107" s="3590"/>
      <c r="R107" s="3590"/>
      <c r="S107" s="3590"/>
      <c r="T107" s="3590"/>
      <c r="U107" s="3591"/>
      <c r="V107" s="234"/>
      <c r="W107" s="3592" t="s">
        <v>74</v>
      </c>
      <c r="X107" s="3593"/>
      <c r="Y107" s="3593"/>
      <c r="Z107" s="3593"/>
      <c r="AA107" s="3593"/>
      <c r="AB107" s="400" t="s">
        <v>117</v>
      </c>
      <c r="AC107" s="3594" t="s">
        <v>74</v>
      </c>
      <c r="AD107" s="3594"/>
      <c r="AE107" s="3594"/>
      <c r="AF107" s="3594"/>
      <c r="AG107" s="3594"/>
      <c r="AH107" s="400" t="s">
        <v>117</v>
      </c>
      <c r="AL107" s="3550" t="s">
        <v>54</v>
      </c>
      <c r="AM107" s="3551"/>
      <c r="AN107" s="3551"/>
      <c r="AO107" s="3551"/>
      <c r="AP107" s="3551"/>
      <c r="AQ107" s="3551"/>
      <c r="AR107" s="3551"/>
      <c r="AS107" s="3552"/>
    </row>
    <row r="108" spans="1:70" s="66" customFormat="1" ht="15.75" thickBot="1">
      <c r="E108" s="3655"/>
      <c r="F108" s="3656"/>
      <c r="G108" s="391">
        <f t="array" ref="G108:K108">PRCP</f>
        <v>2008</v>
      </c>
      <c r="H108" s="390">
        <v>2009</v>
      </c>
      <c r="I108" s="390">
        <v>2010</v>
      </c>
      <c r="J108" s="390">
        <v>2011</v>
      </c>
      <c r="K108" s="390">
        <v>2012</v>
      </c>
      <c r="L108" s="392">
        <f>CRCP_y1</f>
        <v>2013</v>
      </c>
      <c r="M108" s="392">
        <f>CRCP_y2</f>
        <v>2014</v>
      </c>
      <c r="N108" s="392">
        <f>CRCP_y3</f>
        <v>2015</v>
      </c>
      <c r="O108" s="392">
        <f>CRCP_y4</f>
        <v>2016</v>
      </c>
      <c r="P108" s="392">
        <f>CRCP_y5</f>
        <v>2017</v>
      </c>
      <c r="Q108" s="390" t="str">
        <f t="array" ref="Q108:U108">FRCP</f>
        <v>2018</v>
      </c>
      <c r="R108" s="390">
        <v>2019</v>
      </c>
      <c r="S108" s="390">
        <v>2020</v>
      </c>
      <c r="T108" s="390">
        <v>2021</v>
      </c>
      <c r="U108" s="498">
        <v>2022</v>
      </c>
      <c r="W108" s="391">
        <f t="array" ref="W108:AA108">PRCP</f>
        <v>2008</v>
      </c>
      <c r="X108" s="390">
        <v>2009</v>
      </c>
      <c r="Y108" s="390">
        <v>2010</v>
      </c>
      <c r="Z108" s="390">
        <v>2011</v>
      </c>
      <c r="AA108" s="390">
        <v>2012</v>
      </c>
      <c r="AB108" s="871" t="s">
        <v>116</v>
      </c>
      <c r="AC108" s="392">
        <f>CRCP_y1</f>
        <v>2013</v>
      </c>
      <c r="AD108" s="392">
        <f>CRCP_y2</f>
        <v>2014</v>
      </c>
      <c r="AE108" s="392">
        <f>CRCP_y3</f>
        <v>2015</v>
      </c>
      <c r="AF108" s="392">
        <f>CRCP_y4</f>
        <v>2016</v>
      </c>
      <c r="AG108" s="392">
        <f>CRCP_y5</f>
        <v>2017</v>
      </c>
      <c r="AH108" s="871" t="s">
        <v>116</v>
      </c>
      <c r="AL108" s="1789">
        <f t="array" ref="AL108:AP108">PRCP</f>
        <v>2008</v>
      </c>
      <c r="AM108" s="390">
        <v>2009</v>
      </c>
      <c r="AN108" s="390">
        <v>2010</v>
      </c>
      <c r="AO108" s="390">
        <v>2011</v>
      </c>
      <c r="AP108" s="390">
        <v>2012</v>
      </c>
      <c r="AQ108" s="392">
        <f>CRCP_y1</f>
        <v>2013</v>
      </c>
      <c r="AR108" s="392">
        <f>CRCP_y2</f>
        <v>2014</v>
      </c>
      <c r="AS108" s="603">
        <f>CRCP_y3</f>
        <v>2015</v>
      </c>
    </row>
    <row r="109" spans="1:70">
      <c r="E109" s="3660" t="s">
        <v>367</v>
      </c>
      <c r="F109" s="487" t="s">
        <v>115</v>
      </c>
      <c r="G109" s="1359"/>
      <c r="H109" s="482"/>
      <c r="I109" s="482"/>
      <c r="J109" s="482"/>
      <c r="K109" s="1360"/>
      <c r="L109" s="1364"/>
      <c r="M109" s="1365"/>
      <c r="N109" s="1365"/>
      <c r="O109" s="1365"/>
      <c r="P109" s="1366"/>
      <c r="Q109" s="477"/>
      <c r="R109" s="474"/>
      <c r="S109" s="474"/>
      <c r="T109" s="474"/>
      <c r="U109" s="506"/>
      <c r="V109" s="1382"/>
      <c r="W109" s="1364"/>
      <c r="X109" s="1365"/>
      <c r="Y109" s="1365"/>
      <c r="Z109" s="1365"/>
      <c r="AA109" s="1366"/>
      <c r="AB109" s="1383" t="e">
        <f>SUM(G109:K109)/SUM(W109:AA109)-1</f>
        <v>#DIV/0!</v>
      </c>
      <c r="AC109" s="1364"/>
      <c r="AD109" s="1365"/>
      <c r="AE109" s="1365"/>
      <c r="AF109" s="1365"/>
      <c r="AG109" s="1365"/>
      <c r="AH109" s="1388" t="e">
        <f>SUM(L109:P109)/SUM(AC109:AG109)-1</f>
        <v>#DIV/0!</v>
      </c>
      <c r="AI109" s="451"/>
      <c r="AJ109"/>
      <c r="AL109" s="2136"/>
      <c r="AM109" s="2137"/>
      <c r="AN109" s="2137"/>
      <c r="AO109" s="2137"/>
      <c r="AP109" s="2138"/>
      <c r="AQ109" s="2139"/>
      <c r="AR109" s="2140"/>
      <c r="AS109" s="2141"/>
    </row>
    <row r="110" spans="1:70">
      <c r="E110" s="3661"/>
      <c r="F110" s="486" t="s">
        <v>634</v>
      </c>
      <c r="G110" s="496"/>
      <c r="H110" s="468"/>
      <c r="I110" s="468"/>
      <c r="J110" s="468"/>
      <c r="K110" s="507"/>
      <c r="L110" s="1367"/>
      <c r="M110" s="1368"/>
      <c r="N110" s="1368"/>
      <c r="O110" s="1368"/>
      <c r="P110" s="1369"/>
      <c r="Q110" s="503"/>
      <c r="R110" s="468"/>
      <c r="S110" s="468"/>
      <c r="T110" s="468"/>
      <c r="U110" s="507"/>
      <c r="W110" s="1367"/>
      <c r="X110" s="1368"/>
      <c r="Y110" s="1368"/>
      <c r="Z110" s="1368"/>
      <c r="AA110" s="1369"/>
      <c r="AB110" s="1384"/>
      <c r="AC110" s="1367"/>
      <c r="AD110" s="1368"/>
      <c r="AE110" s="1368"/>
      <c r="AF110" s="1368"/>
      <c r="AG110" s="1368"/>
      <c r="AH110" s="1389"/>
      <c r="AI110" s="451"/>
      <c r="AJ110" s="66"/>
      <c r="AL110" s="496"/>
      <c r="AM110" s="468"/>
      <c r="AN110" s="468"/>
      <c r="AO110" s="468"/>
      <c r="AP110" s="507"/>
      <c r="AQ110" s="1367"/>
      <c r="AR110" s="1368"/>
      <c r="AS110" s="1369"/>
    </row>
    <row r="111" spans="1:70">
      <c r="E111" s="3661"/>
      <c r="F111" s="485" t="s">
        <v>594</v>
      </c>
      <c r="G111" s="481"/>
      <c r="H111" s="448"/>
      <c r="I111" s="448"/>
      <c r="J111" s="448"/>
      <c r="K111" s="1283"/>
      <c r="L111" s="514"/>
      <c r="M111" s="513"/>
      <c r="N111" s="513"/>
      <c r="O111" s="513"/>
      <c r="P111" s="515"/>
      <c r="Q111" s="467"/>
      <c r="R111" s="300"/>
      <c r="S111" s="300"/>
      <c r="T111" s="300"/>
      <c r="U111" s="515"/>
      <c r="W111" s="514"/>
      <c r="X111" s="513"/>
      <c r="Y111" s="513"/>
      <c r="Z111" s="513"/>
      <c r="AA111" s="515"/>
      <c r="AB111" s="1246"/>
      <c r="AC111" s="301"/>
      <c r="AD111" s="513"/>
      <c r="AE111" s="513"/>
      <c r="AF111" s="513"/>
      <c r="AG111" s="513"/>
      <c r="AH111" s="1390"/>
      <c r="AI111" s="451"/>
      <c r="AJ111"/>
      <c r="AL111" s="481"/>
      <c r="AM111" s="448"/>
      <c r="AN111" s="448"/>
      <c r="AO111" s="448"/>
      <c r="AP111" s="1283"/>
      <c r="AQ111" s="517"/>
      <c r="AR111" s="518"/>
      <c r="AS111" s="519"/>
    </row>
    <row r="112" spans="1:70">
      <c r="E112" s="3661"/>
      <c r="F112" s="485" t="s">
        <v>595</v>
      </c>
      <c r="G112" s="481"/>
      <c r="H112" s="448"/>
      <c r="I112" s="448"/>
      <c r="J112" s="448"/>
      <c r="K112" s="1283"/>
      <c r="L112" s="514"/>
      <c r="M112" s="513"/>
      <c r="N112" s="513"/>
      <c r="O112" s="513"/>
      <c r="P112" s="515"/>
      <c r="Q112" s="467"/>
      <c r="R112" s="300"/>
      <c r="S112" s="300"/>
      <c r="T112" s="300"/>
      <c r="U112" s="515"/>
      <c r="W112" s="514"/>
      <c r="X112" s="513"/>
      <c r="Y112" s="513"/>
      <c r="Z112" s="513"/>
      <c r="AA112" s="515"/>
      <c r="AB112" s="1246"/>
      <c r="AC112" s="301"/>
      <c r="AD112" s="513"/>
      <c r="AE112" s="513"/>
      <c r="AF112" s="513"/>
      <c r="AG112" s="513"/>
      <c r="AH112" s="1390"/>
      <c r="AI112" s="451"/>
      <c r="AJ112"/>
      <c r="AL112" s="481"/>
      <c r="AM112" s="448"/>
      <c r="AN112" s="448"/>
      <c r="AO112" s="448"/>
      <c r="AP112" s="1283"/>
      <c r="AQ112" s="517"/>
      <c r="AR112" s="518"/>
      <c r="AS112" s="519"/>
    </row>
    <row r="113" spans="5:71">
      <c r="E113" s="3661"/>
      <c r="F113" s="485" t="s">
        <v>614</v>
      </c>
      <c r="G113" s="481"/>
      <c r="H113" s="448"/>
      <c r="I113" s="448"/>
      <c r="J113" s="448"/>
      <c r="K113" s="1283"/>
      <c r="L113" s="514"/>
      <c r="M113" s="513"/>
      <c r="N113" s="513"/>
      <c r="O113" s="513"/>
      <c r="P113" s="515"/>
      <c r="Q113" s="467"/>
      <c r="R113" s="300"/>
      <c r="S113" s="300"/>
      <c r="T113" s="300"/>
      <c r="U113" s="515"/>
      <c r="W113" s="514"/>
      <c r="X113" s="513"/>
      <c r="Y113" s="513"/>
      <c r="Z113" s="513"/>
      <c r="AA113" s="515"/>
      <c r="AB113" s="1246"/>
      <c r="AC113" s="301"/>
      <c r="AD113" s="513"/>
      <c r="AE113" s="513"/>
      <c r="AF113" s="513"/>
      <c r="AG113" s="513"/>
      <c r="AH113" s="1390"/>
      <c r="AI113" s="451"/>
      <c r="AJ113"/>
      <c r="AL113" s="481"/>
      <c r="AM113" s="448"/>
      <c r="AN113" s="448"/>
      <c r="AO113" s="448"/>
      <c r="AP113" s="1283"/>
      <c r="AQ113" s="517"/>
      <c r="AR113" s="518"/>
      <c r="AS113" s="519"/>
    </row>
    <row r="114" spans="5:71">
      <c r="E114" s="3661"/>
      <c r="F114" s="1718" t="s">
        <v>615</v>
      </c>
      <c r="G114" s="481"/>
      <c r="H114" s="448"/>
      <c r="I114" s="448"/>
      <c r="J114" s="448"/>
      <c r="K114" s="1283"/>
      <c r="L114" s="401">
        <f>SUM(L111:L113)</f>
        <v>0</v>
      </c>
      <c r="M114" s="402">
        <f t="shared" ref="M114:AA114" si="122">SUM(M111:M113)</f>
        <v>0</v>
      </c>
      <c r="N114" s="402">
        <f t="shared" ref="N114" si="123">SUM(N111:N113)</f>
        <v>0</v>
      </c>
      <c r="O114" s="402">
        <f t="shared" si="122"/>
        <v>0</v>
      </c>
      <c r="P114" s="505">
        <f t="shared" si="122"/>
        <v>0</v>
      </c>
      <c r="Q114" s="502">
        <f t="shared" si="122"/>
        <v>0</v>
      </c>
      <c r="R114" s="402">
        <f t="shared" si="122"/>
        <v>0</v>
      </c>
      <c r="S114" s="402">
        <f t="shared" si="122"/>
        <v>0</v>
      </c>
      <c r="T114" s="402">
        <f t="shared" si="122"/>
        <v>0</v>
      </c>
      <c r="U114" s="505">
        <f t="shared" si="122"/>
        <v>0</v>
      </c>
      <c r="W114" s="401">
        <f t="shared" si="122"/>
        <v>0</v>
      </c>
      <c r="X114" s="402">
        <f t="shared" si="122"/>
        <v>0</v>
      </c>
      <c r="Y114" s="402">
        <f t="shared" si="122"/>
        <v>0</v>
      </c>
      <c r="Z114" s="402">
        <f t="shared" si="122"/>
        <v>0</v>
      </c>
      <c r="AA114" s="505">
        <f t="shared" si="122"/>
        <v>0</v>
      </c>
      <c r="AB114" s="1233" t="e">
        <f>SUM(G114:K114)/SUM(W114:AA114)-1</f>
        <v>#DIV/0!</v>
      </c>
      <c r="AC114" s="304">
        <v>0</v>
      </c>
      <c r="AD114" s="402">
        <v>0</v>
      </c>
      <c r="AE114" s="402">
        <v>0</v>
      </c>
      <c r="AF114" s="402"/>
      <c r="AG114" s="402">
        <v>0</v>
      </c>
      <c r="AH114" s="1237" t="e">
        <f>SUM(L114:P114)/SUM(AC114:AG114)-1</f>
        <v>#DIV/0!</v>
      </c>
      <c r="AI114" s="451"/>
      <c r="AJ114"/>
      <c r="AL114" s="481"/>
      <c r="AM114" s="448"/>
      <c r="AN114" s="448"/>
      <c r="AO114" s="448"/>
      <c r="AP114" s="1283"/>
      <c r="AQ114" s="401">
        <f>SUM(AQ111:AQ113)</f>
        <v>0</v>
      </c>
      <c r="AR114" s="402">
        <f t="shared" ref="AR114:AS114" si="124">SUM(AR111:AR113)</f>
        <v>0</v>
      </c>
      <c r="AS114" s="505">
        <f t="shared" si="124"/>
        <v>0</v>
      </c>
    </row>
    <row r="115" spans="5:71">
      <c r="E115" s="3661"/>
      <c r="F115" s="1731" t="s">
        <v>619</v>
      </c>
      <c r="G115" s="1173"/>
      <c r="H115" s="469"/>
      <c r="I115" s="469"/>
      <c r="J115" s="469"/>
      <c r="K115" s="1174"/>
      <c r="L115" s="483"/>
      <c r="M115" s="531"/>
      <c r="N115" s="531"/>
      <c r="O115" s="531"/>
      <c r="P115" s="489"/>
      <c r="Q115" s="467"/>
      <c r="R115" s="300"/>
      <c r="S115" s="300"/>
      <c r="T115" s="300"/>
      <c r="U115" s="515"/>
      <c r="W115" s="514"/>
      <c r="X115" s="513"/>
      <c r="Y115" s="513"/>
      <c r="Z115" s="513"/>
      <c r="AA115" s="515"/>
      <c r="AB115" s="1246" t="e">
        <f t="shared" ref="AB115:AB120" si="125">SUM(G115:K115)/SUM(W115:AA115)-1</f>
        <v>#DIV/0!</v>
      </c>
      <c r="AC115" s="1394"/>
      <c r="AD115" s="531"/>
      <c r="AE115" s="531"/>
      <c r="AF115" s="531"/>
      <c r="AG115" s="531"/>
      <c r="AH115" s="1390" t="e">
        <f t="shared" ref="AH115:AH120" si="126">SUM(L115:P115)/SUM(AC115:AG115)-1</f>
        <v>#DIV/0!</v>
      </c>
      <c r="AI115" s="451"/>
      <c r="AJ115"/>
      <c r="AL115" s="2142"/>
      <c r="AM115" s="2143"/>
      <c r="AN115" s="2143"/>
      <c r="AO115" s="2143"/>
      <c r="AP115" s="2144"/>
      <c r="AQ115" s="569"/>
      <c r="AR115" s="570"/>
      <c r="AS115" s="608"/>
    </row>
    <row r="116" spans="5:71">
      <c r="E116" s="3661"/>
      <c r="F116" s="1721" t="s">
        <v>617</v>
      </c>
      <c r="G116" s="1173"/>
      <c r="H116" s="469"/>
      <c r="I116" s="469"/>
      <c r="J116" s="469"/>
      <c r="K116" s="1174"/>
      <c r="L116" s="514"/>
      <c r="M116" s="513"/>
      <c r="N116" s="513"/>
      <c r="O116" s="513"/>
      <c r="P116" s="515"/>
      <c r="Q116" s="467"/>
      <c r="R116" s="300"/>
      <c r="S116" s="300"/>
      <c r="T116" s="300"/>
      <c r="U116" s="515"/>
      <c r="W116" s="514"/>
      <c r="X116" s="513"/>
      <c r="Y116" s="513"/>
      <c r="Z116" s="513"/>
      <c r="AA116" s="515"/>
      <c r="AB116" s="1246" t="e">
        <f t="shared" si="125"/>
        <v>#DIV/0!</v>
      </c>
      <c r="AC116" s="301"/>
      <c r="AD116" s="513"/>
      <c r="AE116" s="513"/>
      <c r="AF116" s="513"/>
      <c r="AG116" s="513"/>
      <c r="AH116" s="1390" t="e">
        <f t="shared" si="126"/>
        <v>#DIV/0!</v>
      </c>
      <c r="AI116" s="451"/>
      <c r="AJ116"/>
      <c r="AL116" s="2142"/>
      <c r="AM116" s="2143"/>
      <c r="AN116" s="2143"/>
      <c r="AO116" s="2143"/>
      <c r="AP116" s="2144"/>
      <c r="AQ116" s="517"/>
      <c r="AR116" s="518"/>
      <c r="AS116" s="519"/>
    </row>
    <row r="117" spans="5:71">
      <c r="E117" s="3661"/>
      <c r="F117" s="1727" t="s">
        <v>620</v>
      </c>
      <c r="G117" s="501">
        <f>SUM(G115:G116)</f>
        <v>0</v>
      </c>
      <c r="H117" s="470">
        <f t="shared" ref="H117:U117" si="127">SUM(H115:H116)</f>
        <v>0</v>
      </c>
      <c r="I117" s="470">
        <f t="shared" si="127"/>
        <v>0</v>
      </c>
      <c r="J117" s="470">
        <f t="shared" si="127"/>
        <v>0</v>
      </c>
      <c r="K117" s="495">
        <f t="shared" si="127"/>
        <v>0</v>
      </c>
      <c r="L117" s="1370">
        <f t="shared" si="127"/>
        <v>0</v>
      </c>
      <c r="M117" s="1371">
        <f t="shared" si="127"/>
        <v>0</v>
      </c>
      <c r="N117" s="1371">
        <f t="shared" si="127"/>
        <v>0</v>
      </c>
      <c r="O117" s="1371">
        <f t="shared" si="127"/>
        <v>0</v>
      </c>
      <c r="P117" s="1372">
        <f t="shared" si="127"/>
        <v>0</v>
      </c>
      <c r="Q117" s="488">
        <f t="shared" si="127"/>
        <v>0</v>
      </c>
      <c r="R117" s="470">
        <f t="shared" si="127"/>
        <v>0</v>
      </c>
      <c r="S117" s="470">
        <f t="shared" si="127"/>
        <v>0</v>
      </c>
      <c r="T117" s="470">
        <f t="shared" si="127"/>
        <v>0</v>
      </c>
      <c r="U117" s="495">
        <f t="shared" si="127"/>
        <v>0</v>
      </c>
      <c r="W117" s="1370">
        <f t="shared" ref="W117:AA117" si="128">SUM(W115:W116)</f>
        <v>0</v>
      </c>
      <c r="X117" s="1371">
        <f t="shared" si="128"/>
        <v>0</v>
      </c>
      <c r="Y117" s="1371">
        <f t="shared" si="128"/>
        <v>0</v>
      </c>
      <c r="Z117" s="1371">
        <f t="shared" si="128"/>
        <v>0</v>
      </c>
      <c r="AA117" s="1372">
        <f t="shared" si="128"/>
        <v>0</v>
      </c>
      <c r="AB117" s="1385" t="e">
        <f t="shared" si="125"/>
        <v>#DIV/0!</v>
      </c>
      <c r="AC117" s="1370">
        <f t="shared" ref="AC117:AG117" si="129">SUM(AC115:AC116)</f>
        <v>0</v>
      </c>
      <c r="AD117" s="1371">
        <f t="shared" si="129"/>
        <v>0</v>
      </c>
      <c r="AE117" s="1371">
        <f t="shared" si="129"/>
        <v>0</v>
      </c>
      <c r="AF117" s="1371">
        <f t="shared" si="129"/>
        <v>0</v>
      </c>
      <c r="AG117" s="1371">
        <f t="shared" si="129"/>
        <v>0</v>
      </c>
      <c r="AH117" s="1391" t="e">
        <f t="shared" si="126"/>
        <v>#DIV/0!</v>
      </c>
      <c r="AI117" s="451"/>
      <c r="AJ117"/>
      <c r="AL117" s="501">
        <f>SUM(AL115:AL116)</f>
        <v>0</v>
      </c>
      <c r="AM117" s="470">
        <f t="shared" ref="AM117:AS117" si="130">SUM(AM115:AM116)</f>
        <v>0</v>
      </c>
      <c r="AN117" s="470">
        <f t="shared" si="130"/>
        <v>0</v>
      </c>
      <c r="AO117" s="470">
        <f t="shared" si="130"/>
        <v>0</v>
      </c>
      <c r="AP117" s="495">
        <f t="shared" si="130"/>
        <v>0</v>
      </c>
      <c r="AQ117" s="1370">
        <f t="shared" si="130"/>
        <v>0</v>
      </c>
      <c r="AR117" s="1371">
        <f t="shared" si="130"/>
        <v>0</v>
      </c>
      <c r="AS117" s="1372">
        <f t="shared" si="130"/>
        <v>0</v>
      </c>
    </row>
    <row r="118" spans="5:71">
      <c r="E118" s="3661"/>
      <c r="F118" s="1729" t="s">
        <v>35</v>
      </c>
      <c r="G118" s="500"/>
      <c r="H118" s="471"/>
      <c r="I118" s="471"/>
      <c r="J118" s="471"/>
      <c r="K118" s="494"/>
      <c r="L118" s="1373"/>
      <c r="M118" s="1374"/>
      <c r="N118" s="1374"/>
      <c r="O118" s="1374"/>
      <c r="P118" s="1375">
        <f t="shared" ref="P118:U118" ca="1" si="131">SUMIF($F$73:$AH$90,"Less customer contributions",O91:O104)</f>
        <v>0</v>
      </c>
      <c r="Q118" s="2027">
        <f t="shared" ca="1" si="131"/>
        <v>0</v>
      </c>
      <c r="R118" s="471">
        <f t="shared" ca="1" si="131"/>
        <v>0</v>
      </c>
      <c r="S118" s="471">
        <f t="shared" ca="1" si="131"/>
        <v>0</v>
      </c>
      <c r="T118" s="471">
        <f t="shared" ca="1" si="131"/>
        <v>0</v>
      </c>
      <c r="U118" s="494">
        <f t="shared" ca="1" si="131"/>
        <v>0</v>
      </c>
      <c r="W118" s="1373"/>
      <c r="X118" s="1374"/>
      <c r="Y118" s="1374"/>
      <c r="Z118" s="1374"/>
      <c r="AA118" s="1375"/>
      <c r="AB118" s="1386" t="e">
        <f t="shared" si="125"/>
        <v>#DIV/0!</v>
      </c>
      <c r="AC118" s="1373"/>
      <c r="AD118" s="1374"/>
      <c r="AE118" s="1374"/>
      <c r="AF118" s="1374"/>
      <c r="AG118" s="1374"/>
      <c r="AH118" s="1392" t="e">
        <f t="shared" ca="1" si="126"/>
        <v>#DIV/0!</v>
      </c>
      <c r="AI118" s="451"/>
      <c r="AJ118"/>
      <c r="AL118" s="2145"/>
      <c r="AM118" s="2146"/>
      <c r="AN118" s="2146"/>
      <c r="AO118" s="2146"/>
      <c r="AP118" s="2147"/>
      <c r="AQ118" s="2148"/>
      <c r="AR118" s="2149"/>
      <c r="AS118" s="2150"/>
    </row>
    <row r="119" spans="5:71" ht="13.5" thickBot="1">
      <c r="E119" s="3662"/>
      <c r="F119" s="1728" t="s">
        <v>621</v>
      </c>
      <c r="G119" s="484">
        <f t="shared" ref="G119:U119" si="132">G117-G118</f>
        <v>0</v>
      </c>
      <c r="H119" s="472">
        <f t="shared" si="132"/>
        <v>0</v>
      </c>
      <c r="I119" s="472">
        <f t="shared" si="132"/>
        <v>0</v>
      </c>
      <c r="J119" s="472">
        <f t="shared" si="132"/>
        <v>0</v>
      </c>
      <c r="K119" s="499">
        <f t="shared" si="132"/>
        <v>0</v>
      </c>
      <c r="L119" s="1376">
        <f t="shared" si="132"/>
        <v>0</v>
      </c>
      <c r="M119" s="1377">
        <f t="shared" si="132"/>
        <v>0</v>
      </c>
      <c r="N119" s="1377">
        <f t="shared" ref="N119" si="133">N117-N118</f>
        <v>0</v>
      </c>
      <c r="O119" s="1377">
        <f t="shared" si="132"/>
        <v>0</v>
      </c>
      <c r="P119" s="1378">
        <f t="shared" ca="1" si="132"/>
        <v>0</v>
      </c>
      <c r="Q119" s="476">
        <f t="shared" ca="1" si="132"/>
        <v>0</v>
      </c>
      <c r="R119" s="472">
        <f t="shared" ca="1" si="132"/>
        <v>0</v>
      </c>
      <c r="S119" s="472">
        <f t="shared" ca="1" si="132"/>
        <v>0</v>
      </c>
      <c r="T119" s="472">
        <f t="shared" ca="1" si="132"/>
        <v>0</v>
      </c>
      <c r="U119" s="499">
        <f t="shared" ca="1" si="132"/>
        <v>0</v>
      </c>
      <c r="W119" s="1376">
        <f>W117-W118</f>
        <v>0</v>
      </c>
      <c r="X119" s="1377">
        <f>X117-X118</f>
        <v>0</v>
      </c>
      <c r="Y119" s="1377">
        <f>Y117-Y118</f>
        <v>0</v>
      </c>
      <c r="Z119" s="1377">
        <f>Z117-Z118</f>
        <v>0</v>
      </c>
      <c r="AA119" s="1378">
        <f>AA117-AA118</f>
        <v>0</v>
      </c>
      <c r="AB119" s="1387" t="e">
        <f t="shared" si="125"/>
        <v>#DIV/0!</v>
      </c>
      <c r="AC119" s="1376">
        <f>AC117-AC118</f>
        <v>0</v>
      </c>
      <c r="AD119" s="1377">
        <f>AD117-AD118</f>
        <v>0</v>
      </c>
      <c r="AE119" s="1377">
        <f>AE117-AE118</f>
        <v>0</v>
      </c>
      <c r="AF119" s="1377"/>
      <c r="AG119" s="1377">
        <f>AG117-AG118</f>
        <v>0</v>
      </c>
      <c r="AH119" s="1393" t="e">
        <f t="shared" ca="1" si="126"/>
        <v>#DIV/0!</v>
      </c>
      <c r="AI119" s="451"/>
      <c r="AJ119"/>
      <c r="AL119" s="484">
        <f t="shared" ref="AL119:AS119" si="134">AL117-AL118</f>
        <v>0</v>
      </c>
      <c r="AM119" s="472">
        <f t="shared" si="134"/>
        <v>0</v>
      </c>
      <c r="AN119" s="472">
        <f t="shared" si="134"/>
        <v>0</v>
      </c>
      <c r="AO119" s="472">
        <f t="shared" si="134"/>
        <v>0</v>
      </c>
      <c r="AP119" s="499">
        <f t="shared" si="134"/>
        <v>0</v>
      </c>
      <c r="AQ119" s="1376">
        <f t="shared" si="134"/>
        <v>0</v>
      </c>
      <c r="AR119" s="1377">
        <f t="shared" si="134"/>
        <v>0</v>
      </c>
      <c r="AS119" s="1378">
        <f t="shared" si="134"/>
        <v>0</v>
      </c>
    </row>
    <row r="120" spans="5:71">
      <c r="E120" s="3660" t="s">
        <v>368</v>
      </c>
      <c r="F120" s="487" t="s">
        <v>114</v>
      </c>
      <c r="G120" s="493"/>
      <c r="H120" s="474"/>
      <c r="I120" s="474"/>
      <c r="J120" s="474"/>
      <c r="K120" s="506"/>
      <c r="L120" s="1379"/>
      <c r="M120" s="1380"/>
      <c r="N120" s="1380"/>
      <c r="O120" s="1380"/>
      <c r="P120" s="1381"/>
      <c r="Q120" s="477"/>
      <c r="R120" s="474"/>
      <c r="S120" s="474"/>
      <c r="T120" s="474"/>
      <c r="U120" s="506"/>
      <c r="W120" s="1379"/>
      <c r="X120" s="1380"/>
      <c r="Y120" s="1380"/>
      <c r="Z120" s="1380"/>
      <c r="AA120" s="1381"/>
      <c r="AB120" s="1383" t="e">
        <f t="shared" si="125"/>
        <v>#DIV/0!</v>
      </c>
      <c r="AC120" s="1379"/>
      <c r="AD120" s="1380"/>
      <c r="AE120" s="1380"/>
      <c r="AF120" s="1380"/>
      <c r="AG120" s="1380"/>
      <c r="AH120" s="1388" t="e">
        <f t="shared" si="126"/>
        <v>#DIV/0!</v>
      </c>
      <c r="AI120" s="451"/>
      <c r="AJ120"/>
      <c r="AL120" s="2151"/>
      <c r="AM120" s="2152"/>
      <c r="AN120" s="2152"/>
      <c r="AO120" s="2152"/>
      <c r="AP120" s="2153"/>
      <c r="AQ120" s="2154"/>
      <c r="AR120" s="2155"/>
      <c r="AS120" s="2156"/>
    </row>
    <row r="121" spans="5:71">
      <c r="E121" s="3661"/>
      <c r="F121" s="486" t="s">
        <v>634</v>
      </c>
      <c r="G121" s="496"/>
      <c r="H121" s="468"/>
      <c r="I121" s="468"/>
      <c r="J121" s="468"/>
      <c r="K121" s="507"/>
      <c r="L121" s="1367"/>
      <c r="M121" s="1368"/>
      <c r="N121" s="1368"/>
      <c r="O121" s="1368"/>
      <c r="P121" s="1369"/>
      <c r="Q121" s="503"/>
      <c r="R121" s="468"/>
      <c r="S121" s="468"/>
      <c r="T121" s="468"/>
      <c r="U121" s="507"/>
      <c r="W121" s="1367"/>
      <c r="X121" s="1368"/>
      <c r="Y121" s="1368"/>
      <c r="Z121" s="1368"/>
      <c r="AA121" s="1369"/>
      <c r="AB121" s="1384"/>
      <c r="AC121" s="1367"/>
      <c r="AD121" s="1368"/>
      <c r="AE121" s="1368"/>
      <c r="AF121" s="1368"/>
      <c r="AG121" s="1368"/>
      <c r="AH121" s="1389"/>
      <c r="AI121" s="451"/>
      <c r="AJ121"/>
      <c r="AL121" s="496"/>
      <c r="AM121" s="468"/>
      <c r="AN121" s="468"/>
      <c r="AO121" s="468"/>
      <c r="AP121" s="507"/>
      <c r="AQ121" s="1367"/>
      <c r="AR121" s="1368"/>
      <c r="AS121" s="1369"/>
    </row>
    <row r="122" spans="5:71">
      <c r="E122" s="3661"/>
      <c r="F122" s="485" t="s">
        <v>594</v>
      </c>
      <c r="G122" s="481"/>
      <c r="H122" s="448"/>
      <c r="I122" s="448"/>
      <c r="J122" s="448"/>
      <c r="K122" s="1283"/>
      <c r="L122" s="514"/>
      <c r="M122" s="513"/>
      <c r="N122" s="513"/>
      <c r="O122" s="513"/>
      <c r="P122" s="515"/>
      <c r="Q122" s="467"/>
      <c r="R122" s="300"/>
      <c r="S122" s="300"/>
      <c r="T122" s="300"/>
      <c r="U122" s="515"/>
      <c r="W122" s="514"/>
      <c r="X122" s="513"/>
      <c r="Y122" s="513"/>
      <c r="Z122" s="513"/>
      <c r="AA122" s="515"/>
      <c r="AB122" s="1246"/>
      <c r="AC122" s="514"/>
      <c r="AD122" s="513"/>
      <c r="AE122" s="513"/>
      <c r="AF122" s="513"/>
      <c r="AG122" s="513"/>
      <c r="AH122" s="1390"/>
      <c r="AI122" s="451"/>
      <c r="AJ122"/>
      <c r="AL122" s="481"/>
      <c r="AM122" s="448"/>
      <c r="AN122" s="448"/>
      <c r="AO122" s="448"/>
      <c r="AP122" s="1283"/>
      <c r="AQ122" s="517"/>
      <c r="AR122" s="518"/>
      <c r="AS122" s="519"/>
    </row>
    <row r="123" spans="5:71">
      <c r="E123" s="3661"/>
      <c r="F123" s="485" t="s">
        <v>595</v>
      </c>
      <c r="G123" s="481"/>
      <c r="H123" s="448"/>
      <c r="I123" s="448"/>
      <c r="J123" s="448"/>
      <c r="K123" s="1283"/>
      <c r="L123" s="514"/>
      <c r="M123" s="513"/>
      <c r="N123" s="513"/>
      <c r="O123" s="513"/>
      <c r="P123" s="515"/>
      <c r="Q123" s="467"/>
      <c r="R123" s="300"/>
      <c r="S123" s="300"/>
      <c r="T123" s="300"/>
      <c r="U123" s="515"/>
      <c r="W123" s="514"/>
      <c r="X123" s="513"/>
      <c r="Y123" s="513"/>
      <c r="Z123" s="513"/>
      <c r="AA123" s="515"/>
      <c r="AB123" s="1246"/>
      <c r="AC123" s="514"/>
      <c r="AD123" s="513"/>
      <c r="AE123" s="513"/>
      <c r="AF123" s="513"/>
      <c r="AG123" s="513"/>
      <c r="AH123" s="1390"/>
      <c r="AI123" s="451"/>
      <c r="AJ123"/>
      <c r="AL123" s="481"/>
      <c r="AM123" s="448"/>
      <c r="AN123" s="448"/>
      <c r="AO123" s="448"/>
      <c r="AP123" s="1283"/>
      <c r="AQ123" s="517"/>
      <c r="AR123" s="518"/>
      <c r="AS123" s="519"/>
    </row>
    <row r="124" spans="5:71">
      <c r="E124" s="3661"/>
      <c r="F124" s="485" t="s">
        <v>614</v>
      </c>
      <c r="G124" s="481"/>
      <c r="H124" s="448"/>
      <c r="I124" s="448"/>
      <c r="J124" s="448"/>
      <c r="K124" s="1283"/>
      <c r="L124" s="514"/>
      <c r="M124" s="513"/>
      <c r="N124" s="513"/>
      <c r="O124" s="513"/>
      <c r="P124" s="515"/>
      <c r="Q124" s="467"/>
      <c r="R124" s="300"/>
      <c r="S124" s="300"/>
      <c r="T124" s="300"/>
      <c r="U124" s="515"/>
      <c r="W124" s="514"/>
      <c r="X124" s="513"/>
      <c r="Y124" s="513"/>
      <c r="Z124" s="513"/>
      <c r="AA124" s="515"/>
      <c r="AB124" s="1246"/>
      <c r="AC124" s="514"/>
      <c r="AD124" s="513"/>
      <c r="AE124" s="513"/>
      <c r="AF124" s="513"/>
      <c r="AG124" s="513"/>
      <c r="AH124" s="1390"/>
      <c r="AI124" s="451"/>
      <c r="AJ124"/>
      <c r="AL124" s="481"/>
      <c r="AM124" s="448"/>
      <c r="AN124" s="448"/>
      <c r="AO124" s="448"/>
      <c r="AP124" s="1283"/>
      <c r="AQ124" s="517"/>
      <c r="AR124" s="518"/>
      <c r="AS124" s="519"/>
    </row>
    <row r="125" spans="5:71">
      <c r="E125" s="3661"/>
      <c r="F125" s="1718" t="s">
        <v>615</v>
      </c>
      <c r="G125" s="481"/>
      <c r="H125" s="448"/>
      <c r="I125" s="448"/>
      <c r="J125" s="448"/>
      <c r="K125" s="1283"/>
      <c r="L125" s="401">
        <f>SUM(L122:L124)</f>
        <v>0</v>
      </c>
      <c r="M125" s="402">
        <f t="shared" ref="M125:AA125" si="135">SUM(M122:M124)</f>
        <v>0</v>
      </c>
      <c r="N125" s="402">
        <f t="shared" ref="N125" si="136">SUM(N122:N124)</f>
        <v>0</v>
      </c>
      <c r="O125" s="402">
        <f t="shared" si="135"/>
        <v>0</v>
      </c>
      <c r="P125" s="505">
        <f t="shared" si="135"/>
        <v>0</v>
      </c>
      <c r="Q125" s="502">
        <f t="shared" si="135"/>
        <v>0</v>
      </c>
      <c r="R125" s="402">
        <f t="shared" si="135"/>
        <v>0</v>
      </c>
      <c r="S125" s="402">
        <f t="shared" si="135"/>
        <v>0</v>
      </c>
      <c r="T125" s="402">
        <f t="shared" si="135"/>
        <v>0</v>
      </c>
      <c r="U125" s="505">
        <f t="shared" si="135"/>
        <v>0</v>
      </c>
      <c r="W125" s="401">
        <f t="shared" si="135"/>
        <v>0</v>
      </c>
      <c r="X125" s="402">
        <f t="shared" si="135"/>
        <v>0</v>
      </c>
      <c r="Y125" s="402">
        <f t="shared" si="135"/>
        <v>0</v>
      </c>
      <c r="Z125" s="402">
        <f t="shared" si="135"/>
        <v>0</v>
      </c>
      <c r="AA125" s="505">
        <f t="shared" si="135"/>
        <v>0</v>
      </c>
      <c r="AB125" s="1233" t="e">
        <f>SUM(G125:K125)/SUM(W125:AA125)-1</f>
        <v>#DIV/0!</v>
      </c>
      <c r="AC125" s="401">
        <v>0</v>
      </c>
      <c r="AD125" s="402">
        <v>0</v>
      </c>
      <c r="AE125" s="402">
        <v>0</v>
      </c>
      <c r="AF125" s="402"/>
      <c r="AG125" s="402">
        <v>0</v>
      </c>
      <c r="AH125" s="1237" t="e">
        <f t="shared" ref="AH125:AH130" si="137">SUM(L125:P125)/SUM(AC125:AG125)-1</f>
        <v>#DIV/0!</v>
      </c>
      <c r="AI125" s="451"/>
      <c r="AJ125"/>
      <c r="AL125" s="481"/>
      <c r="AM125" s="448"/>
      <c r="AN125" s="448"/>
      <c r="AO125" s="448"/>
      <c r="AP125" s="1283"/>
      <c r="AQ125" s="401">
        <f>SUM(AQ122:AQ124)</f>
        <v>0</v>
      </c>
      <c r="AR125" s="402">
        <f t="shared" ref="AR125:AS125" si="138">SUM(AR122:AR124)</f>
        <v>0</v>
      </c>
      <c r="AS125" s="505">
        <f t="shared" si="138"/>
        <v>0</v>
      </c>
    </row>
    <row r="126" spans="5:71">
      <c r="E126" s="3661"/>
      <c r="F126" s="1731" t="s">
        <v>619</v>
      </c>
      <c r="G126" s="514"/>
      <c r="H126" s="513"/>
      <c r="I126" s="513"/>
      <c r="J126" s="513"/>
      <c r="K126" s="515"/>
      <c r="L126" s="483"/>
      <c r="M126" s="531"/>
      <c r="N126" s="531"/>
      <c r="O126" s="531"/>
      <c r="P126" s="489"/>
      <c r="Q126" s="580"/>
      <c r="R126" s="338"/>
      <c r="S126" s="338"/>
      <c r="T126" s="338"/>
      <c r="U126" s="489"/>
      <c r="W126" s="483"/>
      <c r="X126" s="531"/>
      <c r="Y126" s="531"/>
      <c r="Z126" s="531"/>
      <c r="AA126" s="489"/>
      <c r="AB126" s="1383" t="e">
        <f t="shared" ref="AB126:AB130" si="139">SUM(G126:K126)/SUM(W126:AA126)-1</f>
        <v>#DIV/0!</v>
      </c>
      <c r="AC126" s="483"/>
      <c r="AD126" s="531"/>
      <c r="AE126" s="531"/>
      <c r="AF126" s="531"/>
      <c r="AG126" s="531"/>
      <c r="AH126" s="1388" t="e">
        <f t="shared" si="137"/>
        <v>#DIV/0!</v>
      </c>
      <c r="AI126" s="451"/>
      <c r="AJ126"/>
      <c r="AL126" s="517"/>
      <c r="AM126" s="518"/>
      <c r="AN126" s="518"/>
      <c r="AO126" s="518"/>
      <c r="AP126" s="519"/>
      <c r="AQ126" s="569"/>
      <c r="AR126" s="570"/>
      <c r="AS126" s="608"/>
    </row>
    <row r="127" spans="5:71">
      <c r="E127" s="3661"/>
      <c r="F127" s="1721" t="s">
        <v>617</v>
      </c>
      <c r="G127" s="514"/>
      <c r="H127" s="513"/>
      <c r="I127" s="513"/>
      <c r="J127" s="513"/>
      <c r="K127" s="515"/>
      <c r="L127" s="514"/>
      <c r="M127" s="513"/>
      <c r="N127" s="513"/>
      <c r="O127" s="513"/>
      <c r="P127" s="515"/>
      <c r="Q127" s="467"/>
      <c r="R127" s="300"/>
      <c r="S127" s="300"/>
      <c r="T127" s="300"/>
      <c r="U127" s="515"/>
      <c r="W127" s="514"/>
      <c r="X127" s="513"/>
      <c r="Y127" s="513"/>
      <c r="Z127" s="513"/>
      <c r="AA127" s="515"/>
      <c r="AB127" s="1383" t="e">
        <f t="shared" si="139"/>
        <v>#DIV/0!</v>
      </c>
      <c r="AC127" s="514"/>
      <c r="AD127" s="513"/>
      <c r="AE127" s="513"/>
      <c r="AF127" s="513"/>
      <c r="AG127" s="513"/>
      <c r="AH127" s="1388" t="e">
        <f t="shared" si="137"/>
        <v>#DIV/0!</v>
      </c>
      <c r="AI127" s="451"/>
      <c r="AJ127"/>
      <c r="AL127" s="517"/>
      <c r="AM127" s="518"/>
      <c r="AN127" s="518"/>
      <c r="AO127" s="518"/>
      <c r="AP127" s="519"/>
      <c r="AQ127" s="517"/>
      <c r="AR127" s="518"/>
      <c r="AS127" s="519"/>
    </row>
    <row r="128" spans="5:71" s="529" customFormat="1">
      <c r="E128" s="3661"/>
      <c r="F128" s="1727" t="s">
        <v>620</v>
      </c>
      <c r="G128" s="501">
        <f>SUM(G126:G127)</f>
        <v>0</v>
      </c>
      <c r="H128" s="470">
        <f t="shared" ref="H128" si="140">SUM(H126:H127)</f>
        <v>0</v>
      </c>
      <c r="I128" s="470">
        <f t="shared" ref="I128" si="141">SUM(I126:I127)</f>
        <v>0</v>
      </c>
      <c r="J128" s="470">
        <f t="shared" ref="J128" si="142">SUM(J126:J127)</f>
        <v>0</v>
      </c>
      <c r="K128" s="495">
        <f t="shared" ref="K128" si="143">SUM(K126:K127)</f>
        <v>0</v>
      </c>
      <c r="L128" s="1370">
        <f t="shared" ref="L128" si="144">SUM(L126:L127)</f>
        <v>0</v>
      </c>
      <c r="M128" s="1371">
        <f t="shared" ref="M128" si="145">SUM(M126:M127)</f>
        <v>0</v>
      </c>
      <c r="N128" s="1371">
        <f t="shared" ref="N128" si="146">SUM(N126:N127)</f>
        <v>0</v>
      </c>
      <c r="O128" s="1371">
        <f t="shared" ref="O128" si="147">SUM(O126:O127)</f>
        <v>0</v>
      </c>
      <c r="P128" s="1372">
        <f t="shared" ref="P128" si="148">SUM(P126:P127)</f>
        <v>0</v>
      </c>
      <c r="Q128" s="488">
        <f t="shared" ref="Q128" si="149">SUM(Q126:Q127)</f>
        <v>0</v>
      </c>
      <c r="R128" s="470">
        <f t="shared" ref="R128" si="150">SUM(R126:R127)</f>
        <v>0</v>
      </c>
      <c r="S128" s="470">
        <f t="shared" ref="S128" si="151">SUM(S126:S127)</f>
        <v>0</v>
      </c>
      <c r="T128" s="470">
        <f t="shared" ref="T128" si="152">SUM(T126:T127)</f>
        <v>0</v>
      </c>
      <c r="U128" s="495">
        <f t="shared" ref="U128" si="153">SUM(U126:U127)</f>
        <v>0</v>
      </c>
      <c r="V128" s="1427"/>
      <c r="W128" s="1370">
        <f t="shared" ref="W128" si="154">SUM(W126:W127)</f>
        <v>0</v>
      </c>
      <c r="X128" s="1371">
        <f t="shared" ref="X128" si="155">SUM(X126:X127)</f>
        <v>0</v>
      </c>
      <c r="Y128" s="1371">
        <f t="shared" ref="Y128" si="156">SUM(Y126:Y127)</f>
        <v>0</v>
      </c>
      <c r="Z128" s="1371">
        <f t="shared" ref="Z128" si="157">SUM(Z126:Z127)</f>
        <v>0</v>
      </c>
      <c r="AA128" s="1372">
        <f t="shared" ref="AA128" si="158">SUM(AA126:AA127)</f>
        <v>0</v>
      </c>
      <c r="AB128" s="1385" t="e">
        <f t="shared" ref="AB128" si="159">SUM(G128:K128)/SUM(W128:AA128)-1</f>
        <v>#DIV/0!</v>
      </c>
      <c r="AC128" s="1370">
        <f t="shared" ref="AC128" si="160">SUM(AC126:AC127)</f>
        <v>0</v>
      </c>
      <c r="AD128" s="1371">
        <f t="shared" ref="AD128" si="161">SUM(AD126:AD127)</f>
        <v>0</v>
      </c>
      <c r="AE128" s="1371">
        <f t="shared" ref="AE128" si="162">SUM(AE126:AE127)</f>
        <v>0</v>
      </c>
      <c r="AF128" s="1371">
        <f t="shared" ref="AF128" si="163">SUM(AF126:AF127)</f>
        <v>0</v>
      </c>
      <c r="AG128" s="1371">
        <f t="shared" ref="AG128" si="164">SUM(AG126:AG127)</f>
        <v>0</v>
      </c>
      <c r="AH128" s="1391" t="e">
        <f t="shared" ref="AH128" si="165">SUM(L128:P128)/SUM(AC128:AG128)-1</f>
        <v>#DIV/0!</v>
      </c>
      <c r="AI128" s="451"/>
      <c r="AJ128" s="1427"/>
      <c r="AK128" s="1408"/>
      <c r="AL128" s="501">
        <f>SUM(AL126:AL127)</f>
        <v>0</v>
      </c>
      <c r="AM128" s="470">
        <f t="shared" ref="AM128:AS128" si="166">SUM(AM126:AM127)</f>
        <v>0</v>
      </c>
      <c r="AN128" s="470">
        <f t="shared" si="166"/>
        <v>0</v>
      </c>
      <c r="AO128" s="470">
        <f t="shared" si="166"/>
        <v>0</v>
      </c>
      <c r="AP128" s="495">
        <f t="shared" si="166"/>
        <v>0</v>
      </c>
      <c r="AQ128" s="1370">
        <f t="shared" si="166"/>
        <v>0</v>
      </c>
      <c r="AR128" s="1371">
        <f t="shared" si="166"/>
        <v>0</v>
      </c>
      <c r="AS128" s="1372">
        <f t="shared" si="166"/>
        <v>0</v>
      </c>
      <c r="AT128" s="1408"/>
      <c r="AU128" s="1408"/>
      <c r="AV128" s="1408"/>
      <c r="AW128" s="1408"/>
      <c r="AX128" s="1408"/>
      <c r="AY128" s="1408"/>
      <c r="AZ128" s="1408"/>
      <c r="BA128" s="1408"/>
      <c r="BB128" s="1408"/>
      <c r="BC128" s="1408"/>
      <c r="BD128" s="1408"/>
      <c r="BE128" s="1408"/>
      <c r="BF128" s="1408"/>
      <c r="BG128" s="1408"/>
      <c r="BH128" s="1408"/>
      <c r="BI128" s="1408"/>
      <c r="BJ128" s="1408"/>
      <c r="BK128" s="1408"/>
      <c r="BL128" s="1408"/>
      <c r="BM128" s="1408"/>
      <c r="BN128" s="1408"/>
      <c r="BO128" s="1408"/>
      <c r="BP128" s="1408"/>
      <c r="BQ128" s="1408"/>
      <c r="BR128" s="1408"/>
      <c r="BS128" s="1408"/>
    </row>
    <row r="129" spans="1:71">
      <c r="E129" s="3661"/>
      <c r="F129" s="1729" t="s">
        <v>35</v>
      </c>
      <c r="G129" s="500"/>
      <c r="H129" s="471"/>
      <c r="I129" s="471"/>
      <c r="J129" s="471"/>
      <c r="K129" s="494"/>
      <c r="L129" s="1373"/>
      <c r="M129" s="1374"/>
      <c r="N129" s="1374"/>
      <c r="O129" s="1374"/>
      <c r="P129" s="1375">
        <f t="shared" ref="P129:U129" ca="1" si="167">SUMIF($F$73:$AH$90,"Less customer contributions",O91:O118)</f>
        <v>0</v>
      </c>
      <c r="Q129" s="2027">
        <f t="shared" ca="1" si="167"/>
        <v>0</v>
      </c>
      <c r="R129" s="471">
        <f t="shared" ca="1" si="167"/>
        <v>0</v>
      </c>
      <c r="S129" s="471">
        <f t="shared" ca="1" si="167"/>
        <v>0</v>
      </c>
      <c r="T129" s="471">
        <f t="shared" ca="1" si="167"/>
        <v>0</v>
      </c>
      <c r="U129" s="494">
        <f t="shared" ca="1" si="167"/>
        <v>0</v>
      </c>
      <c r="W129" s="1373"/>
      <c r="X129" s="1374"/>
      <c r="Y129" s="1374"/>
      <c r="Z129" s="1374"/>
      <c r="AA129" s="1375"/>
      <c r="AB129" s="1386" t="e">
        <f t="shared" si="139"/>
        <v>#DIV/0!</v>
      </c>
      <c r="AC129" s="1373"/>
      <c r="AD129" s="1374"/>
      <c r="AE129" s="1374"/>
      <c r="AF129" s="1374"/>
      <c r="AG129" s="1374"/>
      <c r="AH129" s="1392" t="e">
        <f t="shared" ca="1" si="137"/>
        <v>#DIV/0!</v>
      </c>
      <c r="AI129" s="451"/>
      <c r="AJ129"/>
      <c r="AL129" s="2145"/>
      <c r="AM129" s="2146"/>
      <c r="AN129" s="2146"/>
      <c r="AO129" s="2146"/>
      <c r="AP129" s="2147"/>
      <c r="AQ129" s="2148"/>
      <c r="AR129" s="2149"/>
      <c r="AS129" s="2150"/>
    </row>
    <row r="130" spans="1:71" ht="13.5" thickBot="1">
      <c r="E130" s="3662"/>
      <c r="F130" s="1728" t="s">
        <v>621</v>
      </c>
      <c r="G130" s="484">
        <f t="shared" ref="G130:U130" si="168">G128-G129</f>
        <v>0</v>
      </c>
      <c r="H130" s="472">
        <f t="shared" si="168"/>
        <v>0</v>
      </c>
      <c r="I130" s="472">
        <f t="shared" si="168"/>
        <v>0</v>
      </c>
      <c r="J130" s="472">
        <f t="shared" si="168"/>
        <v>0</v>
      </c>
      <c r="K130" s="499">
        <f t="shared" si="168"/>
        <v>0</v>
      </c>
      <c r="L130" s="1376">
        <f t="shared" si="168"/>
        <v>0</v>
      </c>
      <c r="M130" s="1377">
        <f t="shared" si="168"/>
        <v>0</v>
      </c>
      <c r="N130" s="1377">
        <f t="shared" ref="N130" si="169">N128-N129</f>
        <v>0</v>
      </c>
      <c r="O130" s="1377">
        <f t="shared" si="168"/>
        <v>0</v>
      </c>
      <c r="P130" s="1378">
        <f t="shared" ca="1" si="168"/>
        <v>0</v>
      </c>
      <c r="Q130" s="476">
        <f t="shared" ca="1" si="168"/>
        <v>0</v>
      </c>
      <c r="R130" s="472">
        <f t="shared" ca="1" si="168"/>
        <v>0</v>
      </c>
      <c r="S130" s="472">
        <f t="shared" ca="1" si="168"/>
        <v>0</v>
      </c>
      <c r="T130" s="472">
        <f t="shared" ca="1" si="168"/>
        <v>0</v>
      </c>
      <c r="U130" s="499">
        <f t="shared" ca="1" si="168"/>
        <v>0</v>
      </c>
      <c r="W130" s="1376">
        <f>W128-W129</f>
        <v>0</v>
      </c>
      <c r="X130" s="1377">
        <f>X128-X129</f>
        <v>0</v>
      </c>
      <c r="Y130" s="1377">
        <f>Y128-Y129</f>
        <v>0</v>
      </c>
      <c r="Z130" s="1377">
        <f>Z128-Z129</f>
        <v>0</v>
      </c>
      <c r="AA130" s="1378">
        <f>AA128-AA129</f>
        <v>0</v>
      </c>
      <c r="AB130" s="1387" t="e">
        <f t="shared" si="139"/>
        <v>#DIV/0!</v>
      </c>
      <c r="AC130" s="1376">
        <f>AC128-AC129</f>
        <v>0</v>
      </c>
      <c r="AD130" s="1377">
        <f>AD128-AD129</f>
        <v>0</v>
      </c>
      <c r="AE130" s="1377">
        <f>AE128-AE129</f>
        <v>0</v>
      </c>
      <c r="AF130" s="1377"/>
      <c r="AG130" s="1377">
        <f>AG128-AG129</f>
        <v>0</v>
      </c>
      <c r="AH130" s="1393" t="e">
        <f t="shared" ca="1" si="137"/>
        <v>#DIV/0!</v>
      </c>
      <c r="AI130" s="451"/>
      <c r="AJ130"/>
      <c r="AL130" s="484">
        <f t="shared" ref="AL130:AS130" si="170">AL128-AL129</f>
        <v>0</v>
      </c>
      <c r="AM130" s="472">
        <f t="shared" si="170"/>
        <v>0</v>
      </c>
      <c r="AN130" s="472">
        <f t="shared" si="170"/>
        <v>0</v>
      </c>
      <c r="AO130" s="472">
        <f t="shared" si="170"/>
        <v>0</v>
      </c>
      <c r="AP130" s="499">
        <f t="shared" si="170"/>
        <v>0</v>
      </c>
      <c r="AQ130" s="1376">
        <f t="shared" si="170"/>
        <v>0</v>
      </c>
      <c r="AR130" s="1377">
        <f t="shared" si="170"/>
        <v>0</v>
      </c>
      <c r="AS130" s="1378">
        <f t="shared" si="170"/>
        <v>0</v>
      </c>
    </row>
    <row r="131" spans="1:71">
      <c r="E131" s="3660" t="s">
        <v>63</v>
      </c>
      <c r="F131" s="1732" t="s">
        <v>602</v>
      </c>
      <c r="G131" s="493"/>
      <c r="H131" s="474"/>
      <c r="I131" s="474"/>
      <c r="J131" s="474"/>
      <c r="K131" s="506"/>
      <c r="L131" s="514"/>
      <c r="M131" s="513"/>
      <c r="N131" s="513"/>
      <c r="O131" s="513"/>
      <c r="P131" s="515"/>
      <c r="Q131" s="467"/>
      <c r="R131" s="300"/>
      <c r="S131" s="300"/>
      <c r="T131" s="300"/>
      <c r="U131" s="515"/>
      <c r="W131" s="514"/>
      <c r="X131" s="513"/>
      <c r="Y131" s="513"/>
      <c r="Z131" s="513"/>
      <c r="AA131" s="515"/>
      <c r="AB131" s="1246"/>
      <c r="AC131" s="301"/>
      <c r="AD131" s="513"/>
      <c r="AE131" s="513"/>
      <c r="AF131" s="513"/>
      <c r="AG131" s="513"/>
      <c r="AH131" s="1390"/>
      <c r="AI131" s="451"/>
      <c r="AJ131" s="66"/>
      <c r="AL131" s="2151"/>
      <c r="AM131" s="2152"/>
      <c r="AN131" s="2152"/>
      <c r="AO131" s="2152"/>
      <c r="AP131" s="2153"/>
      <c r="AQ131" s="517"/>
      <c r="AR131" s="518"/>
      <c r="AS131" s="519"/>
    </row>
    <row r="132" spans="1:71" ht="12.75" customHeight="1">
      <c r="E132" s="3661"/>
      <c r="F132" s="1733" t="s">
        <v>630</v>
      </c>
      <c r="G132" s="481"/>
      <c r="H132" s="448"/>
      <c r="I132" s="448"/>
      <c r="J132" s="448"/>
      <c r="K132" s="1283"/>
      <c r="L132" s="401">
        <f t="shared" ref="L132:U132" si="171">SUM(L111,L122)</f>
        <v>0</v>
      </c>
      <c r="M132" s="402">
        <f t="shared" si="171"/>
        <v>0</v>
      </c>
      <c r="N132" s="402">
        <f t="shared" si="171"/>
        <v>0</v>
      </c>
      <c r="O132" s="402">
        <f t="shared" si="171"/>
        <v>0</v>
      </c>
      <c r="P132" s="505">
        <f t="shared" si="171"/>
        <v>0</v>
      </c>
      <c r="Q132" s="502">
        <f t="shared" si="171"/>
        <v>0</v>
      </c>
      <c r="R132" s="402">
        <f t="shared" si="171"/>
        <v>0</v>
      </c>
      <c r="S132" s="402">
        <f t="shared" si="171"/>
        <v>0</v>
      </c>
      <c r="T132" s="402">
        <f t="shared" si="171"/>
        <v>0</v>
      </c>
      <c r="U132" s="505">
        <f t="shared" si="171"/>
        <v>0</v>
      </c>
      <c r="W132" s="401">
        <f t="shared" ref="W132:AA136" si="172">SUM(W111,W122)</f>
        <v>0</v>
      </c>
      <c r="X132" s="402">
        <f t="shared" si="172"/>
        <v>0</v>
      </c>
      <c r="Y132" s="402">
        <f t="shared" si="172"/>
        <v>0</v>
      </c>
      <c r="Z132" s="402">
        <f t="shared" si="172"/>
        <v>0</v>
      </c>
      <c r="AA132" s="505">
        <f t="shared" si="172"/>
        <v>0</v>
      </c>
      <c r="AB132" s="1233" t="e">
        <f t="shared" ref="AB132:AB140" si="173">SUM(G132:K132)/SUM(W132:AA132)-1</f>
        <v>#DIV/0!</v>
      </c>
      <c r="AC132" s="304">
        <f t="shared" ref="AC132:AE138" si="174">SUM(AC111,AC122)</f>
        <v>0</v>
      </c>
      <c r="AD132" s="402">
        <f t="shared" si="174"/>
        <v>0</v>
      </c>
      <c r="AE132" s="402">
        <f t="shared" si="174"/>
        <v>0</v>
      </c>
      <c r="AF132" s="402"/>
      <c r="AG132" s="402">
        <f t="shared" ref="AG132:AG138" si="175">SUM(AG111,AG122)</f>
        <v>0</v>
      </c>
      <c r="AH132" s="1237" t="e">
        <f t="shared" ref="AH132:AH140" si="176">SUM(L132:P132)/SUM(AC132:AG132)-1</f>
        <v>#DIV/0!</v>
      </c>
      <c r="AI132" s="451"/>
      <c r="AJ132"/>
      <c r="AL132" s="481"/>
      <c r="AM132" s="448"/>
      <c r="AN132" s="448"/>
      <c r="AO132" s="448"/>
      <c r="AP132" s="1283"/>
      <c r="AQ132" s="401">
        <f t="shared" ref="AQ132:AS132" si="177">SUM(AQ111,AQ122)</f>
        <v>0</v>
      </c>
      <c r="AR132" s="402">
        <f t="shared" si="177"/>
        <v>0</v>
      </c>
      <c r="AS132" s="505">
        <f t="shared" si="177"/>
        <v>0</v>
      </c>
    </row>
    <row r="133" spans="1:71" ht="12.75" customHeight="1">
      <c r="E133" s="3661"/>
      <c r="F133" s="1733" t="s">
        <v>631</v>
      </c>
      <c r="G133" s="481"/>
      <c r="H133" s="448"/>
      <c r="I133" s="448"/>
      <c r="J133" s="448"/>
      <c r="K133" s="1283"/>
      <c r="L133" s="401">
        <f t="shared" ref="L133:U133" si="178">SUM(L112,L123)</f>
        <v>0</v>
      </c>
      <c r="M133" s="402">
        <f t="shared" si="178"/>
        <v>0</v>
      </c>
      <c r="N133" s="402">
        <f t="shared" si="178"/>
        <v>0</v>
      </c>
      <c r="O133" s="402">
        <f t="shared" si="178"/>
        <v>0</v>
      </c>
      <c r="P133" s="505">
        <f t="shared" si="178"/>
        <v>0</v>
      </c>
      <c r="Q133" s="502">
        <f t="shared" si="178"/>
        <v>0</v>
      </c>
      <c r="R133" s="402">
        <f t="shared" si="178"/>
        <v>0</v>
      </c>
      <c r="S133" s="402">
        <f t="shared" si="178"/>
        <v>0</v>
      </c>
      <c r="T133" s="402">
        <f t="shared" si="178"/>
        <v>0</v>
      </c>
      <c r="U133" s="505">
        <f t="shared" si="178"/>
        <v>0</v>
      </c>
      <c r="W133" s="401">
        <f t="shared" si="172"/>
        <v>0</v>
      </c>
      <c r="X133" s="402">
        <f t="shared" si="172"/>
        <v>0</v>
      </c>
      <c r="Y133" s="402">
        <f t="shared" si="172"/>
        <v>0</v>
      </c>
      <c r="Z133" s="402">
        <f t="shared" si="172"/>
        <v>0</v>
      </c>
      <c r="AA133" s="505">
        <f t="shared" si="172"/>
        <v>0</v>
      </c>
      <c r="AB133" s="1233" t="e">
        <f t="shared" si="173"/>
        <v>#DIV/0!</v>
      </c>
      <c r="AC133" s="304">
        <f t="shared" si="174"/>
        <v>0</v>
      </c>
      <c r="AD133" s="402">
        <f t="shared" si="174"/>
        <v>0</v>
      </c>
      <c r="AE133" s="402">
        <f t="shared" si="174"/>
        <v>0</v>
      </c>
      <c r="AF133" s="402"/>
      <c r="AG133" s="402">
        <f t="shared" si="175"/>
        <v>0</v>
      </c>
      <c r="AH133" s="1237" t="e">
        <f t="shared" si="176"/>
        <v>#DIV/0!</v>
      </c>
      <c r="AI133" s="451"/>
      <c r="AJ133"/>
      <c r="AL133" s="481"/>
      <c r="AM133" s="448"/>
      <c r="AN133" s="448"/>
      <c r="AO133" s="448"/>
      <c r="AP133" s="1283"/>
      <c r="AQ133" s="401">
        <f t="shared" ref="AQ133:AS133" si="179">SUM(AQ112,AQ123)</f>
        <v>0</v>
      </c>
      <c r="AR133" s="402">
        <f t="shared" si="179"/>
        <v>0</v>
      </c>
      <c r="AS133" s="505">
        <f t="shared" si="179"/>
        <v>0</v>
      </c>
    </row>
    <row r="134" spans="1:71" ht="12.75" customHeight="1">
      <c r="E134" s="3661"/>
      <c r="F134" s="1733" t="s">
        <v>632</v>
      </c>
      <c r="G134" s="481"/>
      <c r="H134" s="448"/>
      <c r="I134" s="448"/>
      <c r="J134" s="448"/>
      <c r="K134" s="1283"/>
      <c r="L134" s="401">
        <f t="shared" ref="L134:U134" si="180">SUM(L113,L124)</f>
        <v>0</v>
      </c>
      <c r="M134" s="402">
        <f t="shared" si="180"/>
        <v>0</v>
      </c>
      <c r="N134" s="402">
        <f t="shared" si="180"/>
        <v>0</v>
      </c>
      <c r="O134" s="402">
        <f t="shared" si="180"/>
        <v>0</v>
      </c>
      <c r="P134" s="505">
        <f t="shared" si="180"/>
        <v>0</v>
      </c>
      <c r="Q134" s="502">
        <f t="shared" si="180"/>
        <v>0</v>
      </c>
      <c r="R134" s="402">
        <f t="shared" si="180"/>
        <v>0</v>
      </c>
      <c r="S134" s="402">
        <f t="shared" si="180"/>
        <v>0</v>
      </c>
      <c r="T134" s="402">
        <f t="shared" si="180"/>
        <v>0</v>
      </c>
      <c r="U134" s="505">
        <f t="shared" si="180"/>
        <v>0</v>
      </c>
      <c r="W134" s="401">
        <f t="shared" si="172"/>
        <v>0</v>
      </c>
      <c r="X134" s="402">
        <f t="shared" si="172"/>
        <v>0</v>
      </c>
      <c r="Y134" s="402">
        <f t="shared" si="172"/>
        <v>0</v>
      </c>
      <c r="Z134" s="402">
        <f t="shared" si="172"/>
        <v>0</v>
      </c>
      <c r="AA134" s="505">
        <f t="shared" si="172"/>
        <v>0</v>
      </c>
      <c r="AB134" s="1233" t="e">
        <f t="shared" si="173"/>
        <v>#DIV/0!</v>
      </c>
      <c r="AC134" s="304">
        <f t="shared" si="174"/>
        <v>0</v>
      </c>
      <c r="AD134" s="402">
        <f t="shared" si="174"/>
        <v>0</v>
      </c>
      <c r="AE134" s="402">
        <f t="shared" si="174"/>
        <v>0</v>
      </c>
      <c r="AF134" s="402"/>
      <c r="AG134" s="402">
        <f t="shared" si="175"/>
        <v>0</v>
      </c>
      <c r="AH134" s="1237" t="e">
        <f t="shared" si="176"/>
        <v>#DIV/0!</v>
      </c>
      <c r="AI134" s="451"/>
      <c r="AJ134"/>
      <c r="AL134" s="481"/>
      <c r="AM134" s="448"/>
      <c r="AN134" s="448"/>
      <c r="AO134" s="448"/>
      <c r="AP134" s="1283"/>
      <c r="AQ134" s="401">
        <f t="shared" ref="AQ134:AS134" si="181">SUM(AQ113,AQ124)</f>
        <v>0</v>
      </c>
      <c r="AR134" s="402">
        <f t="shared" si="181"/>
        <v>0</v>
      </c>
      <c r="AS134" s="505">
        <f t="shared" si="181"/>
        <v>0</v>
      </c>
    </row>
    <row r="135" spans="1:71" ht="12.75" customHeight="1">
      <c r="E135" s="3661"/>
      <c r="F135" s="1734" t="s">
        <v>615</v>
      </c>
      <c r="G135" s="481"/>
      <c r="H135" s="448"/>
      <c r="I135" s="448"/>
      <c r="J135" s="448"/>
      <c r="K135" s="1283"/>
      <c r="L135" s="401">
        <f t="shared" ref="L135:U135" si="182">SUM(L114,L125)</f>
        <v>0</v>
      </c>
      <c r="M135" s="402">
        <f t="shared" si="182"/>
        <v>0</v>
      </c>
      <c r="N135" s="402">
        <f t="shared" si="182"/>
        <v>0</v>
      </c>
      <c r="O135" s="402">
        <f t="shared" si="182"/>
        <v>0</v>
      </c>
      <c r="P135" s="505">
        <f t="shared" si="182"/>
        <v>0</v>
      </c>
      <c r="Q135" s="502">
        <f t="shared" si="182"/>
        <v>0</v>
      </c>
      <c r="R135" s="402">
        <f t="shared" si="182"/>
        <v>0</v>
      </c>
      <c r="S135" s="402">
        <f t="shared" si="182"/>
        <v>0</v>
      </c>
      <c r="T135" s="402">
        <f t="shared" si="182"/>
        <v>0</v>
      </c>
      <c r="U135" s="505">
        <f t="shared" si="182"/>
        <v>0</v>
      </c>
      <c r="W135" s="401">
        <f t="shared" si="172"/>
        <v>0</v>
      </c>
      <c r="X135" s="402">
        <f t="shared" si="172"/>
        <v>0</v>
      </c>
      <c r="Y135" s="402">
        <f t="shared" si="172"/>
        <v>0</v>
      </c>
      <c r="Z135" s="402">
        <f t="shared" si="172"/>
        <v>0</v>
      </c>
      <c r="AA135" s="505">
        <f t="shared" si="172"/>
        <v>0</v>
      </c>
      <c r="AB135" s="1233" t="e">
        <f t="shared" si="173"/>
        <v>#DIV/0!</v>
      </c>
      <c r="AC135" s="304">
        <f t="shared" si="174"/>
        <v>0</v>
      </c>
      <c r="AD135" s="402">
        <f t="shared" si="174"/>
        <v>0</v>
      </c>
      <c r="AE135" s="402">
        <f t="shared" si="174"/>
        <v>0</v>
      </c>
      <c r="AF135" s="402"/>
      <c r="AG135" s="402">
        <f t="shared" si="175"/>
        <v>0</v>
      </c>
      <c r="AH135" s="1237" t="e">
        <f t="shared" si="176"/>
        <v>#DIV/0!</v>
      </c>
      <c r="AI135" s="451"/>
      <c r="AJ135"/>
      <c r="AL135" s="481"/>
      <c r="AM135" s="448"/>
      <c r="AN135" s="448"/>
      <c r="AO135" s="448"/>
      <c r="AP135" s="1283"/>
      <c r="AQ135" s="401">
        <f t="shared" ref="AQ135:AS135" si="183">SUM(AQ114,AQ125)</f>
        <v>0</v>
      </c>
      <c r="AR135" s="402">
        <f t="shared" si="183"/>
        <v>0</v>
      </c>
      <c r="AS135" s="505">
        <f t="shared" si="183"/>
        <v>0</v>
      </c>
    </row>
    <row r="136" spans="1:71" ht="12.75" customHeight="1">
      <c r="E136" s="3661"/>
      <c r="F136" s="1735" t="s">
        <v>619</v>
      </c>
      <c r="G136" s="401">
        <f t="shared" ref="G136:K138" si="184">SUM(G115,G126)</f>
        <v>0</v>
      </c>
      <c r="H136" s="402">
        <f t="shared" si="184"/>
        <v>0</v>
      </c>
      <c r="I136" s="402">
        <f t="shared" si="184"/>
        <v>0</v>
      </c>
      <c r="J136" s="402">
        <f t="shared" si="184"/>
        <v>0</v>
      </c>
      <c r="K136" s="505">
        <f t="shared" si="184"/>
        <v>0</v>
      </c>
      <c r="L136" s="401">
        <f t="shared" ref="L136:U136" si="185">SUM(L115,L126)</f>
        <v>0</v>
      </c>
      <c r="M136" s="402">
        <f t="shared" si="185"/>
        <v>0</v>
      </c>
      <c r="N136" s="402">
        <f t="shared" si="185"/>
        <v>0</v>
      </c>
      <c r="O136" s="402">
        <f t="shared" si="185"/>
        <v>0</v>
      </c>
      <c r="P136" s="505">
        <f t="shared" si="185"/>
        <v>0</v>
      </c>
      <c r="Q136" s="502">
        <f t="shared" si="185"/>
        <v>0</v>
      </c>
      <c r="R136" s="402">
        <f t="shared" si="185"/>
        <v>0</v>
      </c>
      <c r="S136" s="402">
        <f t="shared" si="185"/>
        <v>0</v>
      </c>
      <c r="T136" s="402">
        <f t="shared" si="185"/>
        <v>0</v>
      </c>
      <c r="U136" s="505">
        <f t="shared" si="185"/>
        <v>0</v>
      </c>
      <c r="W136" s="401">
        <f t="shared" si="172"/>
        <v>0</v>
      </c>
      <c r="X136" s="402">
        <f t="shared" si="172"/>
        <v>0</v>
      </c>
      <c r="Y136" s="402">
        <f t="shared" si="172"/>
        <v>0</v>
      </c>
      <c r="Z136" s="402">
        <f t="shared" si="172"/>
        <v>0</v>
      </c>
      <c r="AA136" s="505">
        <f t="shared" si="172"/>
        <v>0</v>
      </c>
      <c r="AB136" s="1233" t="e">
        <f t="shared" si="173"/>
        <v>#DIV/0!</v>
      </c>
      <c r="AC136" s="401">
        <f t="shared" si="174"/>
        <v>0</v>
      </c>
      <c r="AD136" s="402">
        <f t="shared" si="174"/>
        <v>0</v>
      </c>
      <c r="AE136" s="402">
        <f t="shared" si="174"/>
        <v>0</v>
      </c>
      <c r="AF136" s="402"/>
      <c r="AG136" s="402">
        <f t="shared" si="175"/>
        <v>0</v>
      </c>
      <c r="AH136" s="1237" t="e">
        <f t="shared" si="176"/>
        <v>#DIV/0!</v>
      </c>
      <c r="AI136" s="451"/>
      <c r="AJ136"/>
      <c r="AL136" s="401">
        <f t="shared" ref="AL136:AS136" si="186">SUM(AL115,AL126)</f>
        <v>0</v>
      </c>
      <c r="AM136" s="402">
        <f t="shared" si="186"/>
        <v>0</v>
      </c>
      <c r="AN136" s="402">
        <f t="shared" si="186"/>
        <v>0</v>
      </c>
      <c r="AO136" s="402">
        <f t="shared" si="186"/>
        <v>0</v>
      </c>
      <c r="AP136" s="505">
        <f t="shared" si="186"/>
        <v>0</v>
      </c>
      <c r="AQ136" s="401">
        <f t="shared" si="186"/>
        <v>0</v>
      </c>
      <c r="AR136" s="402">
        <f t="shared" si="186"/>
        <v>0</v>
      </c>
      <c r="AS136" s="505">
        <f t="shared" si="186"/>
        <v>0</v>
      </c>
    </row>
    <row r="137" spans="1:71" ht="12.75" customHeight="1">
      <c r="E137" s="3661"/>
      <c r="F137" s="1736" t="s">
        <v>617</v>
      </c>
      <c r="G137" s="401">
        <f t="shared" si="184"/>
        <v>0</v>
      </c>
      <c r="H137" s="402">
        <f t="shared" si="184"/>
        <v>0</v>
      </c>
      <c r="I137" s="402">
        <f t="shared" si="184"/>
        <v>0</v>
      </c>
      <c r="J137" s="402">
        <f t="shared" si="184"/>
        <v>0</v>
      </c>
      <c r="K137" s="505">
        <f t="shared" si="184"/>
        <v>0</v>
      </c>
      <c r="L137" s="401">
        <f t="shared" ref="L137:U137" si="187">SUM(L116,L127)</f>
        <v>0</v>
      </c>
      <c r="M137" s="402">
        <f t="shared" si="187"/>
        <v>0</v>
      </c>
      <c r="N137" s="402">
        <f t="shared" si="187"/>
        <v>0</v>
      </c>
      <c r="O137" s="402">
        <f t="shared" si="187"/>
        <v>0</v>
      </c>
      <c r="P137" s="505">
        <f t="shared" si="187"/>
        <v>0</v>
      </c>
      <c r="Q137" s="502">
        <f t="shared" si="187"/>
        <v>0</v>
      </c>
      <c r="R137" s="402">
        <f t="shared" si="187"/>
        <v>0</v>
      </c>
      <c r="S137" s="402">
        <f t="shared" si="187"/>
        <v>0</v>
      </c>
      <c r="T137" s="402">
        <f t="shared" si="187"/>
        <v>0</v>
      </c>
      <c r="U137" s="505">
        <f t="shared" si="187"/>
        <v>0</v>
      </c>
      <c r="W137" s="401">
        <f ca="1">SUMIF($F$73:$AH$90,"Related party margin",U91:U125)</f>
        <v>0</v>
      </c>
      <c r="X137" s="402">
        <f ca="1">SUMIF($F$73:$AH$90,"Related party margin",W91:W125)</f>
        <v>0</v>
      </c>
      <c r="Y137" s="402">
        <f ca="1">SUMIF($F$73:$AH$90,"Related party margin",X91:X125)</f>
        <v>0</v>
      </c>
      <c r="Z137" s="402">
        <f ca="1">SUMIF($F$73:$AH$90,"Related party margin",Y91:Y125)</f>
        <v>0</v>
      </c>
      <c r="AA137" s="505">
        <f ca="1">SUMIF($F$73:$AH$90,"Related party margin",Z91:Z125)</f>
        <v>0</v>
      </c>
      <c r="AB137" s="1233" t="e">
        <f t="shared" ca="1" si="173"/>
        <v>#DIV/0!</v>
      </c>
      <c r="AC137" s="401">
        <f t="shared" si="174"/>
        <v>0</v>
      </c>
      <c r="AD137" s="402">
        <f t="shared" si="174"/>
        <v>0</v>
      </c>
      <c r="AE137" s="402">
        <f t="shared" si="174"/>
        <v>0</v>
      </c>
      <c r="AF137" s="402"/>
      <c r="AG137" s="402">
        <f t="shared" si="175"/>
        <v>0</v>
      </c>
      <c r="AH137" s="1237" t="e">
        <f t="shared" si="176"/>
        <v>#DIV/0!</v>
      </c>
      <c r="AI137" s="451"/>
      <c r="AJ137"/>
      <c r="AL137" s="401">
        <f t="shared" ref="AL137:AS137" si="188">SUM(AL116,AL127)</f>
        <v>0</v>
      </c>
      <c r="AM137" s="402">
        <f t="shared" si="188"/>
        <v>0</v>
      </c>
      <c r="AN137" s="402">
        <f t="shared" si="188"/>
        <v>0</v>
      </c>
      <c r="AO137" s="402">
        <f t="shared" si="188"/>
        <v>0</v>
      </c>
      <c r="AP137" s="505">
        <f t="shared" si="188"/>
        <v>0</v>
      </c>
      <c r="AQ137" s="401">
        <f t="shared" si="188"/>
        <v>0</v>
      </c>
      <c r="AR137" s="402">
        <f t="shared" si="188"/>
        <v>0</v>
      </c>
      <c r="AS137" s="505">
        <f t="shared" si="188"/>
        <v>0</v>
      </c>
    </row>
    <row r="138" spans="1:71">
      <c r="E138" s="3661"/>
      <c r="F138" s="1737" t="s">
        <v>620</v>
      </c>
      <c r="G138" s="501">
        <f t="shared" si="184"/>
        <v>0</v>
      </c>
      <c r="H138" s="470">
        <f t="shared" si="184"/>
        <v>0</v>
      </c>
      <c r="I138" s="470">
        <f t="shared" si="184"/>
        <v>0</v>
      </c>
      <c r="J138" s="470">
        <f t="shared" si="184"/>
        <v>0</v>
      </c>
      <c r="K138" s="495">
        <f t="shared" si="184"/>
        <v>0</v>
      </c>
      <c r="L138" s="1370">
        <f t="shared" ref="L138:U138" si="189">SUM(L117,L128)</f>
        <v>0</v>
      </c>
      <c r="M138" s="1371">
        <f t="shared" si="189"/>
        <v>0</v>
      </c>
      <c r="N138" s="1371">
        <f t="shared" si="189"/>
        <v>0</v>
      </c>
      <c r="O138" s="1371">
        <f t="shared" si="189"/>
        <v>0</v>
      </c>
      <c r="P138" s="1372">
        <f t="shared" si="189"/>
        <v>0</v>
      </c>
      <c r="Q138" s="488">
        <f t="shared" si="189"/>
        <v>0</v>
      </c>
      <c r="R138" s="470">
        <f t="shared" si="189"/>
        <v>0</v>
      </c>
      <c r="S138" s="470">
        <f t="shared" si="189"/>
        <v>0</v>
      </c>
      <c r="T138" s="470">
        <f t="shared" si="189"/>
        <v>0</v>
      </c>
      <c r="U138" s="495">
        <f t="shared" si="189"/>
        <v>0</v>
      </c>
      <c r="W138" s="1370">
        <f>SUM(W117,W128)</f>
        <v>0</v>
      </c>
      <c r="X138" s="1371">
        <f>SUM(X117,X128)</f>
        <v>0</v>
      </c>
      <c r="Y138" s="1371">
        <f>SUM(Y117,Y128)</f>
        <v>0</v>
      </c>
      <c r="Z138" s="1371">
        <f>SUM(Z117,Z128)</f>
        <v>0</v>
      </c>
      <c r="AA138" s="1372">
        <f>SUM(AA117,AA128)</f>
        <v>0</v>
      </c>
      <c r="AB138" s="1385" t="e">
        <f t="shared" si="173"/>
        <v>#DIV/0!</v>
      </c>
      <c r="AC138" s="1370">
        <f t="shared" si="174"/>
        <v>0</v>
      </c>
      <c r="AD138" s="1371">
        <f t="shared" si="174"/>
        <v>0</v>
      </c>
      <c r="AE138" s="1371">
        <f t="shared" si="174"/>
        <v>0</v>
      </c>
      <c r="AF138" s="1371"/>
      <c r="AG138" s="1371">
        <f t="shared" si="175"/>
        <v>0</v>
      </c>
      <c r="AH138" s="1391" t="e">
        <f t="shared" si="176"/>
        <v>#DIV/0!</v>
      </c>
      <c r="AI138" s="451"/>
      <c r="AJ138"/>
      <c r="AL138" s="501">
        <f t="shared" ref="AL138:AS138" si="190">SUM(AL117,AL128)</f>
        <v>0</v>
      </c>
      <c r="AM138" s="470">
        <f t="shared" si="190"/>
        <v>0</v>
      </c>
      <c r="AN138" s="470">
        <f t="shared" si="190"/>
        <v>0</v>
      </c>
      <c r="AO138" s="470">
        <f t="shared" si="190"/>
        <v>0</v>
      </c>
      <c r="AP138" s="495">
        <f t="shared" si="190"/>
        <v>0</v>
      </c>
      <c r="AQ138" s="1370">
        <f t="shared" si="190"/>
        <v>0</v>
      </c>
      <c r="AR138" s="1371">
        <f t="shared" si="190"/>
        <v>0</v>
      </c>
      <c r="AS138" s="1372">
        <f t="shared" si="190"/>
        <v>0</v>
      </c>
    </row>
    <row r="139" spans="1:71" ht="12.75" customHeight="1">
      <c r="E139" s="3661"/>
      <c r="F139" s="1739" t="s">
        <v>35</v>
      </c>
      <c r="G139" s="496">
        <f ca="1">SUMIF($F$73:$AH$90,"Less customer contributions",G91:G127)</f>
        <v>0</v>
      </c>
      <c r="H139" s="468">
        <f ca="1">SUMIF($F$73:$AH$90,"Less customer contributions",H91:H127)</f>
        <v>0</v>
      </c>
      <c r="I139" s="468">
        <f>SUM(I118,I129)</f>
        <v>0</v>
      </c>
      <c r="J139" s="468">
        <f>SUM(J118,J129)</f>
        <v>0</v>
      </c>
      <c r="K139" s="507">
        <f>SUM(K118,K129)</f>
        <v>0</v>
      </c>
      <c r="L139" s="1367">
        <f t="shared" ref="L139:U139" si="191">SUM(L118,L129)</f>
        <v>0</v>
      </c>
      <c r="M139" s="1368">
        <f t="shared" si="191"/>
        <v>0</v>
      </c>
      <c r="N139" s="1368">
        <f t="shared" si="191"/>
        <v>0</v>
      </c>
      <c r="O139" s="1368">
        <f t="shared" si="191"/>
        <v>0</v>
      </c>
      <c r="P139" s="1369">
        <f t="shared" ca="1" si="191"/>
        <v>0</v>
      </c>
      <c r="Q139" s="503">
        <f t="shared" ca="1" si="191"/>
        <v>0</v>
      </c>
      <c r="R139" s="468">
        <f t="shared" ca="1" si="191"/>
        <v>0</v>
      </c>
      <c r="S139" s="468">
        <f t="shared" ca="1" si="191"/>
        <v>0</v>
      </c>
      <c r="T139" s="468">
        <f t="shared" ca="1" si="191"/>
        <v>0</v>
      </c>
      <c r="U139" s="507">
        <f t="shared" ca="1" si="191"/>
        <v>0</v>
      </c>
      <c r="W139" s="1367">
        <f>SUM(W118,W129)</f>
        <v>0</v>
      </c>
      <c r="X139" s="1368">
        <f ca="1">SUMIF($F$73:$AH$90,"Less customer contributions",W91:W127)</f>
        <v>0</v>
      </c>
      <c r="Y139" s="1368">
        <f ca="1">SUMIF($F$73:$AH$90,"Less customer contributions",X91:X127)</f>
        <v>0</v>
      </c>
      <c r="Z139" s="1368">
        <f ca="1">SUMIF($F$73:$AH$90,"Less customer contributions",Y91:Y127)</f>
        <v>0</v>
      </c>
      <c r="AA139" s="1369">
        <f ca="1">SUMIF($F$73:$AH$90,"Less customer contributions",Z91:Z127)</f>
        <v>0</v>
      </c>
      <c r="AB139" s="1384" t="e">
        <f t="shared" ca="1" si="173"/>
        <v>#DIV/0!</v>
      </c>
      <c r="AC139" s="1367">
        <f ca="1">SUMIF($F$73:$AH$90,"Less customer contributions",AB91:AB127)</f>
        <v>0</v>
      </c>
      <c r="AD139" s="1368">
        <f ca="1">SUMIF($F$73:$AH$90,"Less customer contributions",AC91:AC127)</f>
        <v>0</v>
      </c>
      <c r="AE139" s="1368">
        <f ca="1">SUMIF($F$73:$AH$90,"Less customer contributions",AD91:AD127)</f>
        <v>0</v>
      </c>
      <c r="AF139" s="1368"/>
      <c r="AG139" s="1368">
        <f ca="1">SUMIF($F$73:$AH$90,"Less customer contributions",AF91:AF127)</f>
        <v>0</v>
      </c>
      <c r="AH139" s="1389" t="e">
        <f t="shared" ca="1" si="176"/>
        <v>#DIV/0!</v>
      </c>
      <c r="AI139" s="451"/>
      <c r="AJ139"/>
      <c r="AL139" s="496">
        <f ca="1">SUMIF($F$73:$AH$90,"Less customer contributions",AL91:AL127)</f>
        <v>0</v>
      </c>
      <c r="AM139" s="468">
        <f ca="1">SUMIF($F$73:$AH$90,"Less customer contributions",AM91:AM127)</f>
        <v>0</v>
      </c>
      <c r="AN139" s="468">
        <f>SUM(AN118,AN129)</f>
        <v>0</v>
      </c>
      <c r="AO139" s="468">
        <f>SUM(AO118,AO129)</f>
        <v>0</v>
      </c>
      <c r="AP139" s="507">
        <f>SUM(AP118,AP129)</f>
        <v>0</v>
      </c>
      <c r="AQ139" s="1367">
        <f t="shared" ref="AQ139:AS139" si="192">SUM(AQ118,AQ129)</f>
        <v>0</v>
      </c>
      <c r="AR139" s="1368">
        <f t="shared" si="192"/>
        <v>0</v>
      </c>
      <c r="AS139" s="1369">
        <f t="shared" si="192"/>
        <v>0</v>
      </c>
    </row>
    <row r="140" spans="1:71" ht="26.25" customHeight="1" thickBot="1">
      <c r="E140" s="3661"/>
      <c r="F140" s="1738" t="s">
        <v>621</v>
      </c>
      <c r="G140" s="484">
        <f t="shared" ref="G140:U140" ca="1" si="193">G138-G139</f>
        <v>0</v>
      </c>
      <c r="H140" s="472">
        <f t="shared" ca="1" si="193"/>
        <v>0</v>
      </c>
      <c r="I140" s="472">
        <f t="shared" si="193"/>
        <v>0</v>
      </c>
      <c r="J140" s="472">
        <f t="shared" si="193"/>
        <v>0</v>
      </c>
      <c r="K140" s="499">
        <f t="shared" si="193"/>
        <v>0</v>
      </c>
      <c r="L140" s="1376">
        <f>L138-L139</f>
        <v>0</v>
      </c>
      <c r="M140" s="1377">
        <f t="shared" si="193"/>
        <v>0</v>
      </c>
      <c r="N140" s="1377">
        <f t="shared" ref="N140" si="194">N138-N139</f>
        <v>0</v>
      </c>
      <c r="O140" s="1377">
        <f t="shared" si="193"/>
        <v>0</v>
      </c>
      <c r="P140" s="1378">
        <f t="shared" ca="1" si="193"/>
        <v>0</v>
      </c>
      <c r="Q140" s="476">
        <f t="shared" ca="1" si="193"/>
        <v>0</v>
      </c>
      <c r="R140" s="472">
        <f t="shared" ca="1" si="193"/>
        <v>0</v>
      </c>
      <c r="S140" s="472">
        <f t="shared" ca="1" si="193"/>
        <v>0</v>
      </c>
      <c r="T140" s="472">
        <f t="shared" ca="1" si="193"/>
        <v>0</v>
      </c>
      <c r="U140" s="499">
        <f t="shared" ca="1" si="193"/>
        <v>0</v>
      </c>
      <c r="W140" s="1376">
        <f ca="1">SUMIF($F$73:$AH$90,"Net total expenditure (incl. escalation)",U91:U127)</f>
        <v>0</v>
      </c>
      <c r="X140" s="1377">
        <f ca="1">SUMIF($F$73:$AH$90,"Net total expenditure (incl. escalation)",W91:W127)</f>
        <v>0</v>
      </c>
      <c r="Y140" s="1377">
        <f ca="1">SUMIF($F$73:$AH$90,"Net total expenditure (incl. escalation)",X91:X127)</f>
        <v>0</v>
      </c>
      <c r="Z140" s="1377">
        <f ca="1">SUMIF($F$73:$AH$90,"Net total expenditure (incl. escalation)",Y91:Y127)</f>
        <v>0</v>
      </c>
      <c r="AA140" s="1378">
        <f ca="1">SUMIF($F$73:$AH$90,"Net total expenditure (incl. escalation)",Z91:Z127)</f>
        <v>0</v>
      </c>
      <c r="AB140" s="1387" t="e">
        <f t="shared" ca="1" si="173"/>
        <v>#DIV/0!</v>
      </c>
      <c r="AC140" s="1376">
        <f ca="1">SUMIF($F$73:$AH$90,"Net total expenditure (incl. escalation)",AB91:AB127)</f>
        <v>0</v>
      </c>
      <c r="AD140" s="1377">
        <f ca="1">SUMIF($F$73:$AH$90,"Net total expenditure (incl. escalation)",AC91:AC127)</f>
        <v>0</v>
      </c>
      <c r="AE140" s="1377">
        <f ca="1">SUMIF($F$73:$AH$90,"Net total expenditure (incl. escalation)",AD91:AD127)</f>
        <v>0</v>
      </c>
      <c r="AF140" s="1377"/>
      <c r="AG140" s="1377">
        <f ca="1">SUMIF($F$73:$AH$90,"Net total expenditure (incl. escalation)",AF91:AF127)</f>
        <v>0</v>
      </c>
      <c r="AH140" s="1393" t="e">
        <f t="shared" ca="1" si="176"/>
        <v>#DIV/0!</v>
      </c>
      <c r="AI140" s="451"/>
      <c r="AJ140"/>
      <c r="AL140" s="484">
        <f t="shared" ref="AL140:AP140" ca="1" si="195">AL138-AL139</f>
        <v>0</v>
      </c>
      <c r="AM140" s="472">
        <f t="shared" ca="1" si="195"/>
        <v>0</v>
      </c>
      <c r="AN140" s="472">
        <f t="shared" si="195"/>
        <v>0</v>
      </c>
      <c r="AO140" s="472">
        <f t="shared" si="195"/>
        <v>0</v>
      </c>
      <c r="AP140" s="499">
        <f t="shared" si="195"/>
        <v>0</v>
      </c>
      <c r="AQ140" s="1376">
        <f>AQ138-AQ139</f>
        <v>0</v>
      </c>
      <c r="AR140" s="1377">
        <f t="shared" ref="AR140:AS140" si="196">AR138-AR139</f>
        <v>0</v>
      </c>
      <c r="AS140" s="1378">
        <f t="shared" si="196"/>
        <v>0</v>
      </c>
    </row>
    <row r="141" spans="1:71" s="70" customFormat="1" ht="45.75" customHeight="1" thickBot="1">
      <c r="A141" s="76"/>
      <c r="B141" s="76"/>
      <c r="C141" s="76"/>
      <c r="D141" s="76"/>
      <c r="E141" s="1723" t="s">
        <v>125</v>
      </c>
      <c r="F141" s="309"/>
      <c r="G141" s="461"/>
      <c r="H141" s="461"/>
      <c r="I141" s="461"/>
      <c r="J141" s="461"/>
      <c r="K141" s="461"/>
      <c r="L141" s="461"/>
      <c r="M141" s="461"/>
      <c r="N141" s="461"/>
      <c r="O141" s="461"/>
      <c r="P141" s="461"/>
      <c r="Q141" s="461"/>
      <c r="R141" s="461"/>
      <c r="S141" s="461"/>
      <c r="T141" s="461"/>
      <c r="U141" s="497"/>
      <c r="V141" s="504"/>
      <c r="W141" s="461"/>
      <c r="X141" s="461"/>
      <c r="Y141" s="461"/>
      <c r="Z141" s="461"/>
      <c r="AA141" s="461"/>
      <c r="AB141" s="461"/>
      <c r="AC141" s="461"/>
      <c r="AD141" s="461"/>
      <c r="AE141" s="461"/>
      <c r="AF141" s="473"/>
      <c r="AG141" s="461"/>
      <c r="AH141" s="458"/>
      <c r="AJ141" s="66"/>
      <c r="AK141" s="75"/>
      <c r="AL141" s="2157"/>
      <c r="AM141" s="2158"/>
      <c r="AN141" s="2158"/>
      <c r="AO141" s="2158"/>
      <c r="AP141" s="2158"/>
      <c r="AQ141" s="2158"/>
      <c r="AR141" s="2158"/>
      <c r="AS141" s="2159"/>
      <c r="AT141" s="75"/>
      <c r="AU141" s="75"/>
      <c r="AV141" s="75"/>
      <c r="AW141" s="75"/>
      <c r="AX141" s="75"/>
      <c r="AY141" s="75"/>
      <c r="AZ141" s="75"/>
      <c r="BA141" s="75"/>
      <c r="BB141" s="75"/>
      <c r="BC141" s="75"/>
      <c r="BD141" s="75"/>
      <c r="BE141" s="75"/>
      <c r="BF141" s="75"/>
      <c r="BG141" s="75"/>
      <c r="BH141" s="75"/>
      <c r="BI141" s="75"/>
      <c r="BJ141" s="75"/>
      <c r="BK141" s="75"/>
      <c r="BL141" s="75"/>
      <c r="BM141" s="75"/>
      <c r="BN141" s="75"/>
      <c r="BO141" s="75"/>
      <c r="BP141" s="75"/>
      <c r="BQ141" s="75"/>
      <c r="BR141" s="75"/>
      <c r="BS141" s="75"/>
    </row>
    <row r="142" spans="1:71" ht="18.75" customHeight="1" thickBot="1">
      <c r="AB142" s="89"/>
      <c r="AC142" s="450"/>
      <c r="AH142" s="89"/>
      <c r="AI142" s="451"/>
      <c r="AJ142"/>
    </row>
    <row r="143" spans="1:71" s="446" customFormat="1" ht="16.5" thickBot="1">
      <c r="E143" s="298" t="s">
        <v>519</v>
      </c>
      <c r="F143" s="509"/>
      <c r="G143" s="509"/>
      <c r="H143" s="509"/>
      <c r="I143" s="509"/>
      <c r="J143" s="509"/>
      <c r="K143" s="509"/>
      <c r="L143" s="509"/>
      <c r="M143" s="509"/>
      <c r="N143" s="509"/>
      <c r="O143" s="509"/>
      <c r="P143" s="509"/>
      <c r="Q143" s="509"/>
      <c r="R143" s="509"/>
      <c r="S143" s="509"/>
      <c r="T143" s="509"/>
      <c r="U143" s="478"/>
      <c r="V143"/>
      <c r="W143" s="509"/>
      <c r="X143" s="509"/>
      <c r="Y143" s="509"/>
      <c r="Z143" s="509"/>
      <c r="AA143" s="509"/>
      <c r="AB143" s="509"/>
      <c r="AC143" s="509"/>
      <c r="AD143" s="509"/>
      <c r="AE143" s="509"/>
      <c r="AF143" s="509"/>
      <c r="AG143" s="509"/>
      <c r="AH143" s="509"/>
      <c r="AI143" s="66"/>
      <c r="AL143" s="2134"/>
      <c r="AM143" s="509"/>
      <c r="AN143" s="509"/>
      <c r="AO143" s="509"/>
      <c r="AP143" s="509"/>
      <c r="AQ143" s="509"/>
      <c r="AR143" s="509"/>
      <c r="AS143" s="478"/>
    </row>
    <row r="144" spans="1:71">
      <c r="E144" s="3648"/>
      <c r="F144" s="1740" t="s">
        <v>615</v>
      </c>
      <c r="G144" s="480"/>
      <c r="H144" s="508"/>
      <c r="I144" s="508"/>
      <c r="J144" s="508"/>
      <c r="K144" s="587"/>
      <c r="L144" s="2031">
        <f ca="1">SUM(L96,L135)</f>
        <v>0</v>
      </c>
      <c r="M144" s="492">
        <f ca="1">SUM(N96,M135)</f>
        <v>0</v>
      </c>
      <c r="N144" s="492">
        <f t="shared" ref="N144:U145" ca="1" si="197">SUM(N96,N135)</f>
        <v>0</v>
      </c>
      <c r="O144" s="492">
        <f t="shared" ca="1" si="197"/>
        <v>0</v>
      </c>
      <c r="P144" s="491">
        <f t="shared" ca="1" si="197"/>
        <v>0</v>
      </c>
      <c r="Q144" s="2028">
        <f t="shared" ca="1" si="197"/>
        <v>0</v>
      </c>
      <c r="R144" s="492">
        <f t="shared" ca="1" si="197"/>
        <v>0</v>
      </c>
      <c r="S144" s="492">
        <f t="shared" ca="1" si="197"/>
        <v>0</v>
      </c>
      <c r="T144" s="492">
        <f t="shared" ca="1" si="197"/>
        <v>0</v>
      </c>
      <c r="U144" s="491">
        <f t="shared" ca="1" si="197"/>
        <v>0</v>
      </c>
      <c r="W144" s="490">
        <f t="shared" ref="W144:AA145" ca="1" si="198">SUM(W96,W135)</f>
        <v>0</v>
      </c>
      <c r="X144" s="492">
        <f t="shared" ca="1" si="198"/>
        <v>0</v>
      </c>
      <c r="Y144" s="492">
        <f t="shared" ca="1" si="198"/>
        <v>0</v>
      </c>
      <c r="Z144" s="492">
        <f t="shared" ca="1" si="198"/>
        <v>0</v>
      </c>
      <c r="AA144" s="491">
        <f t="shared" ca="1" si="198"/>
        <v>0</v>
      </c>
      <c r="AB144" s="1292" t="e">
        <f t="shared" ref="AB144:AB149" ca="1" si="199">SUM(G144:K144)/SUM(W144:AA144)-1</f>
        <v>#DIV/0!</v>
      </c>
      <c r="AC144" s="490">
        <f ca="1">SUM(AC96,AC135)</f>
        <v>0</v>
      </c>
      <c r="AD144" s="492">
        <f ca="1">SUM(AD96,AD135)</f>
        <v>0</v>
      </c>
      <c r="AE144" s="492">
        <f ca="1">SUM(AF96,AE135)</f>
        <v>0</v>
      </c>
      <c r="AF144" s="492"/>
      <c r="AG144" s="492">
        <f ca="1">SUM(AG96,AG135)</f>
        <v>0</v>
      </c>
      <c r="AH144" s="17" t="e">
        <f>SUM(#REF!,AH137)</f>
        <v>#REF!</v>
      </c>
      <c r="AI144" s="451"/>
      <c r="AJ144"/>
      <c r="AL144" s="1926"/>
      <c r="AM144" s="508"/>
      <c r="AN144" s="508"/>
      <c r="AO144" s="508"/>
      <c r="AP144" s="587"/>
      <c r="AQ144" s="2031">
        <f ca="1">SUM(AQ96,AQ135)</f>
        <v>0</v>
      </c>
      <c r="AR144" s="492">
        <f ca="1">SUM(AS96,AR135)</f>
        <v>0</v>
      </c>
      <c r="AS144" s="491">
        <f t="shared" ref="AS144" ca="1" si="200">SUM(AS96,AS135)</f>
        <v>0</v>
      </c>
    </row>
    <row r="145" spans="1:71">
      <c r="E145" s="3649"/>
      <c r="F145" s="593" t="s">
        <v>619</v>
      </c>
      <c r="G145" s="401">
        <f ca="1">SUM(G97,G136)</f>
        <v>0</v>
      </c>
      <c r="H145" s="402">
        <f ca="1">SUM(H97,H136)</f>
        <v>0</v>
      </c>
      <c r="I145" s="402">
        <f ca="1">SUM(I97,I136)</f>
        <v>0</v>
      </c>
      <c r="J145" s="402">
        <f ca="1">SUM(J97,J136)</f>
        <v>0</v>
      </c>
      <c r="K145" s="505">
        <f ca="1">SUM(K97,K136)</f>
        <v>0</v>
      </c>
      <c r="L145" s="401">
        <f ca="1">SUM(L97,L136)</f>
        <v>0</v>
      </c>
      <c r="M145" s="402">
        <f ca="1">SUM(N97,M136)</f>
        <v>0</v>
      </c>
      <c r="N145" s="402">
        <f t="shared" ca="1" si="197"/>
        <v>0</v>
      </c>
      <c r="O145" s="402">
        <f t="shared" ca="1" si="197"/>
        <v>0</v>
      </c>
      <c r="P145" s="505">
        <f t="shared" ca="1" si="197"/>
        <v>0</v>
      </c>
      <c r="Q145" s="502">
        <f t="shared" ca="1" si="197"/>
        <v>0</v>
      </c>
      <c r="R145" s="402">
        <f t="shared" ca="1" si="197"/>
        <v>0</v>
      </c>
      <c r="S145" s="402">
        <f t="shared" ca="1" si="197"/>
        <v>0</v>
      </c>
      <c r="T145" s="402">
        <f t="shared" ca="1" si="197"/>
        <v>0</v>
      </c>
      <c r="U145" s="505">
        <f t="shared" ca="1" si="197"/>
        <v>0</v>
      </c>
      <c r="W145" s="401">
        <f t="shared" ca="1" si="198"/>
        <v>0</v>
      </c>
      <c r="X145" s="402">
        <f t="shared" ca="1" si="198"/>
        <v>0</v>
      </c>
      <c r="Y145" s="402">
        <f t="shared" ca="1" si="198"/>
        <v>0</v>
      </c>
      <c r="Z145" s="402">
        <f t="shared" ca="1" si="198"/>
        <v>0</v>
      </c>
      <c r="AA145" s="505">
        <f t="shared" ca="1" si="198"/>
        <v>0</v>
      </c>
      <c r="AB145" s="1233" t="e">
        <f t="shared" ca="1" si="199"/>
        <v>#DIV/0!</v>
      </c>
      <c r="AC145" s="401">
        <f ca="1">SUM(AC97,AC136)</f>
        <v>0</v>
      </c>
      <c r="AD145" s="402">
        <f ca="1">SUM(AD97,AD136)</f>
        <v>0</v>
      </c>
      <c r="AE145" s="402">
        <f ca="1">SUM(AF97,AE136)</f>
        <v>0</v>
      </c>
      <c r="AF145" s="402"/>
      <c r="AG145" s="402">
        <f ca="1">SUM(AG97,AG136)</f>
        <v>0</v>
      </c>
      <c r="AH145" s="1237" t="e">
        <f>SUM(AH128,AH140)</f>
        <v>#DIV/0!</v>
      </c>
      <c r="AI145" s="451"/>
      <c r="AJ145"/>
      <c r="AL145" s="401">
        <f ca="1">SUM(AL97,AL136)</f>
        <v>0</v>
      </c>
      <c r="AM145" s="402">
        <f ca="1">SUM(AM97,AM136)</f>
        <v>0</v>
      </c>
      <c r="AN145" s="402">
        <f ca="1">SUM(AN97,AN136)</f>
        <v>0</v>
      </c>
      <c r="AO145" s="402">
        <f ca="1">SUM(AO97,AO136)</f>
        <v>0</v>
      </c>
      <c r="AP145" s="505">
        <f ca="1">SUM(AP97,AP136)</f>
        <v>0</v>
      </c>
      <c r="AQ145" s="401">
        <f ca="1">SUM(AQ97,AQ136)</f>
        <v>0</v>
      </c>
      <c r="AR145" s="402">
        <f ca="1">SUM(AS97,AR136)</f>
        <v>0</v>
      </c>
      <c r="AS145" s="505">
        <f t="shared" ref="AS145" ca="1" si="201">SUM(AS97,AS136)</f>
        <v>0</v>
      </c>
    </row>
    <row r="146" spans="1:71">
      <c r="E146" s="3649"/>
      <c r="F146" s="1721" t="s">
        <v>617</v>
      </c>
      <c r="G146" s="401">
        <f t="shared" ref="G146:M146" ca="1" si="202">SUMIF($F$73:$AH$90,"Related party margin",G91:G143)</f>
        <v>0</v>
      </c>
      <c r="H146" s="402">
        <f t="shared" ca="1" si="202"/>
        <v>0</v>
      </c>
      <c r="I146" s="402">
        <f t="shared" ca="1" si="202"/>
        <v>0</v>
      </c>
      <c r="J146" s="402">
        <f t="shared" ca="1" si="202"/>
        <v>0</v>
      </c>
      <c r="K146" s="505">
        <f t="shared" ca="1" si="202"/>
        <v>0</v>
      </c>
      <c r="L146" s="401">
        <f t="shared" ca="1" si="202"/>
        <v>0</v>
      </c>
      <c r="M146" s="402">
        <f t="shared" ca="1" si="202"/>
        <v>0</v>
      </c>
      <c r="N146" s="402">
        <f t="shared" ref="N146:U146" ca="1" si="203">SUMIF($F$73:$AH$90,"Related party margin",M91:M143)</f>
        <v>0</v>
      </c>
      <c r="O146" s="402">
        <f t="shared" ca="1" si="203"/>
        <v>0</v>
      </c>
      <c r="P146" s="505">
        <f t="shared" ca="1" si="203"/>
        <v>0</v>
      </c>
      <c r="Q146" s="502">
        <f t="shared" ca="1" si="203"/>
        <v>0</v>
      </c>
      <c r="R146" s="402">
        <f t="shared" ca="1" si="203"/>
        <v>0</v>
      </c>
      <c r="S146" s="402">
        <f t="shared" ca="1" si="203"/>
        <v>0</v>
      </c>
      <c r="T146" s="402">
        <f t="shared" ca="1" si="203"/>
        <v>0</v>
      </c>
      <c r="U146" s="505">
        <f t="shared" ca="1" si="203"/>
        <v>0</v>
      </c>
      <c r="W146" s="401">
        <f ca="1">SUMIF($F$73:$AH$90,"Related party margin",U91:U143)</f>
        <v>0</v>
      </c>
      <c r="X146" s="402">
        <f ca="1">SUMIF($F$73:$AH$90,"Related party margin",W91:W143)</f>
        <v>0</v>
      </c>
      <c r="Y146" s="402">
        <f ca="1">SUMIF($F$73:$AH$90,"Related party margin",X91:X143)</f>
        <v>0</v>
      </c>
      <c r="Z146" s="402">
        <f ca="1">SUMIF($F$73:$AH$90,"Related party margin",Y91:Y143)</f>
        <v>0</v>
      </c>
      <c r="AA146" s="505">
        <f ca="1">SUMIF($F$73:$AH$90,"Related party margin",Z91:Z143)</f>
        <v>0</v>
      </c>
      <c r="AB146" s="1233" t="e">
        <f t="shared" ca="1" si="199"/>
        <v>#DIV/0!</v>
      </c>
      <c r="AC146" s="401">
        <f ca="1">SUMIF($F$73:$AH$90,"Related party margin",AB91:AB143)</f>
        <v>0</v>
      </c>
      <c r="AD146" s="402">
        <f ca="1">SUMIF($F$73:$AH$90,"Related party margin",AC91:AC143)</f>
        <v>0</v>
      </c>
      <c r="AE146" s="402">
        <f ca="1">SUMIF($F$73:$AH$90,"Related party margin",AD91:AD143)</f>
        <v>0</v>
      </c>
      <c r="AF146" s="402"/>
      <c r="AG146" s="402">
        <f ca="1">SUMIF($F$73:$AH$90,"Related party margin",AF91:AF143)</f>
        <v>0</v>
      </c>
      <c r="AH146" s="1237" t="e">
        <f ca="1">SUM(AH129,AH141)</f>
        <v>#DIV/0!</v>
      </c>
      <c r="AI146" s="451"/>
      <c r="AJ146"/>
      <c r="AL146" s="401">
        <f t="shared" ref="AL146:AR146" ca="1" si="204">SUMIF($F$73:$AH$90,"Related party margin",AL91:AL143)</f>
        <v>0</v>
      </c>
      <c r="AM146" s="402">
        <f t="shared" ca="1" si="204"/>
        <v>0</v>
      </c>
      <c r="AN146" s="402">
        <f t="shared" ca="1" si="204"/>
        <v>0</v>
      </c>
      <c r="AO146" s="402">
        <f t="shared" ca="1" si="204"/>
        <v>0</v>
      </c>
      <c r="AP146" s="505">
        <f t="shared" ca="1" si="204"/>
        <v>0</v>
      </c>
      <c r="AQ146" s="401">
        <f t="shared" ca="1" si="204"/>
        <v>0</v>
      </c>
      <c r="AR146" s="402">
        <f t="shared" ca="1" si="204"/>
        <v>0</v>
      </c>
      <c r="AS146" s="505">
        <f t="shared" ref="AS146" ca="1" si="205">SUMIF($F$73:$AH$90,"Related party margin",AR91:AR143)</f>
        <v>0</v>
      </c>
    </row>
    <row r="147" spans="1:71">
      <c r="E147" s="3649"/>
      <c r="F147" s="1741" t="s">
        <v>620</v>
      </c>
      <c r="G147" s="1021">
        <f t="shared" ref="G147:L147" ca="1" si="206">SUM(G99,G138)</f>
        <v>0</v>
      </c>
      <c r="H147" s="1015">
        <f t="shared" ca="1" si="206"/>
        <v>0</v>
      </c>
      <c r="I147" s="1015">
        <f t="shared" ca="1" si="206"/>
        <v>0</v>
      </c>
      <c r="J147" s="1015">
        <f t="shared" ca="1" si="206"/>
        <v>0</v>
      </c>
      <c r="K147" s="1022">
        <f t="shared" ca="1" si="206"/>
        <v>0</v>
      </c>
      <c r="L147" s="1021">
        <f t="shared" ca="1" si="206"/>
        <v>0</v>
      </c>
      <c r="M147" s="1015">
        <f ca="1">SUM(N99,M138)</f>
        <v>0</v>
      </c>
      <c r="N147" s="1015">
        <f t="shared" ref="N147:U147" ca="1" si="207">SUM(N99,N138)</f>
        <v>0</v>
      </c>
      <c r="O147" s="1015">
        <f t="shared" ca="1" si="207"/>
        <v>0</v>
      </c>
      <c r="P147" s="1022">
        <f t="shared" ca="1" si="207"/>
        <v>0</v>
      </c>
      <c r="Q147" s="2029">
        <f t="shared" ca="1" si="207"/>
        <v>0</v>
      </c>
      <c r="R147" s="1015">
        <f t="shared" ca="1" si="207"/>
        <v>0</v>
      </c>
      <c r="S147" s="1015">
        <f t="shared" ca="1" si="207"/>
        <v>0</v>
      </c>
      <c r="T147" s="1015">
        <f t="shared" ca="1" si="207"/>
        <v>0</v>
      </c>
      <c r="U147" s="1022">
        <f t="shared" ca="1" si="207"/>
        <v>0</v>
      </c>
      <c r="W147" s="1021">
        <f ca="1">SUM(W99,W138)</f>
        <v>0</v>
      </c>
      <c r="X147" s="1015">
        <f ca="1">SUM(X99,X138)</f>
        <v>0</v>
      </c>
      <c r="Y147" s="1015">
        <f ca="1">SUM(Y99,Y138)</f>
        <v>0</v>
      </c>
      <c r="Z147" s="1015">
        <f ca="1">SUM(Z99,Z138)</f>
        <v>0</v>
      </c>
      <c r="AA147" s="1022">
        <f ca="1">SUM(AA99,AA138)</f>
        <v>0</v>
      </c>
      <c r="AB147" s="1300" t="e">
        <f t="shared" ca="1" si="199"/>
        <v>#DIV/0!</v>
      </c>
      <c r="AC147" s="1021">
        <f ca="1">SUM(AC99,AC138)</f>
        <v>0</v>
      </c>
      <c r="AD147" s="1015">
        <f ca="1">SUM(AD99,AD138)</f>
        <v>0</v>
      </c>
      <c r="AE147" s="1015">
        <f ca="1">SUM(AF99,AE138)</f>
        <v>0</v>
      </c>
      <c r="AF147" s="1015"/>
      <c r="AG147" s="1015">
        <f ca="1">SUM(AG99,AG138)</f>
        <v>0</v>
      </c>
      <c r="AH147" s="18"/>
      <c r="AI147" s="451"/>
      <c r="AJ147"/>
      <c r="AL147" s="1021">
        <f t="shared" ref="AL147:AQ147" ca="1" si="208">SUM(AL99,AL138)</f>
        <v>0</v>
      </c>
      <c r="AM147" s="1015">
        <f t="shared" ca="1" si="208"/>
        <v>0</v>
      </c>
      <c r="AN147" s="1015">
        <f t="shared" ca="1" si="208"/>
        <v>0</v>
      </c>
      <c r="AO147" s="1015">
        <f t="shared" ca="1" si="208"/>
        <v>0</v>
      </c>
      <c r="AP147" s="1022">
        <f t="shared" ca="1" si="208"/>
        <v>0</v>
      </c>
      <c r="AQ147" s="1021">
        <f t="shared" ca="1" si="208"/>
        <v>0</v>
      </c>
      <c r="AR147" s="1015">
        <f ca="1">SUM(AS99,AR138)</f>
        <v>0</v>
      </c>
      <c r="AS147" s="1022">
        <f t="shared" ref="AS147" ca="1" si="209">SUM(AS99,AS138)</f>
        <v>0</v>
      </c>
    </row>
    <row r="148" spans="1:71">
      <c r="E148" s="3649"/>
      <c r="F148" s="1743" t="s">
        <v>35</v>
      </c>
      <c r="G148" s="401">
        <f t="shared" ref="G148:M148" ca="1" si="210">SUMIF($F$73:$AH$90,"Less customer contributions",G91:G143)</f>
        <v>0</v>
      </c>
      <c r="H148" s="402">
        <f t="shared" ca="1" si="210"/>
        <v>0</v>
      </c>
      <c r="I148" s="402">
        <f t="shared" ca="1" si="210"/>
        <v>0</v>
      </c>
      <c r="J148" s="402">
        <f t="shared" ca="1" si="210"/>
        <v>0</v>
      </c>
      <c r="K148" s="505">
        <f t="shared" ca="1" si="210"/>
        <v>0</v>
      </c>
      <c r="L148" s="401">
        <f t="shared" ca="1" si="210"/>
        <v>0</v>
      </c>
      <c r="M148" s="402">
        <f t="shared" ca="1" si="210"/>
        <v>0</v>
      </c>
      <c r="N148" s="402">
        <f t="shared" ref="N148:U148" ca="1" si="211">SUMIF($F$73:$AH$90,"Less customer contributions",M91:M143)</f>
        <v>0</v>
      </c>
      <c r="O148" s="402">
        <f t="shared" ca="1" si="211"/>
        <v>0</v>
      </c>
      <c r="P148" s="505">
        <f t="shared" ca="1" si="211"/>
        <v>0</v>
      </c>
      <c r="Q148" s="502">
        <f t="shared" ca="1" si="211"/>
        <v>0</v>
      </c>
      <c r="R148" s="402">
        <f t="shared" ca="1" si="211"/>
        <v>0</v>
      </c>
      <c r="S148" s="402">
        <f t="shared" ca="1" si="211"/>
        <v>0</v>
      </c>
      <c r="T148" s="402">
        <f t="shared" ca="1" si="211"/>
        <v>0</v>
      </c>
      <c r="U148" s="505">
        <f t="shared" ca="1" si="211"/>
        <v>0</v>
      </c>
      <c r="W148" s="401">
        <f ca="1">SUMIF($F$73:$AH$90,"Less customer contributions",U91:U143)</f>
        <v>0</v>
      </c>
      <c r="X148" s="402">
        <f ca="1">SUMIF($F$73:$AH$90,"Less customer contributions",W91:W143)</f>
        <v>0</v>
      </c>
      <c r="Y148" s="402">
        <f ca="1">SUMIF($F$73:$AH$90,"Less customer contributions",X91:X143)</f>
        <v>0</v>
      </c>
      <c r="Z148" s="402">
        <f ca="1">SUMIF($F$73:$AH$90,"Less customer contributions",Y91:Y143)</f>
        <v>0</v>
      </c>
      <c r="AA148" s="505">
        <f ca="1">SUMIF($F$73:$AH$90,"Less customer contributions",Z91:Z143)</f>
        <v>0</v>
      </c>
      <c r="AB148" s="1233" t="e">
        <f t="shared" ca="1" si="199"/>
        <v>#DIV/0!</v>
      </c>
      <c r="AC148" s="401">
        <f ca="1">SUMIF($F$73:$AH$90,"Less customer contributions",AB91:AB143)</f>
        <v>0</v>
      </c>
      <c r="AD148" s="402">
        <f ca="1">SUMIF($F$73:$AH$90,"Less customer contributions",AC91:AC143)</f>
        <v>0</v>
      </c>
      <c r="AE148" s="402">
        <f ca="1">SUMIF($F$73:$AH$90,"Less customer contributions",AD91:AD143)</f>
        <v>0</v>
      </c>
      <c r="AF148" s="402"/>
      <c r="AG148" s="402">
        <f ca="1">SUMIF($F$73:$AH$90,"Less customer contributions",AF91:AF143)</f>
        <v>0</v>
      </c>
      <c r="AH148" s="1237"/>
      <c r="AI148" s="451"/>
      <c r="AJ148"/>
      <c r="AL148" s="401">
        <f t="shared" ref="AL148:AR148" ca="1" si="212">SUMIF($F$73:$AH$90,"Less customer contributions",AL91:AL143)</f>
        <v>0</v>
      </c>
      <c r="AM148" s="402">
        <f t="shared" ca="1" si="212"/>
        <v>0</v>
      </c>
      <c r="AN148" s="402">
        <f t="shared" ca="1" si="212"/>
        <v>0</v>
      </c>
      <c r="AO148" s="402">
        <f t="shared" ca="1" si="212"/>
        <v>0</v>
      </c>
      <c r="AP148" s="505">
        <f t="shared" ca="1" si="212"/>
        <v>0</v>
      </c>
      <c r="AQ148" s="401">
        <f t="shared" ca="1" si="212"/>
        <v>0</v>
      </c>
      <c r="AR148" s="402">
        <f t="shared" ca="1" si="212"/>
        <v>0</v>
      </c>
      <c r="AS148" s="505">
        <f t="shared" ref="AS148" ca="1" si="213">SUMIF($F$73:$AH$90,"Less customer contributions",AR91:AR143)</f>
        <v>0</v>
      </c>
    </row>
    <row r="149" spans="1:71" ht="13.5" thickBot="1">
      <c r="E149" s="3650"/>
      <c r="F149" s="1742" t="s">
        <v>621</v>
      </c>
      <c r="G149" s="1361">
        <f t="shared" ref="G149:L149" ca="1" si="214">G147-G148</f>
        <v>0</v>
      </c>
      <c r="H149" s="1362">
        <f t="shared" ca="1" si="214"/>
        <v>0</v>
      </c>
      <c r="I149" s="1362">
        <f t="shared" ca="1" si="214"/>
        <v>0</v>
      </c>
      <c r="J149" s="1362">
        <f t="shared" ca="1" si="214"/>
        <v>0</v>
      </c>
      <c r="K149" s="1363">
        <f t="shared" ca="1" si="214"/>
        <v>0</v>
      </c>
      <c r="L149" s="2032">
        <f t="shared" ca="1" si="214"/>
        <v>0</v>
      </c>
      <c r="M149" s="1362">
        <f t="shared" ref="M149:AA149" ca="1" si="215">M147-M148</f>
        <v>0</v>
      </c>
      <c r="N149" s="1362">
        <f t="shared" ref="N149" ca="1" si="216">N147-N148</f>
        <v>0</v>
      </c>
      <c r="O149" s="1362">
        <f t="shared" ca="1" si="215"/>
        <v>0</v>
      </c>
      <c r="P149" s="1363">
        <f t="shared" ca="1" si="215"/>
        <v>0</v>
      </c>
      <c r="Q149" s="2030">
        <f t="shared" ca="1" si="215"/>
        <v>0</v>
      </c>
      <c r="R149" s="1362">
        <f t="shared" ca="1" si="215"/>
        <v>0</v>
      </c>
      <c r="S149" s="1362">
        <f t="shared" ca="1" si="215"/>
        <v>0</v>
      </c>
      <c r="T149" s="1362">
        <f t="shared" ca="1" si="215"/>
        <v>0</v>
      </c>
      <c r="U149" s="1363">
        <f t="shared" ca="1" si="215"/>
        <v>0</v>
      </c>
      <c r="W149" s="1361">
        <f t="shared" ca="1" si="215"/>
        <v>0</v>
      </c>
      <c r="X149" s="1362">
        <f t="shared" ca="1" si="215"/>
        <v>0</v>
      </c>
      <c r="Y149" s="1362">
        <f t="shared" ca="1" si="215"/>
        <v>0</v>
      </c>
      <c r="Z149" s="1362">
        <f t="shared" ca="1" si="215"/>
        <v>0</v>
      </c>
      <c r="AA149" s="1363">
        <f t="shared" ca="1" si="215"/>
        <v>0</v>
      </c>
      <c r="AB149" s="1395" t="e">
        <f t="shared" ca="1" si="199"/>
        <v>#DIV/0!</v>
      </c>
      <c r="AC149" s="1361">
        <f ca="1">AC147-AC148</f>
        <v>0</v>
      </c>
      <c r="AD149" s="1362">
        <f ca="1">AD147-AD148</f>
        <v>0</v>
      </c>
      <c r="AE149" s="1362">
        <f ca="1">AE147-AE148</f>
        <v>0</v>
      </c>
      <c r="AF149" s="1362"/>
      <c r="AG149" s="1362">
        <f ca="1">AG147-AG148</f>
        <v>0</v>
      </c>
      <c r="AH149" s="9"/>
      <c r="AI149" s="451"/>
      <c r="AJ149"/>
      <c r="AL149" s="2032">
        <f t="shared" ref="AL149:AS149" ca="1" si="217">AL147-AL148</f>
        <v>0</v>
      </c>
      <c r="AM149" s="1362">
        <f t="shared" ca="1" si="217"/>
        <v>0</v>
      </c>
      <c r="AN149" s="1362">
        <f t="shared" ca="1" si="217"/>
        <v>0</v>
      </c>
      <c r="AO149" s="1362">
        <f t="shared" ca="1" si="217"/>
        <v>0</v>
      </c>
      <c r="AP149" s="1363">
        <f t="shared" ca="1" si="217"/>
        <v>0</v>
      </c>
      <c r="AQ149" s="2032">
        <f t="shared" ca="1" si="217"/>
        <v>0</v>
      </c>
      <c r="AR149" s="1362">
        <f t="shared" ca="1" si="217"/>
        <v>0</v>
      </c>
      <c r="AS149" s="1363">
        <f t="shared" ca="1" si="217"/>
        <v>0</v>
      </c>
    </row>
    <row r="150" spans="1:71" s="70" customFormat="1" ht="45.75" customHeight="1" thickBot="1">
      <c r="A150" s="76"/>
      <c r="B150" s="76"/>
      <c r="C150" s="76"/>
      <c r="D150" s="76"/>
      <c r="E150" s="1722" t="s">
        <v>125</v>
      </c>
      <c r="F150" s="385"/>
      <c r="G150" s="473"/>
      <c r="H150" s="473"/>
      <c r="I150" s="473"/>
      <c r="J150" s="473"/>
      <c r="K150" s="473"/>
      <c r="L150" s="473"/>
      <c r="M150" s="473"/>
      <c r="N150" s="473"/>
      <c r="O150" s="473"/>
      <c r="P150" s="473"/>
      <c r="Q150" s="473"/>
      <c r="R150" s="473"/>
      <c r="S150" s="473"/>
      <c r="T150" s="473"/>
      <c r="U150" s="458"/>
      <c r="V150" s="504"/>
      <c r="W150" s="473"/>
      <c r="X150" s="473"/>
      <c r="Y150" s="473"/>
      <c r="Z150" s="473"/>
      <c r="AA150" s="473"/>
      <c r="AB150" s="473"/>
      <c r="AC150" s="473"/>
      <c r="AD150" s="473"/>
      <c r="AE150" s="473"/>
      <c r="AF150" s="473"/>
      <c r="AG150" s="473"/>
      <c r="AH150" s="497"/>
      <c r="AJ150" s="66"/>
      <c r="AK150" s="75"/>
      <c r="AL150" s="2157"/>
      <c r="AM150" s="2158"/>
      <c r="AN150" s="2158"/>
      <c r="AO150" s="2158"/>
      <c r="AP150" s="2158"/>
      <c r="AQ150" s="2158"/>
      <c r="AR150" s="2158"/>
      <c r="AS150" s="2159"/>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row>
    <row r="158" spans="1:71">
      <c r="F158" s="142"/>
    </row>
  </sheetData>
  <mergeCells count="49">
    <mergeCell ref="AL106:AS106"/>
    <mergeCell ref="AL107:AS107"/>
    <mergeCell ref="AL18:AP18"/>
    <mergeCell ref="AQ18:AS18"/>
    <mergeCell ref="AL19:AS19"/>
    <mergeCell ref="AL20:AS20"/>
    <mergeCell ref="AL105:AP105"/>
    <mergeCell ref="AQ105:AS105"/>
    <mergeCell ref="E8:I8"/>
    <mergeCell ref="E9:I9"/>
    <mergeCell ref="E10:I10"/>
    <mergeCell ref="AC19:AG19"/>
    <mergeCell ref="E11:I11"/>
    <mergeCell ref="E18:F21"/>
    <mergeCell ref="G18:K18"/>
    <mergeCell ref="Q18:U18"/>
    <mergeCell ref="W20:AA20"/>
    <mergeCell ref="AC20:AG20"/>
    <mergeCell ref="AC18:AH18"/>
    <mergeCell ref="W18:AB18"/>
    <mergeCell ref="L18:P18"/>
    <mergeCell ref="W19:AA19"/>
    <mergeCell ref="O19:U19"/>
    <mergeCell ref="O20:U20"/>
    <mergeCell ref="G19:N19"/>
    <mergeCell ref="G20:N20"/>
    <mergeCell ref="E91:E101"/>
    <mergeCell ref="E73:E89"/>
    <mergeCell ref="E56:E72"/>
    <mergeCell ref="E39:E55"/>
    <mergeCell ref="E22:E38"/>
    <mergeCell ref="E144:E149"/>
    <mergeCell ref="E105:F108"/>
    <mergeCell ref="G105:K105"/>
    <mergeCell ref="L105:P105"/>
    <mergeCell ref="Q105:U105"/>
    <mergeCell ref="E109:E119"/>
    <mergeCell ref="E120:E130"/>
    <mergeCell ref="E131:E140"/>
    <mergeCell ref="O106:U106"/>
    <mergeCell ref="O107:U107"/>
    <mergeCell ref="G106:N106"/>
    <mergeCell ref="G107:N107"/>
    <mergeCell ref="W107:AA107"/>
    <mergeCell ref="AC107:AG107"/>
    <mergeCell ref="W105:AB105"/>
    <mergeCell ref="AC105:AH105"/>
    <mergeCell ref="W106:AA106"/>
    <mergeCell ref="AC106:AG106"/>
  </mergeCells>
  <pageMargins left="0.75" right="0.75" top="1" bottom="1" header="0.5" footer="0.5"/>
  <pageSetup paperSize="9" orientation="portrait" horizontalDpi="4294967293" r:id="rId1"/>
  <headerFooter alignWithMargins="0"/>
  <customProperties>
    <customPr name="_pios_id" r:id="rId2"/>
  </customProperties>
  <ignoredErrors>
    <ignoredError sqref="AF91:AG92 AB22:AB26 AB28:AB32 AB34:AB50 W91:AD92 F91 Q91:U92 AH91:AH92 AB51:AB67 AB68:AB84 AB85:AB89 AF98:AG100 W98:AD100 G98:P98 Q98:U98 AH98:AH100 G100:P100 G96:K96 G92:P92 G93:K93 G94:K94 G95:K95 G99:H99 Q100:U100 G101:H101 L91:P91" evalError="1"/>
    <ignoredError sqref="AB27 AB33" evalError="1" formula="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pageSetUpPr autoPageBreaks="0"/>
  </sheetPr>
  <dimension ref="A1:AK152"/>
  <sheetViews>
    <sheetView showGridLines="0" topLeftCell="D1" zoomScale="70" zoomScaleNormal="70" workbookViewId="0"/>
  </sheetViews>
  <sheetFormatPr defaultColWidth="9.140625" defaultRowHeight="12.75" outlineLevelRow="1"/>
  <cols>
    <col min="1" max="3" width="11" style="176" hidden="1" customWidth="1"/>
    <col min="4" max="4" width="23.28515625" style="176" customWidth="1"/>
    <col min="5" max="5" width="44.28515625" style="176" customWidth="1"/>
    <col min="6" max="6" width="65.85546875" style="176" customWidth="1"/>
    <col min="7" max="22" width="15.7109375" style="176" customWidth="1"/>
    <col min="23" max="23" width="36.7109375" style="176" customWidth="1"/>
    <col min="24" max="26" width="8.7109375"/>
    <col min="27" max="34" width="15.7109375" style="1427" customWidth="1"/>
    <col min="35" max="16384" width="9.140625" style="176"/>
  </cols>
  <sheetData>
    <row r="1" spans="1:35" s="223" customFormat="1" ht="24" customHeight="1">
      <c r="E1" s="3050" t="str">
        <f>IF(dms_DataQuality="backcast",INDEX(dms_Worksheet_List,MATCH(dms_Model,dms_Model_List))&amp;" BACKCAST",INDEX(dms_Worksheet_List,MATCH(dms_Model,dms_Model_List)))</f>
        <v>REGULATORY REPORTING STATEMENT</v>
      </c>
      <c r="F1" s="546"/>
      <c r="G1" s="546"/>
      <c r="H1" s="225"/>
      <c r="I1" s="225"/>
      <c r="J1" s="225"/>
      <c r="K1" s="225"/>
      <c r="L1" s="225"/>
      <c r="M1" s="225"/>
      <c r="N1" s="225"/>
      <c r="O1" s="225"/>
      <c r="P1" s="225"/>
      <c r="Q1" s="225"/>
      <c r="R1" s="225"/>
      <c r="S1" s="225"/>
      <c r="T1" s="225"/>
      <c r="U1" s="225"/>
      <c r="V1" s="225"/>
      <c r="W1" s="225"/>
      <c r="X1" s="225"/>
      <c r="Y1" s="225"/>
      <c r="Z1" s="225"/>
      <c r="AA1" s="546"/>
      <c r="AB1" s="225"/>
      <c r="AC1" s="225"/>
      <c r="AD1" s="225"/>
      <c r="AE1" s="225"/>
      <c r="AF1" s="225"/>
      <c r="AG1" s="225"/>
      <c r="AH1" s="225"/>
      <c r="AI1" s="66"/>
    </row>
    <row r="2" spans="1:35" s="223" customFormat="1" ht="24" customHeight="1">
      <c r="E2" s="3054" t="str">
        <f>INDEX(dms_TradingNameFull_List,MATCH(dms_TradingName,dms_TradingName_List))</f>
        <v>AusNet Gas Services</v>
      </c>
      <c r="F2" s="226"/>
      <c r="G2" s="226"/>
      <c r="H2" s="225"/>
      <c r="I2" s="225"/>
      <c r="J2" s="225"/>
      <c r="K2" s="225"/>
      <c r="L2" s="225"/>
      <c r="M2" s="225"/>
      <c r="N2" s="225"/>
      <c r="O2" s="225"/>
      <c r="P2" s="225"/>
      <c r="Q2" s="225"/>
      <c r="R2" s="225"/>
      <c r="S2" s="225"/>
      <c r="T2" s="225"/>
      <c r="U2" s="225"/>
      <c r="V2" s="225"/>
      <c r="W2" s="225"/>
      <c r="X2" s="225"/>
      <c r="Y2" s="225"/>
      <c r="Z2" s="225"/>
      <c r="AA2" s="1428"/>
      <c r="AB2" s="225"/>
      <c r="AC2" s="225"/>
      <c r="AD2" s="225"/>
      <c r="AE2" s="225"/>
      <c r="AF2" s="225"/>
      <c r="AG2" s="225"/>
      <c r="AH2" s="225"/>
      <c r="AI2" s="66"/>
    </row>
    <row r="3" spans="1:35" s="223" customFormat="1" ht="24" customHeight="1">
      <c r="E3" s="3054" t="str">
        <f ca="1">IF(SUM(dms_SingleYear_Model)&gt;0,CRY,CONCATENATE(FRCP_y1," to ",dms_MultiYear_FinalYear_Result))</f>
        <v>2018 to 2022</v>
      </c>
      <c r="F3" s="227"/>
      <c r="G3" s="227"/>
      <c r="H3" s="228"/>
      <c r="I3" s="227"/>
      <c r="J3" s="227"/>
      <c r="K3" s="227"/>
      <c r="L3" s="227"/>
      <c r="M3" s="227"/>
      <c r="N3" s="227"/>
      <c r="O3" s="227"/>
      <c r="P3" s="227"/>
      <c r="Q3" s="227"/>
      <c r="R3" s="227"/>
      <c r="S3" s="227"/>
      <c r="T3" s="227"/>
      <c r="U3" s="227"/>
      <c r="V3" s="227"/>
      <c r="W3" s="227"/>
      <c r="X3" s="1426"/>
      <c r="Y3" s="1426"/>
      <c r="Z3" s="1426"/>
      <c r="AA3" s="1426"/>
      <c r="AB3" s="228"/>
      <c r="AC3" s="1426"/>
      <c r="AD3" s="1426"/>
      <c r="AE3" s="1426"/>
      <c r="AF3" s="1426"/>
      <c r="AG3" s="1426"/>
      <c r="AH3" s="1426"/>
      <c r="AI3" s="66"/>
    </row>
    <row r="4" spans="1:35" s="165" customFormat="1" ht="24" customHeight="1">
      <c r="B4" s="10"/>
      <c r="C4" s="12"/>
      <c r="D4"/>
      <c r="E4" s="12" t="s">
        <v>477</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5" s="529" customFormat="1" ht="25.5" customHeight="1" thickBot="1">
      <c r="A5" s="308"/>
      <c r="B5" s="308"/>
      <c r="C5" s="308"/>
      <c r="D5" s="308"/>
      <c r="E5" s="288"/>
      <c r="F5" s="288"/>
      <c r="G5"/>
      <c r="H5"/>
      <c r="I5"/>
      <c r="J5"/>
      <c r="K5"/>
      <c r="L5"/>
      <c r="M5"/>
      <c r="N5"/>
      <c r="O5"/>
      <c r="P5"/>
      <c r="Q5"/>
      <c r="R5"/>
      <c r="S5"/>
      <c r="T5"/>
      <c r="U5"/>
      <c r="V5"/>
      <c r="W5"/>
      <c r="X5"/>
      <c r="Y5"/>
      <c r="Z5"/>
      <c r="AA5"/>
      <c r="AB5"/>
      <c r="AC5"/>
      <c r="AD5"/>
      <c r="AE5"/>
      <c r="AF5"/>
      <c r="AG5"/>
      <c r="AH5"/>
    </row>
    <row r="6" spans="1:35" s="529" customFormat="1">
      <c r="A6" s="1138" t="s">
        <v>195</v>
      </c>
      <c r="B6" s="1139" t="s">
        <v>201</v>
      </c>
      <c r="C6" s="1144"/>
      <c r="D6" s="308"/>
      <c r="E6" s="157" t="s">
        <v>59</v>
      </c>
      <c r="F6" s="157"/>
      <c r="G6" s="157"/>
      <c r="H6" s="157"/>
      <c r="I6" s="157"/>
      <c r="J6" s="157"/>
      <c r="K6" s="157"/>
      <c r="L6" s="157"/>
      <c r="M6" s="288"/>
      <c r="N6" s="288"/>
      <c r="O6" s="288"/>
      <c r="P6" s="288"/>
      <c r="Q6" s="288"/>
      <c r="R6" s="288"/>
      <c r="S6" s="288"/>
      <c r="U6" s="308"/>
      <c r="V6" s="308"/>
      <c r="W6"/>
      <c r="X6"/>
      <c r="Y6"/>
      <c r="Z6"/>
      <c r="AA6"/>
      <c r="AB6"/>
      <c r="AC6"/>
      <c r="AD6"/>
      <c r="AE6"/>
      <c r="AF6"/>
      <c r="AG6"/>
      <c r="AH6"/>
    </row>
    <row r="7" spans="1:35" s="529" customFormat="1" ht="15.75" customHeight="1">
      <c r="A7" s="1140" t="s">
        <v>196</v>
      </c>
      <c r="B7" s="1141" t="s">
        <v>202</v>
      </c>
      <c r="C7" s="1145"/>
      <c r="D7" s="308"/>
      <c r="E7" s="3616" t="s">
        <v>478</v>
      </c>
      <c r="F7" s="3616"/>
      <c r="G7" s="3616"/>
      <c r="H7" s="3616"/>
      <c r="I7" s="3616"/>
      <c r="J7" s="3616"/>
      <c r="K7" s="3616"/>
      <c r="L7" s="3616"/>
      <c r="M7" s="288"/>
      <c r="N7" s="288"/>
      <c r="O7" s="288"/>
      <c r="P7" s="288"/>
      <c r="Q7" s="288"/>
      <c r="R7" s="288"/>
      <c r="S7" s="288"/>
      <c r="U7" s="308"/>
      <c r="V7" s="308"/>
      <c r="W7"/>
      <c r="X7"/>
      <c r="Y7"/>
      <c r="Z7"/>
      <c r="AA7"/>
      <c r="AB7"/>
      <c r="AC7"/>
      <c r="AD7"/>
      <c r="AE7"/>
      <c r="AF7"/>
      <c r="AG7"/>
      <c r="AH7"/>
    </row>
    <row r="8" spans="1:35" s="70" customFormat="1" ht="34.5" customHeight="1">
      <c r="A8" s="1140" t="s">
        <v>197</v>
      </c>
      <c r="B8" s="1141" t="s">
        <v>203</v>
      </c>
      <c r="C8" s="1146"/>
      <c r="D8" s="410"/>
      <c r="E8" s="3563" t="str">
        <f>CONCATENATE("As set out in cl.6.1 of the ", dms_TradingName, " RIN, for tables 7.1 to 7.2, where the requested data is captured in the ", dms_TradingName, " capex model it is not required to be reentered in the RIN template tables.  If the requested data has not been provided in the ", dms_TradingName, " RIN please enter into the tables. This may require the insertion of new lines in each table.")</f>
        <v>As set out in cl.6.1 of the AusNet (Gas) RIN, for tables 7.1 to 7.2,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F8" s="3563"/>
      <c r="G8" s="3563"/>
      <c r="H8" s="3563"/>
      <c r="I8" s="3563"/>
      <c r="J8" s="3563"/>
      <c r="K8" s="3563"/>
      <c r="L8" s="3563"/>
      <c r="M8" s="288"/>
      <c r="N8" s="288"/>
      <c r="O8" s="288"/>
      <c r="P8" s="288"/>
      <c r="Q8" s="288"/>
      <c r="R8" s="288"/>
      <c r="S8" s="288"/>
      <c r="T8" s="539"/>
      <c r="U8" s="539"/>
      <c r="V8" s="539"/>
      <c r="W8"/>
      <c r="X8"/>
      <c r="Y8"/>
      <c r="Z8"/>
      <c r="AA8"/>
      <c r="AB8"/>
      <c r="AC8"/>
      <c r="AD8"/>
      <c r="AE8"/>
      <c r="AF8"/>
      <c r="AG8"/>
      <c r="AH8"/>
    </row>
    <row r="9" spans="1:35" s="70" customFormat="1" ht="39" customHeight="1">
      <c r="A9" s="1140" t="s">
        <v>198</v>
      </c>
      <c r="B9" s="1141" t="s">
        <v>204</v>
      </c>
      <c r="C9" s="1146"/>
      <c r="D9" s="410"/>
      <c r="E9" s="3563" t="s">
        <v>459</v>
      </c>
      <c r="F9" s="3563"/>
      <c r="G9" s="3563"/>
      <c r="H9" s="3563"/>
      <c r="I9" s="3563"/>
      <c r="J9" s="3563"/>
      <c r="K9" s="3563"/>
      <c r="L9" s="3563"/>
      <c r="M9" s="288"/>
      <c r="N9" s="288"/>
      <c r="O9" s="288"/>
      <c r="P9" s="288"/>
      <c r="Q9" s="288"/>
      <c r="R9" s="288"/>
      <c r="S9" s="288"/>
      <c r="T9" s="539"/>
      <c r="U9" s="539"/>
      <c r="V9" s="539"/>
      <c r="W9" s="539"/>
      <c r="X9"/>
      <c r="Y9"/>
      <c r="Z9"/>
      <c r="AA9"/>
      <c r="AB9"/>
      <c r="AC9"/>
      <c r="AD9"/>
      <c r="AE9"/>
      <c r="AF9"/>
      <c r="AG9"/>
      <c r="AH9"/>
    </row>
    <row r="10" spans="1:35" s="95" customFormat="1" ht="34.5" customHeight="1">
      <c r="A10" s="1140" t="s">
        <v>194</v>
      </c>
      <c r="B10" s="1141" t="s">
        <v>200</v>
      </c>
      <c r="C10" s="1147"/>
      <c r="D10" s="541"/>
      <c r="E10" s="3563"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0" s="3563"/>
      <c r="G10" s="3563"/>
      <c r="H10" s="3563"/>
      <c r="I10" s="3563"/>
      <c r="J10" s="3563"/>
      <c r="K10" s="3563"/>
      <c r="L10" s="3563"/>
      <c r="M10" s="542"/>
      <c r="N10" s="542"/>
      <c r="O10" s="543"/>
      <c r="P10" s="543"/>
      <c r="Q10" s="541"/>
      <c r="R10" s="541"/>
      <c r="S10" s="541"/>
      <c r="T10" s="541"/>
      <c r="U10" s="541"/>
      <c r="V10" s="541"/>
      <c r="W10" s="541"/>
      <c r="X10"/>
      <c r="Y10"/>
      <c r="Z10"/>
      <c r="AA10"/>
      <c r="AB10"/>
      <c r="AC10"/>
      <c r="AD10"/>
      <c r="AE10"/>
      <c r="AG10" s="542"/>
      <c r="AH10" s="542"/>
    </row>
    <row r="11" spans="1:35" s="95" customFormat="1" ht="22.5" customHeight="1">
      <c r="A11" s="1140" t="s">
        <v>199</v>
      </c>
      <c r="B11" s="1141" t="s">
        <v>205</v>
      </c>
      <c r="C11" s="1147"/>
      <c r="D11" s="541"/>
      <c r="E11" s="3563" t="s">
        <v>161</v>
      </c>
      <c r="F11" s="3563"/>
      <c r="G11" s="3563"/>
      <c r="H11" s="3617"/>
      <c r="I11" s="3617"/>
      <c r="J11" s="3617"/>
      <c r="K11" s="3617"/>
      <c r="L11" s="3617"/>
      <c r="M11" s="542"/>
      <c r="N11" s="542"/>
      <c r="O11" s="543"/>
      <c r="P11" s="543"/>
      <c r="Q11" s="541"/>
      <c r="R11" s="541"/>
      <c r="S11" s="541"/>
      <c r="T11" s="541"/>
      <c r="U11" s="541"/>
      <c r="V11" s="541"/>
      <c r="W11" s="541"/>
      <c r="X11"/>
      <c r="Y11"/>
      <c r="Z11"/>
      <c r="AA11"/>
      <c r="AB11"/>
      <c r="AC11"/>
      <c r="AD11"/>
      <c r="AE11"/>
      <c r="AG11" s="542"/>
      <c r="AH11" s="542"/>
    </row>
    <row r="12" spans="1:35" s="79" customFormat="1" ht="28.5" customHeight="1" thickBot="1">
      <c r="A12" s="1142" t="s">
        <v>289</v>
      </c>
      <c r="B12" s="1143" t="s">
        <v>633</v>
      </c>
      <c r="C12" s="1148"/>
      <c r="D12" s="308"/>
      <c r="E12" s="565"/>
      <c r="F12" s="565"/>
      <c r="G12" s="565"/>
      <c r="H12" s="308"/>
      <c r="I12" s="308"/>
      <c r="J12" s="308"/>
      <c r="K12" s="308"/>
      <c r="L12" s="308"/>
      <c r="M12" s="308"/>
      <c r="N12" s="308"/>
      <c r="O12" s="308"/>
      <c r="P12" s="308"/>
      <c r="Q12" s="308"/>
      <c r="R12" s="308"/>
      <c r="S12" s="308"/>
      <c r="T12" s="308"/>
      <c r="U12" s="308"/>
      <c r="V12" s="308"/>
      <c r="W12" s="308"/>
      <c r="X12"/>
      <c r="Y12"/>
      <c r="Z12"/>
      <c r="AA12" s="565"/>
      <c r="AB12" s="308"/>
      <c r="AC12" s="308"/>
      <c r="AD12" s="308"/>
      <c r="AE12" s="308"/>
      <c r="AF12" s="308"/>
      <c r="AG12" s="308"/>
      <c r="AH12" s="308"/>
    </row>
    <row r="13" spans="1:35" s="66" customFormat="1" ht="45" customHeight="1" thickBot="1">
      <c r="A13" s="288"/>
      <c r="B13" s="288"/>
      <c r="C13" s="288"/>
      <c r="D13" s="288"/>
      <c r="E13" s="288"/>
      <c r="F13" s="288"/>
      <c r="G13" s="288"/>
      <c r="H13" s="288"/>
      <c r="I13" s="288"/>
      <c r="J13" s="288"/>
      <c r="K13" s="288"/>
      <c r="L13" s="288"/>
      <c r="M13" s="288"/>
      <c r="N13" s="288"/>
      <c r="O13" s="288"/>
      <c r="P13" s="288"/>
      <c r="Q13" s="288"/>
      <c r="R13" s="288"/>
      <c r="S13" s="288"/>
      <c r="T13" s="288"/>
      <c r="U13" s="288"/>
      <c r="V13" s="288"/>
      <c r="W13" s="288"/>
      <c r="X13"/>
      <c r="Y13"/>
      <c r="Z13"/>
      <c r="AA13" s="1429"/>
      <c r="AB13" s="1429"/>
      <c r="AC13" s="1429"/>
      <c r="AD13" s="1429"/>
      <c r="AE13" s="1429"/>
      <c r="AF13" s="1429"/>
      <c r="AG13" s="1429"/>
      <c r="AH13" s="1429"/>
    </row>
    <row r="14" spans="1:35" s="1427" customFormat="1" ht="23.25" customHeight="1" thickBot="1">
      <c r="A14" s="308"/>
      <c r="B14" s="308"/>
      <c r="C14" s="308"/>
      <c r="D14" s="308"/>
      <c r="E14" s="856" t="s">
        <v>520</v>
      </c>
      <c r="F14" s="856"/>
      <c r="G14" s="856"/>
      <c r="H14" s="856"/>
      <c r="I14" s="856"/>
      <c r="J14" s="856"/>
      <c r="K14" s="856"/>
      <c r="L14" s="856"/>
      <c r="M14" s="856"/>
      <c r="N14" s="856"/>
      <c r="O14" s="856"/>
      <c r="P14" s="856"/>
      <c r="Q14" s="856"/>
      <c r="R14" s="856"/>
      <c r="S14" s="856"/>
      <c r="T14" s="856"/>
      <c r="U14" s="856"/>
      <c r="V14" s="856"/>
      <c r="W14" s="856"/>
      <c r="AA14" s="856" t="s">
        <v>681</v>
      </c>
      <c r="AB14" s="856"/>
      <c r="AC14" s="856"/>
      <c r="AD14" s="856"/>
      <c r="AE14" s="856"/>
      <c r="AF14" s="856"/>
      <c r="AG14" s="856"/>
      <c r="AH14" s="1465"/>
    </row>
    <row r="15" spans="1:35" s="66" customFormat="1" ht="23.25" customHeight="1" thickBot="1">
      <c r="A15" s="289"/>
      <c r="B15" s="289"/>
      <c r="C15" s="289"/>
      <c r="D15" s="289"/>
      <c r="E15" s="1576" t="s">
        <v>680</v>
      </c>
      <c r="F15" s="1577"/>
      <c r="G15" s="1577"/>
      <c r="H15" s="1577"/>
      <c r="I15" s="1577"/>
      <c r="J15" s="1577"/>
      <c r="K15" s="1577"/>
      <c r="L15" s="1577"/>
      <c r="M15" s="1577"/>
      <c r="N15" s="1577"/>
      <c r="O15" s="1577"/>
      <c r="P15" s="1577"/>
      <c r="Q15" s="1577"/>
      <c r="R15" s="1577"/>
      <c r="S15" s="1577"/>
      <c r="T15" s="1577"/>
      <c r="U15" s="1577"/>
      <c r="V15" s="1577"/>
      <c r="W15" s="1578"/>
      <c r="X15"/>
      <c r="Y15"/>
      <c r="Z15"/>
      <c r="AA15" s="1576"/>
      <c r="AB15" s="1577"/>
      <c r="AC15" s="1577"/>
      <c r="AD15" s="1577"/>
      <c r="AE15" s="1577"/>
      <c r="AF15" s="1577"/>
      <c r="AG15" s="1577"/>
      <c r="AH15" s="1578"/>
    </row>
    <row r="16" spans="1:35" s="529" customFormat="1" ht="51.75" customHeight="1">
      <c r="A16" s="308"/>
      <c r="B16" s="308"/>
      <c r="C16" s="308"/>
      <c r="D16" s="308"/>
      <c r="E16" s="290"/>
      <c r="F16" s="581"/>
      <c r="G16" s="3620" t="s">
        <v>36</v>
      </c>
      <c r="H16" s="3549"/>
      <c r="I16" s="3549"/>
      <c r="J16" s="3549"/>
      <c r="K16" s="3549"/>
      <c r="L16" s="3602" t="s">
        <v>37</v>
      </c>
      <c r="M16" s="3603"/>
      <c r="N16" s="3603"/>
      <c r="O16" s="3603"/>
      <c r="P16" s="3603"/>
      <c r="Q16" s="3637" t="s">
        <v>365</v>
      </c>
      <c r="R16" s="3543" t="s">
        <v>73</v>
      </c>
      <c r="S16" s="3549"/>
      <c r="T16" s="3549"/>
      <c r="U16" s="3549"/>
      <c r="V16" s="3636"/>
      <c r="W16" s="3682" t="s">
        <v>162</v>
      </c>
      <c r="X16"/>
      <c r="Y16"/>
      <c r="Z16"/>
      <c r="AA16" s="3601" t="s">
        <v>36</v>
      </c>
      <c r="AB16" s="3549"/>
      <c r="AC16" s="3549"/>
      <c r="AD16" s="3549"/>
      <c r="AE16" s="3549"/>
      <c r="AF16" s="3602" t="s">
        <v>37</v>
      </c>
      <c r="AG16" s="3603"/>
      <c r="AH16" s="3604"/>
    </row>
    <row r="17" spans="1:34" s="529" customFormat="1" ht="36" customHeight="1">
      <c r="A17" s="308"/>
      <c r="B17" s="308"/>
      <c r="C17" s="308"/>
      <c r="D17" s="308"/>
      <c r="E17" s="292"/>
      <c r="F17" s="582"/>
      <c r="G17" s="3550" t="s">
        <v>579</v>
      </c>
      <c r="H17" s="3551"/>
      <c r="I17" s="3551"/>
      <c r="J17" s="3551"/>
      <c r="K17" s="3551"/>
      <c r="L17" s="3551"/>
      <c r="M17" s="3551"/>
      <c r="N17" s="3551"/>
      <c r="O17" s="3590" t="s">
        <v>578</v>
      </c>
      <c r="P17" s="3615"/>
      <c r="Q17" s="3638"/>
      <c r="R17" s="3593" t="str">
        <f>CONCATENATE("$0's, real ",dms_DollarReal)</f>
        <v>$0's, real December 2017</v>
      </c>
      <c r="S17" s="3593"/>
      <c r="T17" s="3593"/>
      <c r="U17" s="3593"/>
      <c r="V17" s="3684"/>
      <c r="W17" s="3683"/>
      <c r="X17"/>
      <c r="Y17"/>
      <c r="Z17"/>
      <c r="AA17" s="3550" t="str">
        <f>CONCATENATE("$0's, real ",dms_DollarReal)</f>
        <v>$0's, real December 2017</v>
      </c>
      <c r="AB17" s="3551"/>
      <c r="AC17" s="3551"/>
      <c r="AD17" s="3551"/>
      <c r="AE17" s="3551"/>
      <c r="AF17" s="3551"/>
      <c r="AG17" s="3551"/>
      <c r="AH17" s="3552"/>
    </row>
    <row r="18" spans="1:34" s="529" customFormat="1" ht="35.25" customHeight="1">
      <c r="A18" s="423" t="s">
        <v>192</v>
      </c>
      <c r="B18" s="423" t="s">
        <v>193</v>
      </c>
      <c r="C18" s="564" t="s">
        <v>206</v>
      </c>
      <c r="D18" s="288"/>
      <c r="E18" s="292"/>
      <c r="F18" s="582"/>
      <c r="G18" s="3550" t="s">
        <v>54</v>
      </c>
      <c r="H18" s="3551"/>
      <c r="I18" s="3551"/>
      <c r="J18" s="3551"/>
      <c r="K18" s="3551"/>
      <c r="L18" s="3551"/>
      <c r="M18" s="3551"/>
      <c r="N18" s="3595"/>
      <c r="O18" s="3589" t="s">
        <v>55</v>
      </c>
      <c r="P18" s="3615"/>
      <c r="Q18" s="422" t="s">
        <v>356</v>
      </c>
      <c r="R18" s="3593" t="s">
        <v>55</v>
      </c>
      <c r="S18" s="3593"/>
      <c r="T18" s="3593"/>
      <c r="U18" s="3593"/>
      <c r="V18" s="3684"/>
      <c r="W18" s="3683"/>
      <c r="X18"/>
      <c r="Y18"/>
      <c r="Z18"/>
      <c r="AA18" s="3550" t="s">
        <v>54</v>
      </c>
      <c r="AB18" s="3551"/>
      <c r="AC18" s="3551"/>
      <c r="AD18" s="3551"/>
      <c r="AE18" s="3551"/>
      <c r="AF18" s="3551"/>
      <c r="AG18" s="3551"/>
      <c r="AH18" s="3552"/>
    </row>
    <row r="19" spans="1:34" s="529" customFormat="1" ht="21" customHeight="1" thickBot="1">
      <c r="A19" s="66"/>
      <c r="B19" s="66"/>
      <c r="C19" s="66"/>
      <c r="D19" s="288"/>
      <c r="E19" s="583"/>
      <c r="F19" s="584"/>
      <c r="G19" s="393">
        <f t="array" ref="G19:K19">PRCP</f>
        <v>2008</v>
      </c>
      <c r="H19" s="394">
        <v>2009</v>
      </c>
      <c r="I19" s="394">
        <v>2010</v>
      </c>
      <c r="J19" s="394">
        <v>2011</v>
      </c>
      <c r="K19" s="394">
        <v>2012</v>
      </c>
      <c r="L19" s="395">
        <f>CRCP_y1</f>
        <v>2013</v>
      </c>
      <c r="M19" s="395">
        <f>CRCP_y2</f>
        <v>2014</v>
      </c>
      <c r="N19" s="395">
        <f>CRCP_y3</f>
        <v>2015</v>
      </c>
      <c r="O19" s="395">
        <f>CRCP_y4</f>
        <v>2016</v>
      </c>
      <c r="P19" s="395">
        <f>CRCP_y5</f>
        <v>2017</v>
      </c>
      <c r="Q19" s="396" t="s">
        <v>116</v>
      </c>
      <c r="R19" s="394" t="str">
        <f t="array" ref="R19:V19">FRCP</f>
        <v>2018</v>
      </c>
      <c r="S19" s="394">
        <v>2019</v>
      </c>
      <c r="T19" s="394">
        <v>2020</v>
      </c>
      <c r="U19" s="394">
        <v>2021</v>
      </c>
      <c r="V19" s="397">
        <v>2022</v>
      </c>
      <c r="W19" s="398"/>
      <c r="X19"/>
      <c r="Y19"/>
      <c r="Z19"/>
      <c r="AA19" s="1487">
        <f t="array" ref="AA19:AE19">PRCP</f>
        <v>2008</v>
      </c>
      <c r="AB19" s="1488">
        <v>2009</v>
      </c>
      <c r="AC19" s="1488">
        <v>2010</v>
      </c>
      <c r="AD19" s="1488">
        <v>2011</v>
      </c>
      <c r="AE19" s="1488">
        <v>2012</v>
      </c>
      <c r="AF19" s="395">
        <f>CRCP_y1</f>
        <v>2013</v>
      </c>
      <c r="AG19" s="395">
        <f>CRCP_y2</f>
        <v>2014</v>
      </c>
      <c r="AH19" s="2117">
        <f>CRCP_y3</f>
        <v>2015</v>
      </c>
    </row>
    <row r="20" spans="1:34" s="79" customFormat="1" ht="40.5" customHeight="1" thickBot="1">
      <c r="A20" s="308"/>
      <c r="B20" s="308"/>
      <c r="C20" s="308"/>
      <c r="D20" s="308"/>
      <c r="E20" s="3690" t="s">
        <v>374</v>
      </c>
      <c r="F20" s="3691"/>
      <c r="G20" s="2043"/>
      <c r="H20" s="2044"/>
      <c r="I20" s="2044"/>
      <c r="J20" s="2044"/>
      <c r="K20" s="2044"/>
      <c r="L20" s="2044"/>
      <c r="M20" s="2044"/>
      <c r="N20" s="2044"/>
      <c r="O20" s="2044"/>
      <c r="P20" s="2044"/>
      <c r="Q20" s="2044"/>
      <c r="R20" s="2044"/>
      <c r="S20" s="2044"/>
      <c r="T20" s="2044"/>
      <c r="U20" s="2044"/>
      <c r="V20" s="2044"/>
      <c r="W20" s="2045"/>
      <c r="X20"/>
      <c r="Y20"/>
      <c r="Z20"/>
      <c r="AA20" s="2165"/>
      <c r="AB20" s="2044"/>
      <c r="AC20" s="2044"/>
      <c r="AD20" s="2044"/>
      <c r="AE20" s="2044"/>
      <c r="AF20" s="2044"/>
      <c r="AG20" s="2044"/>
      <c r="AH20" s="2045"/>
    </row>
    <row r="21" spans="1:34" s="529" customFormat="1" ht="27.75" customHeight="1" outlineLevel="1">
      <c r="A21" s="79"/>
      <c r="B21" s="79"/>
      <c r="C21" s="79"/>
      <c r="D21" s="308"/>
      <c r="E21" s="577" t="s">
        <v>373</v>
      </c>
      <c r="F21" s="1016" t="s">
        <v>629</v>
      </c>
      <c r="G21" s="2033"/>
      <c r="H21" s="2034"/>
      <c r="I21" s="2034"/>
      <c r="J21" s="2034"/>
      <c r="K21" s="2046"/>
      <c r="L21" s="599"/>
      <c r="M21" s="600"/>
      <c r="N21" s="600"/>
      <c r="O21" s="600"/>
      <c r="P21" s="601"/>
      <c r="Q21" s="1441"/>
      <c r="R21" s="600"/>
      <c r="S21" s="600"/>
      <c r="T21" s="600"/>
      <c r="U21" s="600"/>
      <c r="V21" s="601"/>
      <c r="W21" s="3692"/>
      <c r="X21"/>
      <c r="Y21"/>
      <c r="Z21"/>
      <c r="AA21" s="588"/>
      <c r="AB21" s="589"/>
      <c r="AC21" s="589"/>
      <c r="AD21" s="589"/>
      <c r="AE21" s="590"/>
      <c r="AF21" s="599"/>
      <c r="AG21" s="600"/>
      <c r="AH21" s="601"/>
    </row>
    <row r="22" spans="1:34" s="529" customFormat="1" ht="12.75" customHeight="1" outlineLevel="1">
      <c r="A22" s="79"/>
      <c r="B22" s="79"/>
      <c r="C22" s="79"/>
      <c r="D22" s="308"/>
      <c r="E22" s="554"/>
      <c r="F22" s="575" t="s">
        <v>595</v>
      </c>
      <c r="G22" s="2035"/>
      <c r="H22" s="2036"/>
      <c r="I22" s="2036"/>
      <c r="J22" s="2036"/>
      <c r="K22" s="2047"/>
      <c r="L22" s="514"/>
      <c r="M22" s="513"/>
      <c r="N22" s="513"/>
      <c r="O22" s="513"/>
      <c r="P22" s="515"/>
      <c r="Q22" s="1442"/>
      <c r="R22" s="467"/>
      <c r="S22" s="513"/>
      <c r="T22" s="513"/>
      <c r="U22" s="513"/>
      <c r="V22" s="515"/>
      <c r="W22" s="3693"/>
      <c r="X22"/>
      <c r="Y22"/>
      <c r="Z22"/>
      <c r="AA22" s="525"/>
      <c r="AB22" s="523"/>
      <c r="AC22" s="523"/>
      <c r="AD22" s="523"/>
      <c r="AE22" s="591"/>
      <c r="AF22" s="517"/>
      <c r="AG22" s="518"/>
      <c r="AH22" s="519"/>
    </row>
    <row r="23" spans="1:34" s="529" customFormat="1" ht="12.75" customHeight="1" outlineLevel="1">
      <c r="D23" s="308"/>
      <c r="E23" s="554"/>
      <c r="F23" s="575" t="s">
        <v>594</v>
      </c>
      <c r="G23" s="2035"/>
      <c r="H23" s="2036"/>
      <c r="I23" s="2036"/>
      <c r="J23" s="2036"/>
      <c r="K23" s="2047"/>
      <c r="L23" s="514"/>
      <c r="M23" s="513"/>
      <c r="N23" s="513"/>
      <c r="O23" s="513"/>
      <c r="P23" s="515"/>
      <c r="Q23" s="1442"/>
      <c r="R23" s="467"/>
      <c r="S23" s="513"/>
      <c r="T23" s="513"/>
      <c r="U23" s="513"/>
      <c r="V23" s="515"/>
      <c r="W23" s="3693"/>
      <c r="X23"/>
      <c r="Y23"/>
      <c r="Z23"/>
      <c r="AA23" s="525"/>
      <c r="AB23" s="523"/>
      <c r="AC23" s="523"/>
      <c r="AD23" s="523"/>
      <c r="AE23" s="591"/>
      <c r="AF23" s="517"/>
      <c r="AG23" s="518"/>
      <c r="AH23" s="519"/>
    </row>
    <row r="24" spans="1:34" s="529" customFormat="1" ht="12.75" customHeight="1" outlineLevel="1">
      <c r="D24" s="308"/>
      <c r="E24" s="554"/>
      <c r="F24" s="575" t="s">
        <v>614</v>
      </c>
      <c r="G24" s="2035"/>
      <c r="H24" s="2036"/>
      <c r="I24" s="2036"/>
      <c r="J24" s="2036"/>
      <c r="K24" s="2047"/>
      <c r="L24" s="514"/>
      <c r="M24" s="513"/>
      <c r="N24" s="513"/>
      <c r="O24" s="513"/>
      <c r="P24" s="515"/>
      <c r="Q24" s="1442"/>
      <c r="R24" s="467"/>
      <c r="S24" s="513"/>
      <c r="T24" s="513"/>
      <c r="U24" s="513"/>
      <c r="V24" s="515"/>
      <c r="W24" s="3693"/>
      <c r="X24"/>
      <c r="Y24"/>
      <c r="Z24"/>
      <c r="AA24" s="525"/>
      <c r="AB24" s="523"/>
      <c r="AC24" s="523"/>
      <c r="AD24" s="523"/>
      <c r="AE24" s="591"/>
      <c r="AF24" s="517"/>
      <c r="AG24" s="518"/>
      <c r="AH24" s="519"/>
    </row>
    <row r="25" spans="1:34" s="529" customFormat="1" ht="12.75" customHeight="1" outlineLevel="1">
      <c r="D25" s="308"/>
      <c r="E25" s="554"/>
      <c r="F25" s="576" t="s">
        <v>615</v>
      </c>
      <c r="G25" s="514"/>
      <c r="H25" s="513"/>
      <c r="I25" s="513"/>
      <c r="J25" s="513"/>
      <c r="K25" s="515"/>
      <c r="L25" s="401">
        <f t="shared" ref="L25:P25" si="0">SUM(L22:L24)</f>
        <v>0</v>
      </c>
      <c r="M25" s="402">
        <f t="shared" si="0"/>
        <v>0</v>
      </c>
      <c r="N25" s="402">
        <f t="shared" si="0"/>
        <v>0</v>
      </c>
      <c r="O25" s="402">
        <f t="shared" si="0"/>
        <v>0</v>
      </c>
      <c r="P25" s="505">
        <f t="shared" si="0"/>
        <v>0</v>
      </c>
      <c r="Q25" s="1443"/>
      <c r="R25" s="502">
        <f>SUM(R22:R24)</f>
        <v>0</v>
      </c>
      <c r="S25" s="402">
        <f>SUM(S22:S24)</f>
        <v>0</v>
      </c>
      <c r="T25" s="402">
        <f>SUM(T22:T24)</f>
        <v>0</v>
      </c>
      <c r="U25" s="402">
        <f>SUM(U22:U24)</f>
        <v>0</v>
      </c>
      <c r="V25" s="505">
        <f>SUM(V22:V24)</f>
        <v>0</v>
      </c>
      <c r="W25" s="3693"/>
      <c r="X25"/>
      <c r="Y25"/>
      <c r="Z25"/>
      <c r="AA25" s="517"/>
      <c r="AB25" s="518"/>
      <c r="AC25" s="518"/>
      <c r="AD25" s="518"/>
      <c r="AE25" s="519"/>
      <c r="AF25" s="401">
        <f t="shared" ref="AF25:AH25" si="1">SUM(AF22:AF24)</f>
        <v>0</v>
      </c>
      <c r="AG25" s="402">
        <f t="shared" si="1"/>
        <v>0</v>
      </c>
      <c r="AH25" s="505">
        <f t="shared" si="1"/>
        <v>0</v>
      </c>
    </row>
    <row r="26" spans="1:34" s="529" customFormat="1" ht="12.75" customHeight="1" outlineLevel="1">
      <c r="D26" s="308"/>
      <c r="E26" s="554"/>
      <c r="F26" s="575" t="s">
        <v>619</v>
      </c>
      <c r="G26" s="514"/>
      <c r="H26" s="513"/>
      <c r="I26" s="513"/>
      <c r="J26" s="513"/>
      <c r="K26" s="515"/>
      <c r="L26" s="569">
        <v>0</v>
      </c>
      <c r="M26" s="570">
        <v>0</v>
      </c>
      <c r="N26" s="570">
        <v>0</v>
      </c>
      <c r="O26" s="570">
        <v>0</v>
      </c>
      <c r="P26" s="608">
        <v>0</v>
      </c>
      <c r="Q26" s="1442"/>
      <c r="R26" s="561"/>
      <c r="S26" s="532"/>
      <c r="T26" s="532"/>
      <c r="U26" s="532"/>
      <c r="V26" s="579"/>
      <c r="W26" s="3693"/>
      <c r="X26"/>
      <c r="Y26"/>
      <c r="Z26"/>
      <c r="AA26" s="517"/>
      <c r="AB26" s="518"/>
      <c r="AC26" s="518"/>
      <c r="AD26" s="518"/>
      <c r="AE26" s="519"/>
      <c r="AF26" s="569">
        <v>0</v>
      </c>
      <c r="AG26" s="570">
        <v>0</v>
      </c>
      <c r="AH26" s="608">
        <v>0</v>
      </c>
    </row>
    <row r="27" spans="1:34" s="529" customFormat="1" ht="12.75" customHeight="1" outlineLevel="1">
      <c r="D27" s="308"/>
      <c r="E27" s="554"/>
      <c r="F27" s="575" t="s">
        <v>617</v>
      </c>
      <c r="G27" s="514"/>
      <c r="H27" s="513"/>
      <c r="I27" s="513"/>
      <c r="J27" s="513"/>
      <c r="K27" s="515"/>
      <c r="L27" s="517">
        <v>0</v>
      </c>
      <c r="M27" s="518">
        <v>0</v>
      </c>
      <c r="N27" s="518">
        <v>0</v>
      </c>
      <c r="O27" s="518">
        <v>0</v>
      </c>
      <c r="P27" s="519">
        <v>0</v>
      </c>
      <c r="Q27" s="1442"/>
      <c r="R27" s="467"/>
      <c r="S27" s="513"/>
      <c r="T27" s="513"/>
      <c r="U27" s="513"/>
      <c r="V27" s="515"/>
      <c r="W27" s="3693"/>
      <c r="X27"/>
      <c r="Y27"/>
      <c r="Z27"/>
      <c r="AA27" s="517"/>
      <c r="AB27" s="518"/>
      <c r="AC27" s="518"/>
      <c r="AD27" s="518"/>
      <c r="AE27" s="519"/>
      <c r="AF27" s="517">
        <v>0</v>
      </c>
      <c r="AG27" s="518">
        <v>0</v>
      </c>
      <c r="AH27" s="519">
        <v>0</v>
      </c>
    </row>
    <row r="28" spans="1:34" s="529" customFormat="1" ht="12.75" customHeight="1" outlineLevel="1">
      <c r="D28" s="308"/>
      <c r="E28" s="554"/>
      <c r="F28" s="576" t="s">
        <v>620</v>
      </c>
      <c r="G28" s="401">
        <f t="shared" ref="G28:P28" si="2">SUM(G26:G27)</f>
        <v>0</v>
      </c>
      <c r="H28" s="402">
        <f t="shared" si="2"/>
        <v>0</v>
      </c>
      <c r="I28" s="402">
        <f t="shared" si="2"/>
        <v>0</v>
      </c>
      <c r="J28" s="402">
        <f t="shared" si="2"/>
        <v>0</v>
      </c>
      <c r="K28" s="505">
        <f t="shared" si="2"/>
        <v>0</v>
      </c>
      <c r="L28" s="401">
        <f t="shared" si="2"/>
        <v>0</v>
      </c>
      <c r="M28" s="402">
        <f t="shared" si="2"/>
        <v>0</v>
      </c>
      <c r="N28" s="402">
        <f t="shared" si="2"/>
        <v>0</v>
      </c>
      <c r="O28" s="402">
        <f t="shared" si="2"/>
        <v>0</v>
      </c>
      <c r="P28" s="505">
        <f t="shared" si="2"/>
        <v>0</v>
      </c>
      <c r="Q28" s="1443"/>
      <c r="R28" s="502">
        <f>SUM(R26:R27)</f>
        <v>0</v>
      </c>
      <c r="S28" s="402">
        <f>SUM(S26:S27)</f>
        <v>0</v>
      </c>
      <c r="T28" s="402">
        <f>SUM(T26:T27)</f>
        <v>0</v>
      </c>
      <c r="U28" s="402">
        <f>SUM(U26:U27)</f>
        <v>0</v>
      </c>
      <c r="V28" s="505">
        <f>SUM(V26:V27)</f>
        <v>0</v>
      </c>
      <c r="W28" s="3693"/>
      <c r="X28"/>
      <c r="Y28"/>
      <c r="Z28"/>
      <c r="AA28" s="401">
        <f t="shared" ref="AA28:AH28" si="3">SUM(AA26:AA27)</f>
        <v>0</v>
      </c>
      <c r="AB28" s="402">
        <f t="shared" si="3"/>
        <v>0</v>
      </c>
      <c r="AC28" s="402">
        <f t="shared" si="3"/>
        <v>0</v>
      </c>
      <c r="AD28" s="402">
        <f t="shared" si="3"/>
        <v>0</v>
      </c>
      <c r="AE28" s="505">
        <f t="shared" si="3"/>
        <v>0</v>
      </c>
      <c r="AF28" s="401">
        <f t="shared" si="3"/>
        <v>0</v>
      </c>
      <c r="AG28" s="402">
        <f t="shared" si="3"/>
        <v>0</v>
      </c>
      <c r="AH28" s="505">
        <f t="shared" si="3"/>
        <v>0</v>
      </c>
    </row>
    <row r="29" spans="1:34" s="529" customFormat="1" ht="12.75" customHeight="1" outlineLevel="1">
      <c r="D29" s="308"/>
      <c r="E29" s="554"/>
      <c r="F29" s="575" t="s">
        <v>35</v>
      </c>
      <c r="G29" s="514"/>
      <c r="H29" s="513"/>
      <c r="I29" s="513"/>
      <c r="J29" s="513"/>
      <c r="K29" s="515"/>
      <c r="L29" s="514"/>
      <c r="M29" s="513"/>
      <c r="N29" s="513"/>
      <c r="O29" s="513"/>
      <c r="P29" s="515"/>
      <c r="Q29" s="1442"/>
      <c r="R29" s="467"/>
      <c r="S29" s="513"/>
      <c r="T29" s="513"/>
      <c r="U29" s="513"/>
      <c r="V29" s="515"/>
      <c r="W29" s="3693"/>
      <c r="X29"/>
      <c r="Y29"/>
      <c r="Z29"/>
      <c r="AA29" s="517"/>
      <c r="AB29" s="518"/>
      <c r="AC29" s="518"/>
      <c r="AD29" s="518"/>
      <c r="AE29" s="519"/>
      <c r="AF29" s="517"/>
      <c r="AG29" s="518"/>
      <c r="AH29" s="519"/>
    </row>
    <row r="30" spans="1:34" s="529" customFormat="1" ht="12.75" customHeight="1" outlineLevel="1" thickBot="1">
      <c r="D30" s="308"/>
      <c r="E30" s="555"/>
      <c r="F30" s="1753" t="s">
        <v>621</v>
      </c>
      <c r="G30" s="404">
        <f t="shared" ref="G30:P30" si="4">G28-G29</f>
        <v>0</v>
      </c>
      <c r="H30" s="405">
        <f t="shared" si="4"/>
        <v>0</v>
      </c>
      <c r="I30" s="405">
        <f t="shared" si="4"/>
        <v>0</v>
      </c>
      <c r="J30" s="405">
        <f t="shared" si="4"/>
        <v>0</v>
      </c>
      <c r="K30" s="560">
        <f t="shared" si="4"/>
        <v>0</v>
      </c>
      <c r="L30" s="404">
        <f t="shared" si="4"/>
        <v>0</v>
      </c>
      <c r="M30" s="405">
        <f t="shared" ref="M30" si="5">M28-M29</f>
        <v>0</v>
      </c>
      <c r="N30" s="405">
        <f t="shared" si="4"/>
        <v>0</v>
      </c>
      <c r="O30" s="405">
        <f t="shared" si="4"/>
        <v>0</v>
      </c>
      <c r="P30" s="560">
        <f t="shared" si="4"/>
        <v>0</v>
      </c>
      <c r="Q30" s="1444"/>
      <c r="R30" s="559">
        <f>R28-R29</f>
        <v>0</v>
      </c>
      <c r="S30" s="405">
        <f>S28-S29</f>
        <v>0</v>
      </c>
      <c r="T30" s="405">
        <f>T28-T29</f>
        <v>0</v>
      </c>
      <c r="U30" s="405">
        <f>U28-U29</f>
        <v>0</v>
      </c>
      <c r="V30" s="560">
        <f>V28-V29</f>
        <v>0</v>
      </c>
      <c r="W30" s="3694"/>
      <c r="X30"/>
      <c r="Y30"/>
      <c r="Z30"/>
      <c r="AA30" s="1710">
        <f t="shared" ref="AA30:AH30" si="6">AA28-AA29</f>
        <v>0</v>
      </c>
      <c r="AB30" s="405">
        <f t="shared" si="6"/>
        <v>0</v>
      </c>
      <c r="AC30" s="405">
        <f t="shared" si="6"/>
        <v>0</v>
      </c>
      <c r="AD30" s="405">
        <f t="shared" si="6"/>
        <v>0</v>
      </c>
      <c r="AE30" s="560">
        <f t="shared" si="6"/>
        <v>0</v>
      </c>
      <c r="AF30" s="1710">
        <f t="shared" si="6"/>
        <v>0</v>
      </c>
      <c r="AG30" s="405">
        <f t="shared" si="6"/>
        <v>0</v>
      </c>
      <c r="AH30" s="560">
        <f t="shared" si="6"/>
        <v>0</v>
      </c>
    </row>
    <row r="31" spans="1:34" s="529" customFormat="1" ht="23.25" customHeight="1" outlineLevel="1">
      <c r="A31" s="79"/>
      <c r="B31" s="79"/>
      <c r="C31" s="79"/>
      <c r="D31" s="308"/>
      <c r="E31" s="577" t="s">
        <v>373</v>
      </c>
      <c r="F31" s="1016" t="s">
        <v>629</v>
      </c>
      <c r="G31" s="2033"/>
      <c r="H31" s="2034"/>
      <c r="I31" s="2034"/>
      <c r="J31" s="2034"/>
      <c r="K31" s="2046"/>
      <c r="L31" s="599"/>
      <c r="M31" s="600"/>
      <c r="N31" s="600"/>
      <c r="O31" s="600"/>
      <c r="P31" s="601"/>
      <c r="Q31" s="1441"/>
      <c r="R31" s="600"/>
      <c r="S31" s="600"/>
      <c r="T31" s="600"/>
      <c r="U31" s="600"/>
      <c r="V31" s="601"/>
      <c r="W31" s="3692"/>
      <c r="X31"/>
      <c r="Y31"/>
      <c r="Z31"/>
      <c r="AA31" s="588"/>
      <c r="AB31" s="589"/>
      <c r="AC31" s="589"/>
      <c r="AD31" s="589"/>
      <c r="AE31" s="590"/>
      <c r="AF31" s="599"/>
      <c r="AG31" s="600"/>
      <c r="AH31" s="601"/>
    </row>
    <row r="32" spans="1:34" s="529" customFormat="1" ht="12.75" customHeight="1" outlineLevel="1">
      <c r="D32" s="308"/>
      <c r="E32" s="554"/>
      <c r="F32" s="575" t="s">
        <v>595</v>
      </c>
      <c r="G32" s="2035"/>
      <c r="H32" s="2036"/>
      <c r="I32" s="2036"/>
      <c r="J32" s="2036"/>
      <c r="K32" s="2047"/>
      <c r="L32" s="514"/>
      <c r="M32" s="513"/>
      <c r="N32" s="513"/>
      <c r="O32" s="513"/>
      <c r="P32" s="515"/>
      <c r="Q32" s="1442"/>
      <c r="R32" s="467"/>
      <c r="S32" s="513"/>
      <c r="T32" s="513"/>
      <c r="U32" s="513"/>
      <c r="V32" s="515"/>
      <c r="W32" s="3693"/>
      <c r="X32"/>
      <c r="Y32"/>
      <c r="Z32"/>
      <c r="AA32" s="525"/>
      <c r="AB32" s="523"/>
      <c r="AC32" s="523"/>
      <c r="AD32" s="523"/>
      <c r="AE32" s="591"/>
      <c r="AF32" s="517"/>
      <c r="AG32" s="518"/>
      <c r="AH32" s="519"/>
    </row>
    <row r="33" spans="1:34" s="529" customFormat="1" ht="12.75" customHeight="1" outlineLevel="1">
      <c r="D33" s="308"/>
      <c r="E33" s="554"/>
      <c r="F33" s="575" t="s">
        <v>594</v>
      </c>
      <c r="G33" s="2035"/>
      <c r="H33" s="2036"/>
      <c r="I33" s="2036"/>
      <c r="J33" s="2036"/>
      <c r="K33" s="2047"/>
      <c r="L33" s="514"/>
      <c r="M33" s="513"/>
      <c r="N33" s="513"/>
      <c r="O33" s="513"/>
      <c r="P33" s="515"/>
      <c r="Q33" s="1442"/>
      <c r="R33" s="467"/>
      <c r="S33" s="513"/>
      <c r="T33" s="513"/>
      <c r="U33" s="513"/>
      <c r="V33" s="515"/>
      <c r="W33" s="3693"/>
      <c r="X33"/>
      <c r="Y33"/>
      <c r="Z33"/>
      <c r="AA33" s="525"/>
      <c r="AB33" s="523"/>
      <c r="AC33" s="523"/>
      <c r="AD33" s="523"/>
      <c r="AE33" s="591"/>
      <c r="AF33" s="517"/>
      <c r="AG33" s="518"/>
      <c r="AH33" s="519"/>
    </row>
    <row r="34" spans="1:34" s="529" customFormat="1" ht="12.75" customHeight="1" outlineLevel="1">
      <c r="D34" s="308"/>
      <c r="E34" s="554"/>
      <c r="F34" s="575" t="s">
        <v>614</v>
      </c>
      <c r="G34" s="2035"/>
      <c r="H34" s="2036"/>
      <c r="I34" s="2036"/>
      <c r="J34" s="2036"/>
      <c r="K34" s="2047"/>
      <c r="L34" s="514"/>
      <c r="M34" s="513"/>
      <c r="N34" s="513"/>
      <c r="O34" s="513"/>
      <c r="P34" s="515"/>
      <c r="Q34" s="1442"/>
      <c r="R34" s="467"/>
      <c r="S34" s="513"/>
      <c r="T34" s="513"/>
      <c r="U34" s="513"/>
      <c r="V34" s="515"/>
      <c r="W34" s="3693"/>
      <c r="X34"/>
      <c r="Y34"/>
      <c r="Z34"/>
      <c r="AA34" s="525"/>
      <c r="AB34" s="523"/>
      <c r="AC34" s="523"/>
      <c r="AD34" s="523"/>
      <c r="AE34" s="591"/>
      <c r="AF34" s="517"/>
      <c r="AG34" s="518"/>
      <c r="AH34" s="519"/>
    </row>
    <row r="35" spans="1:34" s="529" customFormat="1" ht="12.75" customHeight="1" outlineLevel="1">
      <c r="D35" s="308"/>
      <c r="E35" s="554"/>
      <c r="F35" s="576" t="s">
        <v>615</v>
      </c>
      <c r="G35" s="514"/>
      <c r="H35" s="513"/>
      <c r="I35" s="513"/>
      <c r="J35" s="513"/>
      <c r="K35" s="515"/>
      <c r="L35" s="401">
        <f t="shared" ref="L35:P35" si="7">SUM(L32:L34)</f>
        <v>0</v>
      </c>
      <c r="M35" s="402">
        <f t="shared" si="7"/>
        <v>0</v>
      </c>
      <c r="N35" s="402">
        <f t="shared" si="7"/>
        <v>0</v>
      </c>
      <c r="O35" s="402">
        <f t="shared" si="7"/>
        <v>0</v>
      </c>
      <c r="P35" s="505">
        <f t="shared" si="7"/>
        <v>0</v>
      </c>
      <c r="Q35" s="1443"/>
      <c r="R35" s="502">
        <f>SUM(R32:R34)</f>
        <v>0</v>
      </c>
      <c r="S35" s="402">
        <f>SUM(S32:S34)</f>
        <v>0</v>
      </c>
      <c r="T35" s="402">
        <f>SUM(T32:T34)</f>
        <v>0</v>
      </c>
      <c r="U35" s="402">
        <f>SUM(U32:U34)</f>
        <v>0</v>
      </c>
      <c r="V35" s="505">
        <f>SUM(V32:V34)</f>
        <v>0</v>
      </c>
      <c r="W35" s="3693"/>
      <c r="X35"/>
      <c r="Y35"/>
      <c r="Z35"/>
      <c r="AA35" s="517"/>
      <c r="AB35" s="518"/>
      <c r="AC35" s="518"/>
      <c r="AD35" s="518"/>
      <c r="AE35" s="519"/>
      <c r="AF35" s="401">
        <f t="shared" ref="AF35:AH35" si="8">SUM(AF32:AF34)</f>
        <v>0</v>
      </c>
      <c r="AG35" s="402">
        <f t="shared" si="8"/>
        <v>0</v>
      </c>
      <c r="AH35" s="505">
        <f t="shared" si="8"/>
        <v>0</v>
      </c>
    </row>
    <row r="36" spans="1:34" s="529" customFormat="1" ht="12.75" customHeight="1" outlineLevel="1">
      <c r="D36" s="308"/>
      <c r="E36" s="554"/>
      <c r="F36" s="575" t="s">
        <v>619</v>
      </c>
      <c r="G36" s="514"/>
      <c r="H36" s="513"/>
      <c r="I36" s="513"/>
      <c r="J36" s="513"/>
      <c r="K36" s="515"/>
      <c r="L36" s="569">
        <v>0</v>
      </c>
      <c r="M36" s="570">
        <v>0</v>
      </c>
      <c r="N36" s="570">
        <v>0</v>
      </c>
      <c r="O36" s="570">
        <v>0</v>
      </c>
      <c r="P36" s="608">
        <v>0</v>
      </c>
      <c r="Q36" s="1442"/>
      <c r="R36" s="561"/>
      <c r="S36" s="532"/>
      <c r="T36" s="532"/>
      <c r="U36" s="532"/>
      <c r="V36" s="579"/>
      <c r="W36" s="3693"/>
      <c r="X36"/>
      <c r="Y36"/>
      <c r="Z36"/>
      <c r="AA36" s="517"/>
      <c r="AB36" s="518"/>
      <c r="AC36" s="518"/>
      <c r="AD36" s="518"/>
      <c r="AE36" s="519"/>
      <c r="AF36" s="569">
        <v>0</v>
      </c>
      <c r="AG36" s="570">
        <v>0</v>
      </c>
      <c r="AH36" s="608">
        <v>0</v>
      </c>
    </row>
    <row r="37" spans="1:34" s="529" customFormat="1" ht="12.75" customHeight="1" outlineLevel="1">
      <c r="D37" s="308"/>
      <c r="E37" s="554"/>
      <c r="F37" s="575" t="s">
        <v>617</v>
      </c>
      <c r="G37" s="514"/>
      <c r="H37" s="513"/>
      <c r="I37" s="513"/>
      <c r="J37" s="513"/>
      <c r="K37" s="515"/>
      <c r="L37" s="517">
        <v>0</v>
      </c>
      <c r="M37" s="518">
        <v>0</v>
      </c>
      <c r="N37" s="518">
        <v>0</v>
      </c>
      <c r="O37" s="518">
        <v>0</v>
      </c>
      <c r="P37" s="519">
        <v>0</v>
      </c>
      <c r="Q37" s="1442"/>
      <c r="R37" s="467"/>
      <c r="S37" s="513"/>
      <c r="T37" s="513"/>
      <c r="U37" s="513"/>
      <c r="V37" s="515"/>
      <c r="W37" s="3693"/>
      <c r="X37"/>
      <c r="Y37"/>
      <c r="Z37"/>
      <c r="AA37" s="517"/>
      <c r="AB37" s="518"/>
      <c r="AC37" s="518"/>
      <c r="AD37" s="518"/>
      <c r="AE37" s="519"/>
      <c r="AF37" s="517">
        <v>0</v>
      </c>
      <c r="AG37" s="518">
        <v>0</v>
      </c>
      <c r="AH37" s="519">
        <v>0</v>
      </c>
    </row>
    <row r="38" spans="1:34" s="529" customFormat="1" ht="12.75" customHeight="1" outlineLevel="1">
      <c r="D38" s="308"/>
      <c r="E38" s="554"/>
      <c r="F38" s="576" t="s">
        <v>620</v>
      </c>
      <c r="G38" s="401">
        <f t="shared" ref="G38:P38" si="9">SUM(G36:G37)</f>
        <v>0</v>
      </c>
      <c r="H38" s="402">
        <f t="shared" si="9"/>
        <v>0</v>
      </c>
      <c r="I38" s="402">
        <f t="shared" si="9"/>
        <v>0</v>
      </c>
      <c r="J38" s="402">
        <f t="shared" si="9"/>
        <v>0</v>
      </c>
      <c r="K38" s="505">
        <f t="shared" si="9"/>
        <v>0</v>
      </c>
      <c r="L38" s="401">
        <f t="shared" si="9"/>
        <v>0</v>
      </c>
      <c r="M38" s="402">
        <f t="shared" si="9"/>
        <v>0</v>
      </c>
      <c r="N38" s="402">
        <f t="shared" si="9"/>
        <v>0</v>
      </c>
      <c r="O38" s="402">
        <f t="shared" si="9"/>
        <v>0</v>
      </c>
      <c r="P38" s="505">
        <f t="shared" si="9"/>
        <v>0</v>
      </c>
      <c r="Q38" s="1443"/>
      <c r="R38" s="502">
        <f>SUM(R36:R37)</f>
        <v>0</v>
      </c>
      <c r="S38" s="402">
        <f>SUM(S36:S37)</f>
        <v>0</v>
      </c>
      <c r="T38" s="402">
        <f>SUM(T36:T37)</f>
        <v>0</v>
      </c>
      <c r="U38" s="402">
        <f>SUM(U36:U37)</f>
        <v>0</v>
      </c>
      <c r="V38" s="505">
        <f>SUM(V36:V37)</f>
        <v>0</v>
      </c>
      <c r="W38" s="3693"/>
      <c r="X38"/>
      <c r="Y38"/>
      <c r="Z38"/>
      <c r="AA38" s="401">
        <f t="shared" ref="AA38:AH38" si="10">SUM(AA36:AA37)</f>
        <v>0</v>
      </c>
      <c r="AB38" s="402">
        <f t="shared" si="10"/>
        <v>0</v>
      </c>
      <c r="AC38" s="402">
        <f t="shared" si="10"/>
        <v>0</v>
      </c>
      <c r="AD38" s="402">
        <f t="shared" si="10"/>
        <v>0</v>
      </c>
      <c r="AE38" s="505">
        <f t="shared" si="10"/>
        <v>0</v>
      </c>
      <c r="AF38" s="401">
        <f t="shared" si="10"/>
        <v>0</v>
      </c>
      <c r="AG38" s="402">
        <f t="shared" si="10"/>
        <v>0</v>
      </c>
      <c r="AH38" s="505">
        <f t="shared" si="10"/>
        <v>0</v>
      </c>
    </row>
    <row r="39" spans="1:34" s="529" customFormat="1" ht="12.75" customHeight="1" outlineLevel="1">
      <c r="D39" s="308"/>
      <c r="E39" s="554"/>
      <c r="F39" s="575" t="s">
        <v>35</v>
      </c>
      <c r="G39" s="514"/>
      <c r="H39" s="513"/>
      <c r="I39" s="513"/>
      <c r="J39" s="513"/>
      <c r="K39" s="515"/>
      <c r="L39" s="514"/>
      <c r="M39" s="513"/>
      <c r="N39" s="513"/>
      <c r="O39" s="513"/>
      <c r="P39" s="515"/>
      <c r="Q39" s="1442"/>
      <c r="R39" s="467"/>
      <c r="S39" s="513"/>
      <c r="T39" s="513"/>
      <c r="U39" s="513"/>
      <c r="V39" s="515"/>
      <c r="W39" s="3693"/>
      <c r="X39"/>
      <c r="Y39"/>
      <c r="Z39"/>
      <c r="AA39" s="517"/>
      <c r="AB39" s="518"/>
      <c r="AC39" s="518"/>
      <c r="AD39" s="518"/>
      <c r="AE39" s="519"/>
      <c r="AF39" s="517"/>
      <c r="AG39" s="518"/>
      <c r="AH39" s="519"/>
    </row>
    <row r="40" spans="1:34" s="529" customFormat="1" ht="12.75" customHeight="1" outlineLevel="1" thickBot="1">
      <c r="D40" s="308"/>
      <c r="E40" s="554"/>
      <c r="F40" s="1753" t="s">
        <v>621</v>
      </c>
      <c r="G40" s="404">
        <f t="shared" ref="G40:P40" si="11">G38-G39</f>
        <v>0</v>
      </c>
      <c r="H40" s="405">
        <f t="shared" si="11"/>
        <v>0</v>
      </c>
      <c r="I40" s="405">
        <f t="shared" si="11"/>
        <v>0</v>
      </c>
      <c r="J40" s="405">
        <f t="shared" si="11"/>
        <v>0</v>
      </c>
      <c r="K40" s="560">
        <f t="shared" si="11"/>
        <v>0</v>
      </c>
      <c r="L40" s="404">
        <f t="shared" si="11"/>
        <v>0</v>
      </c>
      <c r="M40" s="405">
        <f t="shared" si="11"/>
        <v>0</v>
      </c>
      <c r="N40" s="405">
        <f t="shared" si="11"/>
        <v>0</v>
      </c>
      <c r="O40" s="405">
        <f t="shared" si="11"/>
        <v>0</v>
      </c>
      <c r="P40" s="560">
        <f t="shared" si="11"/>
        <v>0</v>
      </c>
      <c r="Q40" s="1444"/>
      <c r="R40" s="559">
        <f>R38-R39</f>
        <v>0</v>
      </c>
      <c r="S40" s="405">
        <f>S38-S39</f>
        <v>0</v>
      </c>
      <c r="T40" s="405">
        <f>T38-T39</f>
        <v>0</v>
      </c>
      <c r="U40" s="405">
        <f>U38-U39</f>
        <v>0</v>
      </c>
      <c r="V40" s="560">
        <f>V38-V39</f>
        <v>0</v>
      </c>
      <c r="W40" s="3694"/>
      <c r="X40"/>
      <c r="Y40"/>
      <c r="Z40"/>
      <c r="AA40" s="1710">
        <f t="shared" ref="AA40:AH40" si="12">AA38-AA39</f>
        <v>0</v>
      </c>
      <c r="AB40" s="405">
        <f t="shared" si="12"/>
        <v>0</v>
      </c>
      <c r="AC40" s="405">
        <f t="shared" si="12"/>
        <v>0</v>
      </c>
      <c r="AD40" s="405">
        <f t="shared" si="12"/>
        <v>0</v>
      </c>
      <c r="AE40" s="560">
        <f t="shared" si="12"/>
        <v>0</v>
      </c>
      <c r="AF40" s="1710">
        <f t="shared" si="12"/>
        <v>0</v>
      </c>
      <c r="AG40" s="405">
        <f t="shared" si="12"/>
        <v>0</v>
      </c>
      <c r="AH40" s="560">
        <f t="shared" si="12"/>
        <v>0</v>
      </c>
    </row>
    <row r="41" spans="1:34" s="529" customFormat="1" ht="18">
      <c r="D41" s="308"/>
      <c r="E41" s="2048" t="str">
        <f>CONCATENATE(E20, " Totals")</f>
        <v>&lt; insert sub-category &gt; Totals</v>
      </c>
      <c r="F41" s="2049" t="str">
        <f>CONCATENATE("Total direct expenditure - ",E20)</f>
        <v>Total direct expenditure - &lt; insert sub-category &gt;</v>
      </c>
      <c r="G41" s="596">
        <f t="shared" ref="G41:P41" ca="1" si="13">SUMIF($E$21:$P$40,"Total direct expenditure",G$21:G$40)</f>
        <v>0</v>
      </c>
      <c r="H41" s="597">
        <f t="shared" ca="1" si="13"/>
        <v>0</v>
      </c>
      <c r="I41" s="597">
        <f t="shared" ca="1" si="13"/>
        <v>0</v>
      </c>
      <c r="J41" s="597">
        <f t="shared" ca="1" si="13"/>
        <v>0</v>
      </c>
      <c r="K41" s="598">
        <f t="shared" ca="1" si="13"/>
        <v>0</v>
      </c>
      <c r="L41" s="596">
        <f t="shared" ca="1" si="13"/>
        <v>0</v>
      </c>
      <c r="M41" s="597">
        <f t="shared" ca="1" si="13"/>
        <v>0</v>
      </c>
      <c r="N41" s="597">
        <f t="shared" ca="1" si="13"/>
        <v>0</v>
      </c>
      <c r="O41" s="597">
        <f t="shared" ca="1" si="13"/>
        <v>0</v>
      </c>
      <c r="P41" s="598">
        <f t="shared" ca="1" si="13"/>
        <v>0</v>
      </c>
      <c r="Q41" s="1445"/>
      <c r="R41" s="595">
        <f ca="1">SUMIF($E$21:$P$40,"Total direct expenditure",R$21:R$40)</f>
        <v>0</v>
      </c>
      <c r="S41" s="551">
        <f ca="1">SUMIF($E$21:$P$40,"Total direct expenditure",S$21:S$40)</f>
        <v>0</v>
      </c>
      <c r="T41" s="551">
        <f ca="1">SUMIF($E$21:$P$40,"Total direct expenditure",T$21:T$40)</f>
        <v>0</v>
      </c>
      <c r="U41" s="551">
        <f ca="1">SUMIF($E$21:$P$40,"Total direct expenditure",U$21:U$40)</f>
        <v>0</v>
      </c>
      <c r="V41" s="556">
        <f ca="1">SUMIF($E$21:$P$40,"Total direct expenditure",V$21:V$40)</f>
        <v>0</v>
      </c>
      <c r="W41" s="3685"/>
      <c r="X41"/>
      <c r="Y41"/>
      <c r="Z41"/>
      <c r="AA41" s="1804">
        <f t="shared" ref="AA41:AH41" ca="1" si="14">SUMIF($E$21:$P$40,"Total direct expenditure",AA$21:AA$40)</f>
        <v>0</v>
      </c>
      <c r="AB41" s="597">
        <f t="shared" ca="1" si="14"/>
        <v>0</v>
      </c>
      <c r="AC41" s="597">
        <f t="shared" ca="1" si="14"/>
        <v>0</v>
      </c>
      <c r="AD41" s="597">
        <f t="shared" ca="1" si="14"/>
        <v>0</v>
      </c>
      <c r="AE41" s="598">
        <f t="shared" ca="1" si="14"/>
        <v>0</v>
      </c>
      <c r="AF41" s="1804">
        <f t="shared" ca="1" si="14"/>
        <v>0</v>
      </c>
      <c r="AG41" s="597">
        <f t="shared" ca="1" si="14"/>
        <v>0</v>
      </c>
      <c r="AH41" s="598">
        <f t="shared" ca="1" si="14"/>
        <v>0</v>
      </c>
    </row>
    <row r="42" spans="1:34" s="529" customFormat="1">
      <c r="D42" s="308"/>
      <c r="E42" s="2050"/>
      <c r="F42" s="2049" t="str">
        <f>CONCATENATE("Total direct expenditure - ",E20)</f>
        <v>Total direct expenditure - &lt; insert sub-category &gt;</v>
      </c>
      <c r="G42" s="594">
        <f t="shared" ref="G42:P42" ca="1" si="15">SUMIF($E$21:$P$40,"Total direct expenditure (incl escalation)",G$21:G$40)</f>
        <v>0</v>
      </c>
      <c r="H42" s="551">
        <f t="shared" ca="1" si="15"/>
        <v>0</v>
      </c>
      <c r="I42" s="551">
        <f t="shared" ca="1" si="15"/>
        <v>0</v>
      </c>
      <c r="J42" s="551">
        <f t="shared" ca="1" si="15"/>
        <v>0</v>
      </c>
      <c r="K42" s="553">
        <f t="shared" ca="1" si="15"/>
        <v>0</v>
      </c>
      <c r="L42" s="594">
        <f t="shared" ca="1" si="15"/>
        <v>0</v>
      </c>
      <c r="M42" s="551">
        <f t="shared" ca="1" si="15"/>
        <v>0</v>
      </c>
      <c r="N42" s="551">
        <f t="shared" ca="1" si="15"/>
        <v>0</v>
      </c>
      <c r="O42" s="551">
        <f t="shared" ca="1" si="15"/>
        <v>0</v>
      </c>
      <c r="P42" s="553">
        <f t="shared" ca="1" si="15"/>
        <v>0</v>
      </c>
      <c r="Q42" s="1446"/>
      <c r="R42" s="595">
        <f ca="1">SUMIF($E$21:$P$40,"Total direct expenditure (incl escalation)",R$21:R$40)</f>
        <v>0</v>
      </c>
      <c r="S42" s="551">
        <f ca="1">SUMIF($E$21:$P$40,"Total direct expenditure (incl escalation)",S$21:S$40)</f>
        <v>0</v>
      </c>
      <c r="T42" s="551">
        <f ca="1">SUMIF($E$21:$P$40,"Total direct expenditure (incl escalation)",T$21:T$40)</f>
        <v>0</v>
      </c>
      <c r="U42" s="551">
        <f ca="1">SUMIF($E$21:$P$40,"Total direct expenditure (incl escalation)",U$21:U$40)</f>
        <v>0</v>
      </c>
      <c r="V42" s="556">
        <f ca="1">SUMIF($E$21:$P$40,"Total direct expenditure (incl escalation)",V$21:V$40)</f>
        <v>0</v>
      </c>
      <c r="W42" s="3686"/>
      <c r="X42"/>
      <c r="Y42"/>
      <c r="Z42"/>
      <c r="AA42" s="594">
        <f t="shared" ref="AA42:AH42" ca="1" si="16">SUMIF($E$21:$P$40,"Total direct expenditure (incl escalation)",AA$21:AA$40)</f>
        <v>0</v>
      </c>
      <c r="AB42" s="551">
        <f t="shared" ca="1" si="16"/>
        <v>0</v>
      </c>
      <c r="AC42" s="551">
        <f t="shared" ca="1" si="16"/>
        <v>0</v>
      </c>
      <c r="AD42" s="551">
        <f t="shared" ca="1" si="16"/>
        <v>0</v>
      </c>
      <c r="AE42" s="553">
        <f t="shared" ca="1" si="16"/>
        <v>0</v>
      </c>
      <c r="AF42" s="594">
        <f t="shared" ca="1" si="16"/>
        <v>0</v>
      </c>
      <c r="AG42" s="551">
        <f t="shared" ca="1" si="16"/>
        <v>0</v>
      </c>
      <c r="AH42" s="553">
        <f t="shared" ca="1" si="16"/>
        <v>0</v>
      </c>
    </row>
    <row r="43" spans="1:34" s="529" customFormat="1">
      <c r="D43" s="308"/>
      <c r="E43" s="2050"/>
      <c r="F43" s="2051" t="str">
        <f>CONCATENATE("Total overhead expenditure - ", E20)</f>
        <v>Total overhead expenditure - &lt; insert sub-category &gt;</v>
      </c>
      <c r="G43" s="594">
        <f t="shared" ref="G43:P43" ca="1" si="17">SUMIF($E$21:$P$40,"Total overhead expenditure",G$21:G$40)</f>
        <v>0</v>
      </c>
      <c r="H43" s="551">
        <f t="shared" ca="1" si="17"/>
        <v>0</v>
      </c>
      <c r="I43" s="551">
        <f t="shared" ca="1" si="17"/>
        <v>0</v>
      </c>
      <c r="J43" s="551">
        <f t="shared" ca="1" si="17"/>
        <v>0</v>
      </c>
      <c r="K43" s="553">
        <f t="shared" ca="1" si="17"/>
        <v>0</v>
      </c>
      <c r="L43" s="594">
        <f t="shared" ca="1" si="17"/>
        <v>0</v>
      </c>
      <c r="M43" s="551">
        <f t="shared" ca="1" si="17"/>
        <v>0</v>
      </c>
      <c r="N43" s="551">
        <f t="shared" ca="1" si="17"/>
        <v>0</v>
      </c>
      <c r="O43" s="551">
        <f t="shared" ca="1" si="17"/>
        <v>0</v>
      </c>
      <c r="P43" s="553">
        <f t="shared" ca="1" si="17"/>
        <v>0</v>
      </c>
      <c r="Q43" s="1446"/>
      <c r="R43" s="595">
        <f ca="1">SUMIF($E$21:$P$40,"Total overhead expenditure",R$21:R$40)</f>
        <v>0</v>
      </c>
      <c r="S43" s="551">
        <f ca="1">SUMIF($E$21:$P$40,"Total overhead expenditure",S$21:S$40)</f>
        <v>0</v>
      </c>
      <c r="T43" s="551">
        <f ca="1">SUMIF($E$21:$P$40,"Total overhead expenditure",T$21:T$40)</f>
        <v>0</v>
      </c>
      <c r="U43" s="551">
        <f ca="1">SUMIF($E$21:$P$40,"Total overhead expenditure",U$21:U$40)</f>
        <v>0</v>
      </c>
      <c r="V43" s="556">
        <f ca="1">SUMIF($E$21:$P$40,"Total overhead expenditure",V$21:V$40)</f>
        <v>0</v>
      </c>
      <c r="W43" s="3686"/>
      <c r="X43"/>
      <c r="Y43"/>
      <c r="Z43"/>
      <c r="AA43" s="594">
        <f t="shared" ref="AA43:AH43" ca="1" si="18">SUMIF($E$21:$P$40,"Total overhead expenditure",AA$21:AA$40)</f>
        <v>0</v>
      </c>
      <c r="AB43" s="551">
        <f t="shared" ca="1" si="18"/>
        <v>0</v>
      </c>
      <c r="AC43" s="551">
        <f t="shared" ca="1" si="18"/>
        <v>0</v>
      </c>
      <c r="AD43" s="551">
        <f t="shared" ca="1" si="18"/>
        <v>0</v>
      </c>
      <c r="AE43" s="553">
        <f t="shared" ca="1" si="18"/>
        <v>0</v>
      </c>
      <c r="AF43" s="594">
        <f t="shared" ca="1" si="18"/>
        <v>0</v>
      </c>
      <c r="AG43" s="551">
        <f t="shared" ca="1" si="18"/>
        <v>0</v>
      </c>
      <c r="AH43" s="553">
        <f t="shared" ca="1" si="18"/>
        <v>0</v>
      </c>
    </row>
    <row r="44" spans="1:34" s="529" customFormat="1">
      <c r="D44" s="308"/>
      <c r="E44" s="2050"/>
      <c r="F44" s="2051" t="str">
        <f>CONCATENATE("Related party margin expenditure - ",E20)</f>
        <v>Related party margin expenditure - &lt; insert sub-category &gt;</v>
      </c>
      <c r="G44" s="594">
        <f t="shared" ref="G44:P44" ca="1" si="19">SUMIF($E$21:$P$40,"Related party margin",G$21:G$40)</f>
        <v>0</v>
      </c>
      <c r="H44" s="551">
        <f t="shared" ca="1" si="19"/>
        <v>0</v>
      </c>
      <c r="I44" s="551">
        <f t="shared" ca="1" si="19"/>
        <v>0</v>
      </c>
      <c r="J44" s="551">
        <f t="shared" ca="1" si="19"/>
        <v>0</v>
      </c>
      <c r="K44" s="553">
        <f t="shared" ca="1" si="19"/>
        <v>0</v>
      </c>
      <c r="L44" s="594">
        <f t="shared" ca="1" si="19"/>
        <v>0</v>
      </c>
      <c r="M44" s="551">
        <f t="shared" ca="1" si="19"/>
        <v>0</v>
      </c>
      <c r="N44" s="551">
        <f t="shared" ca="1" si="19"/>
        <v>0</v>
      </c>
      <c r="O44" s="551">
        <f t="shared" ca="1" si="19"/>
        <v>0</v>
      </c>
      <c r="P44" s="553">
        <f t="shared" ca="1" si="19"/>
        <v>0</v>
      </c>
      <c r="Q44" s="1446"/>
      <c r="R44" s="595">
        <f ca="1">SUMIF($E$21:$P$40,"Related party margin",R$21:R$40)</f>
        <v>0</v>
      </c>
      <c r="S44" s="551">
        <f ca="1">SUMIF($E$21:$P$40,"Related party margin",S$21:S$40)</f>
        <v>0</v>
      </c>
      <c r="T44" s="551">
        <f ca="1">SUMIF($E$21:$P$40,"Related party margin",T$21:T$40)</f>
        <v>0</v>
      </c>
      <c r="U44" s="551">
        <f ca="1">SUMIF($E$21:$P$40,"Related party margin",U$21:U$40)</f>
        <v>0</v>
      </c>
      <c r="V44" s="556">
        <f ca="1">SUMIF($E$21:$P$40,"Related party margin",V$21:V$40)</f>
        <v>0</v>
      </c>
      <c r="W44" s="3686"/>
      <c r="X44"/>
      <c r="Y44"/>
      <c r="Z44"/>
      <c r="AA44" s="594">
        <f t="shared" ref="AA44:AH44" ca="1" si="20">SUMIF($E$21:$P$40,"Related party margin",AA$21:AA$40)</f>
        <v>0</v>
      </c>
      <c r="AB44" s="551">
        <f t="shared" ca="1" si="20"/>
        <v>0</v>
      </c>
      <c r="AC44" s="551">
        <f t="shared" ca="1" si="20"/>
        <v>0</v>
      </c>
      <c r="AD44" s="551">
        <f t="shared" ca="1" si="20"/>
        <v>0</v>
      </c>
      <c r="AE44" s="553">
        <f t="shared" ca="1" si="20"/>
        <v>0</v>
      </c>
      <c r="AF44" s="594">
        <f t="shared" ca="1" si="20"/>
        <v>0</v>
      </c>
      <c r="AG44" s="551">
        <f t="shared" ca="1" si="20"/>
        <v>0</v>
      </c>
      <c r="AH44" s="553">
        <f t="shared" ca="1" si="20"/>
        <v>0</v>
      </c>
    </row>
    <row r="45" spans="1:34" s="70" customFormat="1">
      <c r="A45" s="76"/>
      <c r="B45" s="76"/>
      <c r="C45" s="76"/>
      <c r="D45" s="360"/>
      <c r="E45" s="2052"/>
      <c r="F45" s="2053" t="str">
        <f>CONCATENATE("Total gross expenditure - ",E20)</f>
        <v>Total gross expenditure - &lt; insert sub-category &gt;</v>
      </c>
      <c r="G45" s="1396">
        <f t="shared" ref="G45:P45" ca="1" si="21">SUMIF($E$21:$P$40,"Total gross expenditure",G$21:G$40)</f>
        <v>0</v>
      </c>
      <c r="H45" s="1397">
        <f t="shared" ca="1" si="21"/>
        <v>0</v>
      </c>
      <c r="I45" s="1397">
        <f t="shared" ca="1" si="21"/>
        <v>0</v>
      </c>
      <c r="J45" s="1397">
        <f t="shared" ca="1" si="21"/>
        <v>0</v>
      </c>
      <c r="K45" s="1398">
        <f t="shared" ca="1" si="21"/>
        <v>0</v>
      </c>
      <c r="L45" s="1396">
        <f t="shared" ca="1" si="21"/>
        <v>0</v>
      </c>
      <c r="M45" s="1397">
        <f t="shared" ca="1" si="21"/>
        <v>0</v>
      </c>
      <c r="N45" s="1397">
        <f t="shared" ca="1" si="21"/>
        <v>0</v>
      </c>
      <c r="O45" s="1397">
        <f t="shared" ca="1" si="21"/>
        <v>0</v>
      </c>
      <c r="P45" s="1398">
        <f t="shared" ca="1" si="21"/>
        <v>0</v>
      </c>
      <c r="Q45" s="1447"/>
      <c r="R45" s="1399">
        <f ca="1">SUMIF($E$21:$P$40,"Total gross expenditure",R$21:R$40)</f>
        <v>0</v>
      </c>
      <c r="S45" s="1397">
        <f ca="1">SUMIF($E$21:$P$40,"Total gross expenditure",S$21:S$40)</f>
        <v>0</v>
      </c>
      <c r="T45" s="1397">
        <f ca="1">SUMIF($E$21:$P$40,"Total gross expenditure",T$21:T$40)</f>
        <v>0</v>
      </c>
      <c r="U45" s="1397">
        <f ca="1">SUMIF($E$21:$P$40,"Total gross expenditure",U$21:U$40)</f>
        <v>0</v>
      </c>
      <c r="V45" s="1400">
        <f ca="1">SUMIF($E$21:$P$40,"Total gross expenditure",V$21:V$40)</f>
        <v>0</v>
      </c>
      <c r="W45" s="3686"/>
      <c r="X45"/>
      <c r="Y45"/>
      <c r="Z45"/>
      <c r="AA45" s="1396">
        <f t="shared" ref="AA45:AH45" ca="1" si="22">SUMIF($E$21:$P$40,"Total gross expenditure",AA$21:AA$40)</f>
        <v>0</v>
      </c>
      <c r="AB45" s="1397">
        <f t="shared" ca="1" si="22"/>
        <v>0</v>
      </c>
      <c r="AC45" s="1397">
        <f t="shared" ca="1" si="22"/>
        <v>0</v>
      </c>
      <c r="AD45" s="1397">
        <f t="shared" ca="1" si="22"/>
        <v>0</v>
      </c>
      <c r="AE45" s="1398">
        <f t="shared" ca="1" si="22"/>
        <v>0</v>
      </c>
      <c r="AF45" s="1396">
        <f t="shared" ca="1" si="22"/>
        <v>0</v>
      </c>
      <c r="AG45" s="1397">
        <f t="shared" ca="1" si="22"/>
        <v>0</v>
      </c>
      <c r="AH45" s="1398">
        <f t="shared" ca="1" si="22"/>
        <v>0</v>
      </c>
    </row>
    <row r="46" spans="1:34" s="70" customFormat="1">
      <c r="A46" s="76"/>
      <c r="B46" s="76"/>
      <c r="C46" s="76"/>
      <c r="D46" s="360"/>
      <c r="E46" s="2052"/>
      <c r="F46" s="2051" t="s">
        <v>35</v>
      </c>
      <c r="G46" s="594">
        <f t="shared" ref="G46:P46" ca="1" si="23">SUMIF($E$21:$P$40,"Less customer contributions",G$21:G$40)</f>
        <v>0</v>
      </c>
      <c r="H46" s="551">
        <f t="shared" ca="1" si="23"/>
        <v>0</v>
      </c>
      <c r="I46" s="551">
        <f t="shared" ca="1" si="23"/>
        <v>0</v>
      </c>
      <c r="J46" s="551">
        <f t="shared" ca="1" si="23"/>
        <v>0</v>
      </c>
      <c r="K46" s="553">
        <f t="shared" ca="1" si="23"/>
        <v>0</v>
      </c>
      <c r="L46" s="594">
        <f t="shared" ca="1" si="23"/>
        <v>0</v>
      </c>
      <c r="M46" s="551">
        <f t="shared" ca="1" si="23"/>
        <v>0</v>
      </c>
      <c r="N46" s="551">
        <f t="shared" ca="1" si="23"/>
        <v>0</v>
      </c>
      <c r="O46" s="551">
        <f t="shared" ca="1" si="23"/>
        <v>0</v>
      </c>
      <c r="P46" s="553">
        <f t="shared" ca="1" si="23"/>
        <v>0</v>
      </c>
      <c r="Q46" s="1446"/>
      <c r="R46" s="595">
        <f ca="1">SUMIF($E$21:$P$40,"Less customer contributions",R$21:R$40)</f>
        <v>0</v>
      </c>
      <c r="S46" s="551">
        <f ca="1">SUMIF($E$21:$P$40,"Less customer contributions",S$21:S$40)</f>
        <v>0</v>
      </c>
      <c r="T46" s="551">
        <f ca="1">SUMIF($E$21:$P$40,"Less customer contributions",T$21:T$40)</f>
        <v>0</v>
      </c>
      <c r="U46" s="551">
        <f ca="1">SUMIF($E$21:$P$40,"Less customer contributions",U$21:U$40)</f>
        <v>0</v>
      </c>
      <c r="V46" s="556">
        <f ca="1">SUMIF($E$21:$P$40,"Less customer contributions",V$21:V$40)</f>
        <v>0</v>
      </c>
      <c r="W46" s="3686"/>
      <c r="X46"/>
      <c r="Y46"/>
      <c r="Z46"/>
      <c r="AA46" s="594">
        <f t="shared" ref="AA46:AH46" ca="1" si="24">SUMIF($E$21:$P$40,"Less customer contributions",AA$21:AA$40)</f>
        <v>0</v>
      </c>
      <c r="AB46" s="551">
        <f t="shared" ca="1" si="24"/>
        <v>0</v>
      </c>
      <c r="AC46" s="551">
        <f t="shared" ca="1" si="24"/>
        <v>0</v>
      </c>
      <c r="AD46" s="551">
        <f t="shared" ca="1" si="24"/>
        <v>0</v>
      </c>
      <c r="AE46" s="553">
        <f t="shared" ca="1" si="24"/>
        <v>0</v>
      </c>
      <c r="AF46" s="594">
        <f t="shared" ca="1" si="24"/>
        <v>0</v>
      </c>
      <c r="AG46" s="551">
        <f t="shared" ca="1" si="24"/>
        <v>0</v>
      </c>
      <c r="AH46" s="553">
        <f t="shared" ca="1" si="24"/>
        <v>0</v>
      </c>
    </row>
    <row r="47" spans="1:34" s="70" customFormat="1" ht="13.5" thickBot="1">
      <c r="A47" s="76"/>
      <c r="B47" s="76"/>
      <c r="C47" s="76"/>
      <c r="D47" s="360"/>
      <c r="E47" s="2054"/>
      <c r="F47" s="2055" t="str">
        <f>CONCATENATE("Total net expenditure - ",E20)</f>
        <v>Total net expenditure - &lt; insert sub-category &gt;</v>
      </c>
      <c r="G47" s="1401">
        <f t="shared" ref="G47:P47" ca="1" si="25">SUMIF($E$21:$P$40,"Total net expenditure",G$21:G$40)</f>
        <v>0</v>
      </c>
      <c r="H47" s="1402">
        <f t="shared" ca="1" si="25"/>
        <v>0</v>
      </c>
      <c r="I47" s="1402">
        <f t="shared" ca="1" si="25"/>
        <v>0</v>
      </c>
      <c r="J47" s="1402">
        <f t="shared" ca="1" si="25"/>
        <v>0</v>
      </c>
      <c r="K47" s="1403">
        <f t="shared" ca="1" si="25"/>
        <v>0</v>
      </c>
      <c r="L47" s="1401">
        <f t="shared" ca="1" si="25"/>
        <v>0</v>
      </c>
      <c r="M47" s="1402">
        <f t="shared" ca="1" si="25"/>
        <v>0</v>
      </c>
      <c r="N47" s="1402">
        <f t="shared" ca="1" si="25"/>
        <v>0</v>
      </c>
      <c r="O47" s="1402">
        <f t="shared" ca="1" si="25"/>
        <v>0</v>
      </c>
      <c r="P47" s="1403">
        <f t="shared" ca="1" si="25"/>
        <v>0</v>
      </c>
      <c r="Q47" s="1448"/>
      <c r="R47" s="1404">
        <f ca="1">SUMIF($E$21:$P$40,"Total net expenditure",R$21:R$40)</f>
        <v>0</v>
      </c>
      <c r="S47" s="1402">
        <f ca="1">SUMIF($E$21:$P$40,"Total net expenditure",S$21:S$40)</f>
        <v>0</v>
      </c>
      <c r="T47" s="1402">
        <f ca="1">SUMIF($E$21:$P$40,"Total net expenditure",T$21:T$40)</f>
        <v>0</v>
      </c>
      <c r="U47" s="1402">
        <f ca="1">SUMIF($E$21:$P$40,"Total net expenditure",U$21:U$40)</f>
        <v>0</v>
      </c>
      <c r="V47" s="1403">
        <f ca="1">SUMIF($E$21:$P$40,"Total net expenditure",V$21:V$40)</f>
        <v>0</v>
      </c>
      <c r="W47" s="3687"/>
      <c r="X47"/>
      <c r="Y47"/>
      <c r="Z47"/>
      <c r="AA47" s="1805">
        <f t="shared" ref="AA47:AH47" ca="1" si="26">SUMIF($E$21:$P$40,"Total net expenditure",AA$21:AA$40)</f>
        <v>0</v>
      </c>
      <c r="AB47" s="1402">
        <f t="shared" ca="1" si="26"/>
        <v>0</v>
      </c>
      <c r="AC47" s="1402">
        <f t="shared" ca="1" si="26"/>
        <v>0</v>
      </c>
      <c r="AD47" s="1402">
        <f t="shared" ca="1" si="26"/>
        <v>0</v>
      </c>
      <c r="AE47" s="1403">
        <f t="shared" ca="1" si="26"/>
        <v>0</v>
      </c>
      <c r="AF47" s="1805">
        <f t="shared" ca="1" si="26"/>
        <v>0</v>
      </c>
      <c r="AG47" s="1402">
        <f t="shared" ca="1" si="26"/>
        <v>0</v>
      </c>
      <c r="AH47" s="1403">
        <f t="shared" ca="1" si="26"/>
        <v>0</v>
      </c>
    </row>
    <row r="48" spans="1:34" s="79" customFormat="1" ht="40.5" customHeight="1" thickBot="1">
      <c r="A48" s="308"/>
      <c r="B48" s="308"/>
      <c r="C48" s="308"/>
      <c r="D48" s="308"/>
      <c r="E48" s="3690" t="s">
        <v>374</v>
      </c>
      <c r="F48" s="3691"/>
      <c r="G48" s="2043"/>
      <c r="H48" s="2044"/>
      <c r="I48" s="2044"/>
      <c r="J48" s="2044"/>
      <c r="K48" s="2044"/>
      <c r="L48" s="2044"/>
      <c r="M48" s="2044"/>
      <c r="N48" s="2044"/>
      <c r="O48" s="2044"/>
      <c r="P48" s="2044"/>
      <c r="Q48" s="2044"/>
      <c r="R48" s="2044"/>
      <c r="S48" s="2044"/>
      <c r="T48" s="2044"/>
      <c r="U48" s="2044"/>
      <c r="V48" s="2044"/>
      <c r="W48" s="2045"/>
      <c r="X48"/>
      <c r="Y48"/>
      <c r="Z48"/>
      <c r="AA48" s="2043"/>
      <c r="AB48" s="2044"/>
      <c r="AC48" s="2044"/>
      <c r="AD48" s="2044"/>
      <c r="AE48" s="2044"/>
      <c r="AF48" s="2044"/>
      <c r="AG48" s="2044"/>
      <c r="AH48" s="2044"/>
    </row>
    <row r="49" spans="1:34" s="529" customFormat="1" ht="27" customHeight="1" outlineLevel="1">
      <c r="D49" s="308"/>
      <c r="E49" s="602" t="s">
        <v>89</v>
      </c>
      <c r="F49" s="1016" t="s">
        <v>629</v>
      </c>
      <c r="G49" s="2033"/>
      <c r="H49" s="2034"/>
      <c r="I49" s="2034"/>
      <c r="J49" s="2034"/>
      <c r="K49" s="2046"/>
      <c r="L49" s="599"/>
      <c r="M49" s="600"/>
      <c r="N49" s="600"/>
      <c r="O49" s="600"/>
      <c r="P49" s="601"/>
      <c r="Q49" s="1441"/>
      <c r="R49" s="600"/>
      <c r="S49" s="600"/>
      <c r="T49" s="600"/>
      <c r="U49" s="600"/>
      <c r="V49" s="601"/>
      <c r="W49" s="3692"/>
      <c r="X49"/>
      <c r="Y49"/>
      <c r="Z49"/>
      <c r="AA49" s="588"/>
      <c r="AB49" s="589"/>
      <c r="AC49" s="589"/>
      <c r="AD49" s="589"/>
      <c r="AE49" s="590"/>
      <c r="AF49" s="599"/>
      <c r="AG49" s="600"/>
      <c r="AH49" s="601"/>
    </row>
    <row r="50" spans="1:34" s="529" customFormat="1" ht="12.75" customHeight="1" outlineLevel="1">
      <c r="A50" s="79"/>
      <c r="B50" s="79"/>
      <c r="C50" s="79"/>
      <c r="D50" s="308"/>
      <c r="E50" s="554"/>
      <c r="F50" s="575" t="s">
        <v>595</v>
      </c>
      <c r="G50" s="2035"/>
      <c r="H50" s="2036"/>
      <c r="I50" s="2036"/>
      <c r="J50" s="2036"/>
      <c r="K50" s="2047"/>
      <c r="L50" s="514"/>
      <c r="M50" s="513"/>
      <c r="N50" s="513"/>
      <c r="O50" s="513"/>
      <c r="P50" s="515"/>
      <c r="Q50" s="1442"/>
      <c r="R50" s="467"/>
      <c r="S50" s="513"/>
      <c r="T50" s="513"/>
      <c r="U50" s="513"/>
      <c r="V50" s="515"/>
      <c r="W50" s="3693"/>
      <c r="X50"/>
      <c r="Y50"/>
      <c r="Z50"/>
      <c r="AA50" s="525"/>
      <c r="AB50" s="523"/>
      <c r="AC50" s="523"/>
      <c r="AD50" s="523"/>
      <c r="AE50" s="591"/>
      <c r="AF50" s="517"/>
      <c r="AG50" s="518"/>
      <c r="AH50" s="519"/>
    </row>
    <row r="51" spans="1:34" s="529" customFormat="1" ht="12.75" customHeight="1" outlineLevel="1">
      <c r="D51" s="308"/>
      <c r="E51" s="554"/>
      <c r="F51" s="575" t="s">
        <v>594</v>
      </c>
      <c r="G51" s="2035"/>
      <c r="H51" s="2036"/>
      <c r="I51" s="2036"/>
      <c r="J51" s="2036"/>
      <c r="K51" s="2047"/>
      <c r="L51" s="514"/>
      <c r="M51" s="513"/>
      <c r="N51" s="513"/>
      <c r="O51" s="513"/>
      <c r="P51" s="515"/>
      <c r="Q51" s="1442"/>
      <c r="R51" s="467"/>
      <c r="S51" s="513"/>
      <c r="T51" s="513"/>
      <c r="U51" s="513"/>
      <c r="V51" s="515"/>
      <c r="W51" s="3693"/>
      <c r="X51"/>
      <c r="Y51"/>
      <c r="Z51"/>
      <c r="AA51" s="525"/>
      <c r="AB51" s="523"/>
      <c r="AC51" s="523"/>
      <c r="AD51" s="523"/>
      <c r="AE51" s="591"/>
      <c r="AF51" s="517"/>
      <c r="AG51" s="518"/>
      <c r="AH51" s="519"/>
    </row>
    <row r="52" spans="1:34" s="529" customFormat="1" ht="12.75" customHeight="1" outlineLevel="1">
      <c r="D52" s="308"/>
      <c r="E52" s="554"/>
      <c r="F52" s="575" t="s">
        <v>614</v>
      </c>
      <c r="G52" s="2035"/>
      <c r="H52" s="2036"/>
      <c r="I52" s="2036"/>
      <c r="J52" s="2036"/>
      <c r="K52" s="2047"/>
      <c r="L52" s="514"/>
      <c r="M52" s="513"/>
      <c r="N52" s="513"/>
      <c r="O52" s="513"/>
      <c r="P52" s="515"/>
      <c r="Q52" s="1442"/>
      <c r="R52" s="467"/>
      <c r="S52" s="513"/>
      <c r="T52" s="513"/>
      <c r="U52" s="513"/>
      <c r="V52" s="515"/>
      <c r="W52" s="3693"/>
      <c r="X52"/>
      <c r="Y52"/>
      <c r="Z52"/>
      <c r="AA52" s="525"/>
      <c r="AB52" s="523"/>
      <c r="AC52" s="523"/>
      <c r="AD52" s="523"/>
      <c r="AE52" s="591"/>
      <c r="AF52" s="517"/>
      <c r="AG52" s="518"/>
      <c r="AH52" s="519"/>
    </row>
    <row r="53" spans="1:34" s="529" customFormat="1" ht="12.75" customHeight="1" outlineLevel="1">
      <c r="D53" s="308"/>
      <c r="E53" s="554"/>
      <c r="F53" s="576" t="s">
        <v>615</v>
      </c>
      <c r="G53" s="514"/>
      <c r="H53" s="513"/>
      <c r="I53" s="513"/>
      <c r="J53" s="513"/>
      <c r="K53" s="515"/>
      <c r="L53" s="401">
        <f t="shared" ref="L53:P53" si="27">SUM(L50:L52)</f>
        <v>0</v>
      </c>
      <c r="M53" s="402">
        <f t="shared" si="27"/>
        <v>0</v>
      </c>
      <c r="N53" s="402">
        <f t="shared" si="27"/>
        <v>0</v>
      </c>
      <c r="O53" s="402">
        <f t="shared" si="27"/>
        <v>0</v>
      </c>
      <c r="P53" s="505">
        <f t="shared" si="27"/>
        <v>0</v>
      </c>
      <c r="Q53" s="1443"/>
      <c r="R53" s="502">
        <f>SUM(R50:R52)</f>
        <v>0</v>
      </c>
      <c r="S53" s="402">
        <f>SUM(S50:S52)</f>
        <v>0</v>
      </c>
      <c r="T53" s="402">
        <f>SUM(T50:T52)</f>
        <v>0</v>
      </c>
      <c r="U53" s="402">
        <f>SUM(U50:U52)</f>
        <v>0</v>
      </c>
      <c r="V53" s="505">
        <f>SUM(V50:V52)</f>
        <v>0</v>
      </c>
      <c r="W53" s="3693"/>
      <c r="X53"/>
      <c r="Y53"/>
      <c r="Z53"/>
      <c r="AA53" s="517"/>
      <c r="AB53" s="518"/>
      <c r="AC53" s="518"/>
      <c r="AD53" s="518"/>
      <c r="AE53" s="519"/>
      <c r="AF53" s="401">
        <f t="shared" ref="AF53:AH53" si="28">SUM(AF50:AF52)</f>
        <v>0</v>
      </c>
      <c r="AG53" s="402">
        <f t="shared" si="28"/>
        <v>0</v>
      </c>
      <c r="AH53" s="505">
        <f t="shared" si="28"/>
        <v>0</v>
      </c>
    </row>
    <row r="54" spans="1:34" s="529" customFormat="1" ht="12.75" customHeight="1" outlineLevel="1">
      <c r="D54" s="308"/>
      <c r="E54" s="554"/>
      <c r="F54" s="575" t="s">
        <v>619</v>
      </c>
      <c r="G54" s="514"/>
      <c r="H54" s="513"/>
      <c r="I54" s="513"/>
      <c r="J54" s="513"/>
      <c r="K54" s="515"/>
      <c r="L54" s="569">
        <v>0</v>
      </c>
      <c r="M54" s="570">
        <v>0</v>
      </c>
      <c r="N54" s="570">
        <v>0</v>
      </c>
      <c r="O54" s="570">
        <v>0</v>
      </c>
      <c r="P54" s="608">
        <v>0</v>
      </c>
      <c r="Q54" s="1442"/>
      <c r="R54" s="561"/>
      <c r="S54" s="532"/>
      <c r="T54" s="532"/>
      <c r="U54" s="532"/>
      <c r="V54" s="579"/>
      <c r="W54" s="3693"/>
      <c r="X54"/>
      <c r="Y54"/>
      <c r="Z54"/>
      <c r="AA54" s="517"/>
      <c r="AB54" s="518"/>
      <c r="AC54" s="518"/>
      <c r="AD54" s="518"/>
      <c r="AE54" s="519"/>
      <c r="AF54" s="569">
        <v>0</v>
      </c>
      <c r="AG54" s="570">
        <v>0</v>
      </c>
      <c r="AH54" s="608">
        <v>0</v>
      </c>
    </row>
    <row r="55" spans="1:34" s="529" customFormat="1" ht="12.75" customHeight="1" outlineLevel="1">
      <c r="D55" s="308"/>
      <c r="E55" s="554"/>
      <c r="F55" s="575" t="s">
        <v>617</v>
      </c>
      <c r="G55" s="514"/>
      <c r="H55" s="513"/>
      <c r="I55" s="513"/>
      <c r="J55" s="513"/>
      <c r="K55" s="515"/>
      <c r="L55" s="517">
        <v>0</v>
      </c>
      <c r="M55" s="518">
        <v>0</v>
      </c>
      <c r="N55" s="518">
        <v>0</v>
      </c>
      <c r="O55" s="518">
        <v>0</v>
      </c>
      <c r="P55" s="519">
        <v>0</v>
      </c>
      <c r="Q55" s="1442"/>
      <c r="R55" s="467"/>
      <c r="S55" s="513"/>
      <c r="T55" s="513"/>
      <c r="U55" s="513"/>
      <c r="V55" s="515"/>
      <c r="W55" s="3693"/>
      <c r="X55"/>
      <c r="Y55"/>
      <c r="Z55"/>
      <c r="AA55" s="517"/>
      <c r="AB55" s="518"/>
      <c r="AC55" s="518"/>
      <c r="AD55" s="518"/>
      <c r="AE55" s="519"/>
      <c r="AF55" s="517">
        <v>0</v>
      </c>
      <c r="AG55" s="518">
        <v>0</v>
      </c>
      <c r="AH55" s="519">
        <v>0</v>
      </c>
    </row>
    <row r="56" spans="1:34" s="529" customFormat="1" ht="12.75" customHeight="1" outlineLevel="1">
      <c r="D56" s="308"/>
      <c r="E56" s="554"/>
      <c r="F56" s="576" t="s">
        <v>620</v>
      </c>
      <c r="G56" s="401">
        <f t="shared" ref="G56:P56" si="29">SUM(G54:G55)</f>
        <v>0</v>
      </c>
      <c r="H56" s="402">
        <f t="shared" si="29"/>
        <v>0</v>
      </c>
      <c r="I56" s="402">
        <f t="shared" si="29"/>
        <v>0</v>
      </c>
      <c r="J56" s="402">
        <f t="shared" si="29"/>
        <v>0</v>
      </c>
      <c r="K56" s="505">
        <f t="shared" si="29"/>
        <v>0</v>
      </c>
      <c r="L56" s="401">
        <f t="shared" si="29"/>
        <v>0</v>
      </c>
      <c r="M56" s="402">
        <f t="shared" si="29"/>
        <v>0</v>
      </c>
      <c r="N56" s="402">
        <f t="shared" si="29"/>
        <v>0</v>
      </c>
      <c r="O56" s="402">
        <f t="shared" si="29"/>
        <v>0</v>
      </c>
      <c r="P56" s="505">
        <f t="shared" si="29"/>
        <v>0</v>
      </c>
      <c r="Q56" s="1443"/>
      <c r="R56" s="502">
        <f>SUM(R54:R55)</f>
        <v>0</v>
      </c>
      <c r="S56" s="402">
        <f>SUM(S54:S55)</f>
        <v>0</v>
      </c>
      <c r="T56" s="402">
        <f>SUM(T54:T55)</f>
        <v>0</v>
      </c>
      <c r="U56" s="402">
        <f>SUM(U54:U55)</f>
        <v>0</v>
      </c>
      <c r="V56" s="505">
        <f>SUM(V54:V55)</f>
        <v>0</v>
      </c>
      <c r="W56" s="3693"/>
      <c r="X56"/>
      <c r="Y56"/>
      <c r="Z56"/>
      <c r="AA56" s="401">
        <f t="shared" ref="AA56:AH56" si="30">SUM(AA54:AA55)</f>
        <v>0</v>
      </c>
      <c r="AB56" s="402">
        <f t="shared" si="30"/>
        <v>0</v>
      </c>
      <c r="AC56" s="402">
        <f t="shared" si="30"/>
        <v>0</v>
      </c>
      <c r="AD56" s="402">
        <f t="shared" si="30"/>
        <v>0</v>
      </c>
      <c r="AE56" s="505">
        <f t="shared" si="30"/>
        <v>0</v>
      </c>
      <c r="AF56" s="401">
        <f t="shared" si="30"/>
        <v>0</v>
      </c>
      <c r="AG56" s="402">
        <f t="shared" si="30"/>
        <v>0</v>
      </c>
      <c r="AH56" s="505">
        <f t="shared" si="30"/>
        <v>0</v>
      </c>
    </row>
    <row r="57" spans="1:34" s="529" customFormat="1" ht="12.75" customHeight="1" outlineLevel="1">
      <c r="D57" s="308"/>
      <c r="E57" s="554"/>
      <c r="F57" s="575" t="s">
        <v>35</v>
      </c>
      <c r="G57" s="514"/>
      <c r="H57" s="513"/>
      <c r="I57" s="513"/>
      <c r="J57" s="513"/>
      <c r="K57" s="515"/>
      <c r="L57" s="514"/>
      <c r="M57" s="513"/>
      <c r="N57" s="513"/>
      <c r="O57" s="513"/>
      <c r="P57" s="515"/>
      <c r="Q57" s="1442"/>
      <c r="R57" s="467"/>
      <c r="S57" s="513"/>
      <c r="T57" s="513"/>
      <c r="U57" s="513"/>
      <c r="V57" s="515"/>
      <c r="W57" s="3693"/>
      <c r="X57"/>
      <c r="Y57"/>
      <c r="Z57"/>
      <c r="AA57" s="517"/>
      <c r="AB57" s="518"/>
      <c r="AC57" s="518"/>
      <c r="AD57" s="518"/>
      <c r="AE57" s="519"/>
      <c r="AF57" s="517"/>
      <c r="AG57" s="518"/>
      <c r="AH57" s="519"/>
    </row>
    <row r="58" spans="1:34" s="529" customFormat="1" ht="12.75" customHeight="1" outlineLevel="1" thickBot="1">
      <c r="D58" s="308"/>
      <c r="E58" s="554"/>
      <c r="F58" s="1753" t="s">
        <v>621</v>
      </c>
      <c r="G58" s="404">
        <f t="shared" ref="G58:P58" si="31">G56-G57</f>
        <v>0</v>
      </c>
      <c r="H58" s="405">
        <f t="shared" si="31"/>
        <v>0</v>
      </c>
      <c r="I58" s="405">
        <f t="shared" si="31"/>
        <v>0</v>
      </c>
      <c r="J58" s="405">
        <f t="shared" si="31"/>
        <v>0</v>
      </c>
      <c r="K58" s="560">
        <f t="shared" si="31"/>
        <v>0</v>
      </c>
      <c r="L58" s="404">
        <f t="shared" si="31"/>
        <v>0</v>
      </c>
      <c r="M58" s="405">
        <f t="shared" ref="M58" si="32">M56-M57</f>
        <v>0</v>
      </c>
      <c r="N58" s="405">
        <f t="shared" si="31"/>
        <v>0</v>
      </c>
      <c r="O58" s="405">
        <f t="shared" si="31"/>
        <v>0</v>
      </c>
      <c r="P58" s="560">
        <f t="shared" si="31"/>
        <v>0</v>
      </c>
      <c r="Q58" s="1444"/>
      <c r="R58" s="559">
        <f>R56-R57</f>
        <v>0</v>
      </c>
      <c r="S58" s="405">
        <f>S56-S57</f>
        <v>0</v>
      </c>
      <c r="T58" s="405">
        <f>T56-T57</f>
        <v>0</v>
      </c>
      <c r="U58" s="405">
        <f>U56-U57</f>
        <v>0</v>
      </c>
      <c r="V58" s="560">
        <f>V56-V57</f>
        <v>0</v>
      </c>
      <c r="W58" s="3694"/>
      <c r="X58"/>
      <c r="Y58"/>
      <c r="Z58"/>
      <c r="AA58" s="1710">
        <f t="shared" ref="AA58:AH58" si="33">AA56-AA57</f>
        <v>0</v>
      </c>
      <c r="AB58" s="405">
        <f t="shared" si="33"/>
        <v>0</v>
      </c>
      <c r="AC58" s="405">
        <f t="shared" si="33"/>
        <v>0</v>
      </c>
      <c r="AD58" s="405">
        <f t="shared" si="33"/>
        <v>0</v>
      </c>
      <c r="AE58" s="560">
        <f t="shared" si="33"/>
        <v>0</v>
      </c>
      <c r="AF58" s="1710">
        <f t="shared" si="33"/>
        <v>0</v>
      </c>
      <c r="AG58" s="405">
        <f t="shared" si="33"/>
        <v>0</v>
      </c>
      <c r="AH58" s="560">
        <f t="shared" si="33"/>
        <v>0</v>
      </c>
    </row>
    <row r="59" spans="1:34" s="529" customFormat="1" ht="38.25" customHeight="1" outlineLevel="1">
      <c r="D59" s="308"/>
      <c r="E59" s="602" t="s">
        <v>89</v>
      </c>
      <c r="F59" s="1016" t="s">
        <v>629</v>
      </c>
      <c r="G59" s="2033"/>
      <c r="H59" s="2034"/>
      <c r="I59" s="2034"/>
      <c r="J59" s="2034"/>
      <c r="K59" s="2046"/>
      <c r="L59" s="599"/>
      <c r="M59" s="600"/>
      <c r="N59" s="600"/>
      <c r="O59" s="600"/>
      <c r="P59" s="601"/>
      <c r="Q59" s="1441"/>
      <c r="R59" s="600"/>
      <c r="S59" s="600"/>
      <c r="T59" s="600"/>
      <c r="U59" s="600"/>
      <c r="V59" s="601"/>
      <c r="W59" s="3692"/>
      <c r="X59"/>
      <c r="Y59"/>
      <c r="Z59"/>
      <c r="AA59" s="588"/>
      <c r="AB59" s="589"/>
      <c r="AC59" s="589"/>
      <c r="AD59" s="589"/>
      <c r="AE59" s="590"/>
      <c r="AF59" s="599"/>
      <c r="AG59" s="600"/>
      <c r="AH59" s="601"/>
    </row>
    <row r="60" spans="1:34" s="529" customFormat="1" ht="12.75" customHeight="1" outlineLevel="1">
      <c r="A60" s="79"/>
      <c r="B60" s="79"/>
      <c r="C60" s="79"/>
      <c r="D60" s="308"/>
      <c r="E60" s="554"/>
      <c r="F60" s="575" t="s">
        <v>595</v>
      </c>
      <c r="G60" s="2035"/>
      <c r="H60" s="2036"/>
      <c r="I60" s="2036"/>
      <c r="J60" s="2036"/>
      <c r="K60" s="2047"/>
      <c r="L60" s="514"/>
      <c r="M60" s="513"/>
      <c r="N60" s="513"/>
      <c r="O60" s="513"/>
      <c r="P60" s="515"/>
      <c r="Q60" s="1442"/>
      <c r="R60" s="467"/>
      <c r="S60" s="513"/>
      <c r="T60" s="513"/>
      <c r="U60" s="513"/>
      <c r="V60" s="515"/>
      <c r="W60" s="3693"/>
      <c r="X60"/>
      <c r="Y60"/>
      <c r="Z60"/>
      <c r="AA60" s="525"/>
      <c r="AB60" s="523"/>
      <c r="AC60" s="523"/>
      <c r="AD60" s="523"/>
      <c r="AE60" s="591"/>
      <c r="AF60" s="517"/>
      <c r="AG60" s="518"/>
      <c r="AH60" s="519"/>
    </row>
    <row r="61" spans="1:34" s="529" customFormat="1" ht="12.75" customHeight="1" outlineLevel="1">
      <c r="D61" s="308"/>
      <c r="E61" s="554"/>
      <c r="F61" s="575" t="s">
        <v>594</v>
      </c>
      <c r="G61" s="2035"/>
      <c r="H61" s="2036"/>
      <c r="I61" s="2036"/>
      <c r="J61" s="2036"/>
      <c r="K61" s="2047"/>
      <c r="L61" s="514"/>
      <c r="M61" s="513"/>
      <c r="N61" s="513"/>
      <c r="O61" s="513"/>
      <c r="P61" s="515"/>
      <c r="Q61" s="1442"/>
      <c r="R61" s="467"/>
      <c r="S61" s="513"/>
      <c r="T61" s="513"/>
      <c r="U61" s="513"/>
      <c r="V61" s="515"/>
      <c r="W61" s="3693"/>
      <c r="X61"/>
      <c r="Y61"/>
      <c r="Z61"/>
      <c r="AA61" s="525"/>
      <c r="AB61" s="523"/>
      <c r="AC61" s="523"/>
      <c r="AD61" s="523"/>
      <c r="AE61" s="591"/>
      <c r="AF61" s="517"/>
      <c r="AG61" s="518"/>
      <c r="AH61" s="519"/>
    </row>
    <row r="62" spans="1:34" s="529" customFormat="1" ht="12.75" customHeight="1" outlineLevel="1">
      <c r="D62" s="308"/>
      <c r="E62" s="554"/>
      <c r="F62" s="575" t="s">
        <v>614</v>
      </c>
      <c r="G62" s="2035"/>
      <c r="H62" s="2036"/>
      <c r="I62" s="2036"/>
      <c r="J62" s="2036"/>
      <c r="K62" s="2047"/>
      <c r="L62" s="514"/>
      <c r="M62" s="513"/>
      <c r="N62" s="513"/>
      <c r="O62" s="513"/>
      <c r="P62" s="515"/>
      <c r="Q62" s="1442"/>
      <c r="R62" s="467"/>
      <c r="S62" s="513"/>
      <c r="T62" s="513"/>
      <c r="U62" s="513"/>
      <c r="V62" s="515"/>
      <c r="W62" s="3693"/>
      <c r="X62"/>
      <c r="Y62"/>
      <c r="Z62"/>
      <c r="AA62" s="525"/>
      <c r="AB62" s="523"/>
      <c r="AC62" s="523"/>
      <c r="AD62" s="523"/>
      <c r="AE62" s="591"/>
      <c r="AF62" s="517"/>
      <c r="AG62" s="518"/>
      <c r="AH62" s="519"/>
    </row>
    <row r="63" spans="1:34" s="529" customFormat="1" ht="12.75" customHeight="1" outlineLevel="1">
      <c r="D63" s="308"/>
      <c r="E63" s="554"/>
      <c r="F63" s="576" t="s">
        <v>615</v>
      </c>
      <c r="G63" s="514"/>
      <c r="H63" s="513"/>
      <c r="I63" s="513"/>
      <c r="J63" s="513"/>
      <c r="K63" s="515"/>
      <c r="L63" s="401">
        <f t="shared" ref="L63:P63" si="34">SUM(L60:L62)</f>
        <v>0</v>
      </c>
      <c r="M63" s="402">
        <f t="shared" si="34"/>
        <v>0</v>
      </c>
      <c r="N63" s="402">
        <f t="shared" si="34"/>
        <v>0</v>
      </c>
      <c r="O63" s="402">
        <f t="shared" si="34"/>
        <v>0</v>
      </c>
      <c r="P63" s="505">
        <f t="shared" si="34"/>
        <v>0</v>
      </c>
      <c r="Q63" s="1443"/>
      <c r="R63" s="502">
        <f>SUM(R60:R62)</f>
        <v>0</v>
      </c>
      <c r="S63" s="402">
        <f>SUM(S60:S62)</f>
        <v>0</v>
      </c>
      <c r="T63" s="402">
        <f>SUM(T60:T62)</f>
        <v>0</v>
      </c>
      <c r="U63" s="402">
        <f>SUM(U60:U62)</f>
        <v>0</v>
      </c>
      <c r="V63" s="505">
        <f>SUM(V60:V62)</f>
        <v>0</v>
      </c>
      <c r="W63" s="3693"/>
      <c r="X63"/>
      <c r="Y63"/>
      <c r="Z63"/>
      <c r="AA63" s="517"/>
      <c r="AB63" s="518"/>
      <c r="AC63" s="518"/>
      <c r="AD63" s="518"/>
      <c r="AE63" s="519"/>
      <c r="AF63" s="401">
        <f t="shared" ref="AF63:AH63" si="35">SUM(AF60:AF62)</f>
        <v>0</v>
      </c>
      <c r="AG63" s="402">
        <f t="shared" si="35"/>
        <v>0</v>
      </c>
      <c r="AH63" s="505">
        <f t="shared" si="35"/>
        <v>0</v>
      </c>
    </row>
    <row r="64" spans="1:34" s="529" customFormat="1" ht="12.75" customHeight="1" outlineLevel="1">
      <c r="D64" s="308"/>
      <c r="E64" s="554"/>
      <c r="F64" s="575" t="s">
        <v>619</v>
      </c>
      <c r="G64" s="514"/>
      <c r="H64" s="513"/>
      <c r="I64" s="513"/>
      <c r="J64" s="513"/>
      <c r="K64" s="515"/>
      <c r="L64" s="569">
        <v>0</v>
      </c>
      <c r="M64" s="570">
        <v>0</v>
      </c>
      <c r="N64" s="570">
        <v>0</v>
      </c>
      <c r="O64" s="570">
        <v>0</v>
      </c>
      <c r="P64" s="608">
        <v>0</v>
      </c>
      <c r="Q64" s="1442"/>
      <c r="R64" s="561"/>
      <c r="S64" s="532"/>
      <c r="T64" s="532"/>
      <c r="U64" s="532"/>
      <c r="V64" s="579"/>
      <c r="W64" s="3693"/>
      <c r="X64"/>
      <c r="Y64"/>
      <c r="Z64"/>
      <c r="AA64" s="517"/>
      <c r="AB64" s="518"/>
      <c r="AC64" s="518"/>
      <c r="AD64" s="518"/>
      <c r="AE64" s="519"/>
      <c r="AF64" s="569">
        <v>0</v>
      </c>
      <c r="AG64" s="570">
        <v>0</v>
      </c>
      <c r="AH64" s="608">
        <v>0</v>
      </c>
    </row>
    <row r="65" spans="1:34" s="529" customFormat="1" ht="12.75" customHeight="1" outlineLevel="1">
      <c r="D65" s="308"/>
      <c r="E65" s="554"/>
      <c r="F65" s="575" t="s">
        <v>617</v>
      </c>
      <c r="G65" s="514"/>
      <c r="H65" s="513"/>
      <c r="I65" s="513"/>
      <c r="J65" s="513"/>
      <c r="K65" s="515"/>
      <c r="L65" s="517">
        <v>0</v>
      </c>
      <c r="M65" s="518">
        <v>0</v>
      </c>
      <c r="N65" s="518">
        <v>0</v>
      </c>
      <c r="O65" s="518">
        <v>0</v>
      </c>
      <c r="P65" s="519">
        <v>0</v>
      </c>
      <c r="Q65" s="1442"/>
      <c r="R65" s="467"/>
      <c r="S65" s="513"/>
      <c r="T65" s="513"/>
      <c r="U65" s="513"/>
      <c r="V65" s="515"/>
      <c r="W65" s="3693"/>
      <c r="X65"/>
      <c r="Y65"/>
      <c r="Z65"/>
      <c r="AA65" s="517"/>
      <c r="AB65" s="518"/>
      <c r="AC65" s="518"/>
      <c r="AD65" s="518"/>
      <c r="AE65" s="519"/>
      <c r="AF65" s="517">
        <v>0</v>
      </c>
      <c r="AG65" s="518">
        <v>0</v>
      </c>
      <c r="AH65" s="519">
        <v>0</v>
      </c>
    </row>
    <row r="66" spans="1:34" s="529" customFormat="1" ht="12.75" customHeight="1" outlineLevel="1">
      <c r="D66" s="308"/>
      <c r="E66" s="554"/>
      <c r="F66" s="576" t="s">
        <v>620</v>
      </c>
      <c r="G66" s="401">
        <f t="shared" ref="G66:P66" si="36">SUM(G64:G65)</f>
        <v>0</v>
      </c>
      <c r="H66" s="402">
        <f t="shared" si="36"/>
        <v>0</v>
      </c>
      <c r="I66" s="402">
        <f t="shared" si="36"/>
        <v>0</v>
      </c>
      <c r="J66" s="402">
        <f t="shared" si="36"/>
        <v>0</v>
      </c>
      <c r="K66" s="505">
        <f t="shared" si="36"/>
        <v>0</v>
      </c>
      <c r="L66" s="401">
        <f t="shared" si="36"/>
        <v>0</v>
      </c>
      <c r="M66" s="402">
        <f t="shared" si="36"/>
        <v>0</v>
      </c>
      <c r="N66" s="402">
        <f t="shared" si="36"/>
        <v>0</v>
      </c>
      <c r="O66" s="402">
        <f t="shared" si="36"/>
        <v>0</v>
      </c>
      <c r="P66" s="505">
        <f t="shared" si="36"/>
        <v>0</v>
      </c>
      <c r="Q66" s="1443"/>
      <c r="R66" s="502">
        <f>SUM(R64:R65)</f>
        <v>0</v>
      </c>
      <c r="S66" s="402">
        <f>SUM(S64:S65)</f>
        <v>0</v>
      </c>
      <c r="T66" s="402">
        <f>SUM(T64:T65)</f>
        <v>0</v>
      </c>
      <c r="U66" s="402">
        <f>SUM(U64:U65)</f>
        <v>0</v>
      </c>
      <c r="V66" s="505">
        <f>SUM(V64:V65)</f>
        <v>0</v>
      </c>
      <c r="W66" s="3693"/>
      <c r="X66"/>
      <c r="Y66"/>
      <c r="Z66"/>
      <c r="AA66" s="401">
        <f t="shared" ref="AA66:AH66" si="37">SUM(AA64:AA65)</f>
        <v>0</v>
      </c>
      <c r="AB66" s="402">
        <f t="shared" si="37"/>
        <v>0</v>
      </c>
      <c r="AC66" s="402">
        <f t="shared" si="37"/>
        <v>0</v>
      </c>
      <c r="AD66" s="402">
        <f t="shared" si="37"/>
        <v>0</v>
      </c>
      <c r="AE66" s="505">
        <f t="shared" si="37"/>
        <v>0</v>
      </c>
      <c r="AF66" s="401">
        <f t="shared" si="37"/>
        <v>0</v>
      </c>
      <c r="AG66" s="402">
        <f t="shared" si="37"/>
        <v>0</v>
      </c>
      <c r="AH66" s="505">
        <f t="shared" si="37"/>
        <v>0</v>
      </c>
    </row>
    <row r="67" spans="1:34" s="529" customFormat="1" ht="12.75" customHeight="1" outlineLevel="1">
      <c r="D67" s="308"/>
      <c r="E67" s="554"/>
      <c r="F67" s="575" t="s">
        <v>35</v>
      </c>
      <c r="G67" s="514"/>
      <c r="H67" s="513"/>
      <c r="I67" s="513"/>
      <c r="J67" s="513"/>
      <c r="K67" s="515"/>
      <c r="L67" s="514"/>
      <c r="M67" s="513"/>
      <c r="N67" s="513"/>
      <c r="O67" s="513"/>
      <c r="P67" s="515"/>
      <c r="Q67" s="1442"/>
      <c r="R67" s="467"/>
      <c r="S67" s="513"/>
      <c r="T67" s="513"/>
      <c r="U67" s="513"/>
      <c r="V67" s="515"/>
      <c r="W67" s="3693"/>
      <c r="X67"/>
      <c r="Y67"/>
      <c r="Z67"/>
      <c r="AA67" s="517"/>
      <c r="AB67" s="518"/>
      <c r="AC67" s="518"/>
      <c r="AD67" s="518"/>
      <c r="AE67" s="519"/>
      <c r="AF67" s="517"/>
      <c r="AG67" s="518"/>
      <c r="AH67" s="519"/>
    </row>
    <row r="68" spans="1:34" s="529" customFormat="1" ht="12.75" customHeight="1" outlineLevel="1" thickBot="1">
      <c r="D68" s="308"/>
      <c r="E68" s="554"/>
      <c r="F68" s="1753" t="s">
        <v>621</v>
      </c>
      <c r="G68" s="404">
        <f t="shared" ref="G68:P68" si="38">G66-G67</f>
        <v>0</v>
      </c>
      <c r="H68" s="405">
        <f t="shared" si="38"/>
        <v>0</v>
      </c>
      <c r="I68" s="405">
        <f t="shared" si="38"/>
        <v>0</v>
      </c>
      <c r="J68" s="405">
        <f t="shared" si="38"/>
        <v>0</v>
      </c>
      <c r="K68" s="560">
        <f t="shared" si="38"/>
        <v>0</v>
      </c>
      <c r="L68" s="404">
        <f t="shared" si="38"/>
        <v>0</v>
      </c>
      <c r="M68" s="405">
        <f t="shared" ref="M68" si="39">M66-M67</f>
        <v>0</v>
      </c>
      <c r="N68" s="405">
        <f t="shared" si="38"/>
        <v>0</v>
      </c>
      <c r="O68" s="405">
        <f t="shared" si="38"/>
        <v>0</v>
      </c>
      <c r="P68" s="560">
        <f t="shared" si="38"/>
        <v>0</v>
      </c>
      <c r="Q68" s="1444"/>
      <c r="R68" s="559">
        <f>R66-R67</f>
        <v>0</v>
      </c>
      <c r="S68" s="405">
        <f>S66-S67</f>
        <v>0</v>
      </c>
      <c r="T68" s="405">
        <f>T66-T67</f>
        <v>0</v>
      </c>
      <c r="U68" s="405">
        <f>U66-U67</f>
        <v>0</v>
      </c>
      <c r="V68" s="560">
        <f>V66-V67</f>
        <v>0</v>
      </c>
      <c r="W68" s="3694"/>
      <c r="X68"/>
      <c r="Y68"/>
      <c r="Z68"/>
      <c r="AA68" s="1710">
        <f t="shared" ref="AA68:AH68" si="40">AA66-AA67</f>
        <v>0</v>
      </c>
      <c r="AB68" s="405">
        <f t="shared" si="40"/>
        <v>0</v>
      </c>
      <c r="AC68" s="405">
        <f t="shared" si="40"/>
        <v>0</v>
      </c>
      <c r="AD68" s="405">
        <f t="shared" si="40"/>
        <v>0</v>
      </c>
      <c r="AE68" s="560">
        <f t="shared" si="40"/>
        <v>0</v>
      </c>
      <c r="AF68" s="1710">
        <f t="shared" si="40"/>
        <v>0</v>
      </c>
      <c r="AG68" s="405">
        <f t="shared" si="40"/>
        <v>0</v>
      </c>
      <c r="AH68" s="560">
        <f t="shared" si="40"/>
        <v>0</v>
      </c>
    </row>
    <row r="69" spans="1:34" s="529" customFormat="1" ht="15.75">
      <c r="D69" s="308"/>
      <c r="E69" s="2056" t="str">
        <f>CONCATENATE(E48, " Totals")</f>
        <v>&lt; insert sub-category &gt; Totals</v>
      </c>
      <c r="F69" s="2057" t="str">
        <f>CONCATENATE("Total direct expenditure - ",E48)</f>
        <v>Total direct expenditure - &lt; insert sub-category &gt;</v>
      </c>
      <c r="G69" s="596">
        <f t="shared" ref="G69:P69" ca="1" si="41">SUMIF($E$48:$P$68,"Total direct expenditure",G$48:G$68)</f>
        <v>0</v>
      </c>
      <c r="H69" s="597">
        <f t="shared" ca="1" si="41"/>
        <v>0</v>
      </c>
      <c r="I69" s="597">
        <f t="shared" ca="1" si="41"/>
        <v>0</v>
      </c>
      <c r="J69" s="597">
        <f t="shared" ca="1" si="41"/>
        <v>0</v>
      </c>
      <c r="K69" s="598">
        <f t="shared" ca="1" si="41"/>
        <v>0</v>
      </c>
      <c r="L69" s="596">
        <f t="shared" ca="1" si="41"/>
        <v>0</v>
      </c>
      <c r="M69" s="597">
        <f t="shared" ca="1" si="41"/>
        <v>0</v>
      </c>
      <c r="N69" s="597">
        <f t="shared" ca="1" si="41"/>
        <v>0</v>
      </c>
      <c r="O69" s="597">
        <f t="shared" ca="1" si="41"/>
        <v>0</v>
      </c>
      <c r="P69" s="598">
        <f t="shared" ca="1" si="41"/>
        <v>0</v>
      </c>
      <c r="Q69" s="1445"/>
      <c r="R69" s="595">
        <f ca="1">SUMIF($E$48:$P$68,"Total direct expenditure",R$48:R$68)</f>
        <v>0</v>
      </c>
      <c r="S69" s="551">
        <f ca="1">SUMIF($E$48:$P$68,"Total direct expenditure",S$48:S$68)</f>
        <v>0</v>
      </c>
      <c r="T69" s="551">
        <f ca="1">SUMIF($E$48:$P$68,"Total direct expenditure",T$48:T$68)</f>
        <v>0</v>
      </c>
      <c r="U69" s="551">
        <f ca="1">SUMIF($E$48:$P$68,"Total direct expenditure",U$48:U$68)</f>
        <v>0</v>
      </c>
      <c r="V69" s="556">
        <f ca="1">SUMIF($E$48:$P$68,"Total direct expenditure",V$48:V$68)</f>
        <v>0</v>
      </c>
      <c r="W69" s="3685"/>
      <c r="X69"/>
      <c r="Y69"/>
      <c r="Z69"/>
      <c r="AA69" s="1804">
        <f t="shared" ref="AA69:AH69" ca="1" si="42">SUMIF($E$48:$P$68,"Total direct expenditure",AA$48:AA$68)</f>
        <v>0</v>
      </c>
      <c r="AB69" s="597">
        <f t="shared" ca="1" si="42"/>
        <v>0</v>
      </c>
      <c r="AC69" s="597">
        <f t="shared" ca="1" si="42"/>
        <v>0</v>
      </c>
      <c r="AD69" s="597">
        <f t="shared" ca="1" si="42"/>
        <v>0</v>
      </c>
      <c r="AE69" s="598">
        <f t="shared" ca="1" si="42"/>
        <v>0</v>
      </c>
      <c r="AF69" s="1804">
        <f t="shared" ca="1" si="42"/>
        <v>0</v>
      </c>
      <c r="AG69" s="597">
        <f t="shared" ca="1" si="42"/>
        <v>0</v>
      </c>
      <c r="AH69" s="598">
        <f t="shared" ca="1" si="42"/>
        <v>0</v>
      </c>
    </row>
    <row r="70" spans="1:34" s="529" customFormat="1">
      <c r="D70" s="308"/>
      <c r="E70" s="2052"/>
      <c r="F70" s="2057" t="str">
        <f>CONCATENATE("Total direct expenditure - ",E48)</f>
        <v>Total direct expenditure - &lt; insert sub-category &gt;</v>
      </c>
      <c r="G70" s="594">
        <f t="shared" ref="G70:P70" ca="1" si="43">SUMIF($E$48:$P$68,"Total direct expenditure (incl escalation)",G$48:G$68)</f>
        <v>0</v>
      </c>
      <c r="H70" s="551">
        <f t="shared" ca="1" si="43"/>
        <v>0</v>
      </c>
      <c r="I70" s="551">
        <f t="shared" ca="1" si="43"/>
        <v>0</v>
      </c>
      <c r="J70" s="551">
        <f t="shared" ca="1" si="43"/>
        <v>0</v>
      </c>
      <c r="K70" s="553">
        <f t="shared" ca="1" si="43"/>
        <v>0</v>
      </c>
      <c r="L70" s="594">
        <f t="shared" ca="1" si="43"/>
        <v>0</v>
      </c>
      <c r="M70" s="551">
        <f t="shared" ca="1" si="43"/>
        <v>0</v>
      </c>
      <c r="N70" s="551">
        <f t="shared" ca="1" si="43"/>
        <v>0</v>
      </c>
      <c r="O70" s="551">
        <f t="shared" ca="1" si="43"/>
        <v>0</v>
      </c>
      <c r="P70" s="553">
        <f t="shared" ca="1" si="43"/>
        <v>0</v>
      </c>
      <c r="Q70" s="1446"/>
      <c r="R70" s="595">
        <f ca="1">SUMIF($E$48:$P$68,"Total direct expenditure (incl escalation)",R$48:R$68)</f>
        <v>0</v>
      </c>
      <c r="S70" s="551">
        <f ca="1">SUMIF($E$48:$P$68,"Total direct expenditure (incl escalation)",S$48:S$68)</f>
        <v>0</v>
      </c>
      <c r="T70" s="551">
        <f ca="1">SUMIF($E$48:$P$68,"Total direct expenditure (incl escalation)",T$48:T$68)</f>
        <v>0</v>
      </c>
      <c r="U70" s="551">
        <f ca="1">SUMIF($E$48:$P$68,"Total direct expenditure (incl escalation)",U$48:U$68)</f>
        <v>0</v>
      </c>
      <c r="V70" s="556">
        <f ca="1">SUMIF($E$48:$P$68,"Total direct expenditure (incl escalation)",V$48:V$68)</f>
        <v>0</v>
      </c>
      <c r="W70" s="3686"/>
      <c r="X70"/>
      <c r="Y70"/>
      <c r="Z70"/>
      <c r="AA70" s="594">
        <f t="shared" ref="AA70:AH70" ca="1" si="44">SUMIF($E$48:$P$68,"Total direct expenditure (incl escalation)",AA$48:AA$68)</f>
        <v>0</v>
      </c>
      <c r="AB70" s="551">
        <f t="shared" ca="1" si="44"/>
        <v>0</v>
      </c>
      <c r="AC70" s="551">
        <f t="shared" ca="1" si="44"/>
        <v>0</v>
      </c>
      <c r="AD70" s="551">
        <f t="shared" ca="1" si="44"/>
        <v>0</v>
      </c>
      <c r="AE70" s="553">
        <f t="shared" ca="1" si="44"/>
        <v>0</v>
      </c>
      <c r="AF70" s="594">
        <f t="shared" ca="1" si="44"/>
        <v>0</v>
      </c>
      <c r="AG70" s="551">
        <f t="shared" ca="1" si="44"/>
        <v>0</v>
      </c>
      <c r="AH70" s="553">
        <f t="shared" ca="1" si="44"/>
        <v>0</v>
      </c>
    </row>
    <row r="71" spans="1:34" s="529" customFormat="1">
      <c r="D71" s="308"/>
      <c r="E71" s="2052"/>
      <c r="F71" s="340" t="str">
        <f>CONCATENATE("Total overhead expenditure - ",E48)</f>
        <v>Total overhead expenditure - &lt; insert sub-category &gt;</v>
      </c>
      <c r="G71" s="594">
        <f t="shared" ref="G71:P71" ca="1" si="45">SUMIF($E$48:$P$68,"Total overhead expenditure",G$48:G$68)</f>
        <v>0</v>
      </c>
      <c r="H71" s="551">
        <f t="shared" ca="1" si="45"/>
        <v>0</v>
      </c>
      <c r="I71" s="551">
        <f t="shared" ca="1" si="45"/>
        <v>0</v>
      </c>
      <c r="J71" s="551">
        <f t="shared" ca="1" si="45"/>
        <v>0</v>
      </c>
      <c r="K71" s="553">
        <f t="shared" ca="1" si="45"/>
        <v>0</v>
      </c>
      <c r="L71" s="594">
        <f t="shared" ca="1" si="45"/>
        <v>0</v>
      </c>
      <c r="M71" s="551">
        <f t="shared" ca="1" si="45"/>
        <v>0</v>
      </c>
      <c r="N71" s="551">
        <f t="shared" ca="1" si="45"/>
        <v>0</v>
      </c>
      <c r="O71" s="551">
        <f t="shared" ca="1" si="45"/>
        <v>0</v>
      </c>
      <c r="P71" s="553">
        <f t="shared" ca="1" si="45"/>
        <v>0</v>
      </c>
      <c r="Q71" s="1446"/>
      <c r="R71" s="595">
        <f ca="1">SUMIF($E$48:$P$68,"Total overhead expenditure",R$48:R$68)</f>
        <v>0</v>
      </c>
      <c r="S71" s="551">
        <f ca="1">SUMIF($E$48:$P$68,"Total overhead expenditure",S$48:S$68)</f>
        <v>0</v>
      </c>
      <c r="T71" s="551">
        <f ca="1">SUMIF($E$48:$P$68,"Total overhead expenditure",T$48:T$68)</f>
        <v>0</v>
      </c>
      <c r="U71" s="551">
        <f ca="1">SUMIF($E$48:$P$68,"Total overhead expenditure",U$48:U$68)</f>
        <v>0</v>
      </c>
      <c r="V71" s="556">
        <f ca="1">SUMIF($E$48:$P$68,"Total overhead expenditure",V$48:V$68)</f>
        <v>0</v>
      </c>
      <c r="W71" s="3686"/>
      <c r="X71"/>
      <c r="Y71"/>
      <c r="Z71"/>
      <c r="AA71" s="594">
        <f t="shared" ref="AA71:AH71" ca="1" si="46">SUMIF($E$48:$P$68,"Total overhead expenditure",AA$48:AA$68)</f>
        <v>0</v>
      </c>
      <c r="AB71" s="551">
        <f t="shared" ca="1" si="46"/>
        <v>0</v>
      </c>
      <c r="AC71" s="551">
        <f t="shared" ca="1" si="46"/>
        <v>0</v>
      </c>
      <c r="AD71" s="551">
        <f t="shared" ca="1" si="46"/>
        <v>0</v>
      </c>
      <c r="AE71" s="553">
        <f t="shared" ca="1" si="46"/>
        <v>0</v>
      </c>
      <c r="AF71" s="594">
        <f t="shared" ca="1" si="46"/>
        <v>0</v>
      </c>
      <c r="AG71" s="551">
        <f t="shared" ca="1" si="46"/>
        <v>0</v>
      </c>
      <c r="AH71" s="553">
        <f t="shared" ca="1" si="46"/>
        <v>0</v>
      </c>
    </row>
    <row r="72" spans="1:34" s="529" customFormat="1">
      <c r="D72" s="308"/>
      <c r="E72" s="2052"/>
      <c r="F72" s="340" t="str">
        <f>CONCATENATE("Related party margin expenditure - ",E48)</f>
        <v>Related party margin expenditure - &lt; insert sub-category &gt;</v>
      </c>
      <c r="G72" s="594">
        <f t="shared" ref="G72:P72" ca="1" si="47">SUMIF($E$48:$P$68,"Related party margin",G$48:G$68)</f>
        <v>0</v>
      </c>
      <c r="H72" s="551">
        <f t="shared" ca="1" si="47"/>
        <v>0</v>
      </c>
      <c r="I72" s="551">
        <f t="shared" ca="1" si="47"/>
        <v>0</v>
      </c>
      <c r="J72" s="551">
        <f t="shared" ca="1" si="47"/>
        <v>0</v>
      </c>
      <c r="K72" s="553">
        <f t="shared" ca="1" si="47"/>
        <v>0</v>
      </c>
      <c r="L72" s="594">
        <f t="shared" ca="1" si="47"/>
        <v>0</v>
      </c>
      <c r="M72" s="551">
        <f t="shared" ca="1" si="47"/>
        <v>0</v>
      </c>
      <c r="N72" s="551">
        <f t="shared" ca="1" si="47"/>
        <v>0</v>
      </c>
      <c r="O72" s="551">
        <f t="shared" ca="1" si="47"/>
        <v>0</v>
      </c>
      <c r="P72" s="553">
        <f t="shared" ca="1" si="47"/>
        <v>0</v>
      </c>
      <c r="Q72" s="1446"/>
      <c r="R72" s="595">
        <f ca="1">SUMIF($E$48:$P$68,"Related party margin",R$48:R$68)</f>
        <v>0</v>
      </c>
      <c r="S72" s="551">
        <f ca="1">SUMIF($E$48:$P$68,"Related party margin",S$48:S$68)</f>
        <v>0</v>
      </c>
      <c r="T72" s="551">
        <f ca="1">SUMIF($E$48:$P$68,"Related party margin",T$48:T$68)</f>
        <v>0</v>
      </c>
      <c r="U72" s="551">
        <f ca="1">SUMIF($E$48:$P$68,"Related party margin",U$48:U$68)</f>
        <v>0</v>
      </c>
      <c r="V72" s="556">
        <f ca="1">SUMIF($E$48:$P$68,"Related party margin",V$48:V$68)</f>
        <v>0</v>
      </c>
      <c r="W72" s="3686"/>
      <c r="X72"/>
      <c r="Y72"/>
      <c r="Z72"/>
      <c r="AA72" s="594">
        <f t="shared" ref="AA72:AH72" ca="1" si="48">SUMIF($E$48:$P$68,"Related party margin",AA$48:AA$68)</f>
        <v>0</v>
      </c>
      <c r="AB72" s="551">
        <f t="shared" ca="1" si="48"/>
        <v>0</v>
      </c>
      <c r="AC72" s="551">
        <f t="shared" ca="1" si="48"/>
        <v>0</v>
      </c>
      <c r="AD72" s="551">
        <f t="shared" ca="1" si="48"/>
        <v>0</v>
      </c>
      <c r="AE72" s="553">
        <f t="shared" ca="1" si="48"/>
        <v>0</v>
      </c>
      <c r="AF72" s="594">
        <f t="shared" ca="1" si="48"/>
        <v>0</v>
      </c>
      <c r="AG72" s="551">
        <f t="shared" ca="1" si="48"/>
        <v>0</v>
      </c>
      <c r="AH72" s="553">
        <f t="shared" ca="1" si="48"/>
        <v>0</v>
      </c>
    </row>
    <row r="73" spans="1:34" s="70" customFormat="1">
      <c r="A73" s="76"/>
      <c r="B73" s="76"/>
      <c r="C73" s="76"/>
      <c r="D73" s="360"/>
      <c r="E73" s="2052"/>
      <c r="F73" s="2058" t="str">
        <f>CONCATENATE("Total gross expenditure - ",E48)</f>
        <v>Total gross expenditure - &lt; insert sub-category &gt;</v>
      </c>
      <c r="G73" s="1396">
        <f t="shared" ref="G73:P73" ca="1" si="49">SUMIF($E$48:$P$68,"Total gross expenditure",G$48:G$68)</f>
        <v>0</v>
      </c>
      <c r="H73" s="1397">
        <f t="shared" ca="1" si="49"/>
        <v>0</v>
      </c>
      <c r="I73" s="1397">
        <f t="shared" ca="1" si="49"/>
        <v>0</v>
      </c>
      <c r="J73" s="1397">
        <f t="shared" ca="1" si="49"/>
        <v>0</v>
      </c>
      <c r="K73" s="1398">
        <f t="shared" ca="1" si="49"/>
        <v>0</v>
      </c>
      <c r="L73" s="1396">
        <f t="shared" ca="1" si="49"/>
        <v>0</v>
      </c>
      <c r="M73" s="1397">
        <f t="shared" ca="1" si="49"/>
        <v>0</v>
      </c>
      <c r="N73" s="1397">
        <f t="shared" ca="1" si="49"/>
        <v>0</v>
      </c>
      <c r="O73" s="1397">
        <f t="shared" ca="1" si="49"/>
        <v>0</v>
      </c>
      <c r="P73" s="1398">
        <f t="shared" ca="1" si="49"/>
        <v>0</v>
      </c>
      <c r="Q73" s="1447"/>
      <c r="R73" s="1399">
        <f ca="1">SUMIF($E$48:$P$68,"Total gross expenditure",R$48:R$68)</f>
        <v>0</v>
      </c>
      <c r="S73" s="1397">
        <f ca="1">SUMIF($E$48:$P$68,"Total gross expenditure",S$48:S$68)</f>
        <v>0</v>
      </c>
      <c r="T73" s="1397">
        <f ca="1">SUMIF($E$48:$P$68,"Total gross expenditure",T$48:T$68)</f>
        <v>0</v>
      </c>
      <c r="U73" s="1397">
        <f ca="1">SUMIF($E$48:$P$68,"Total gross expenditure",U$48:U$68)</f>
        <v>0</v>
      </c>
      <c r="V73" s="1400">
        <f ca="1">SUMIF($E$48:$P$68,"Total gross expenditure",V$48:V$68)</f>
        <v>0</v>
      </c>
      <c r="W73" s="3686"/>
      <c r="X73"/>
      <c r="Y73"/>
      <c r="Z73"/>
      <c r="AA73" s="1396">
        <f t="shared" ref="AA73:AH73" ca="1" si="50">SUMIF($E$48:$P$68,"Total gross expenditure",AA$48:AA$68)</f>
        <v>0</v>
      </c>
      <c r="AB73" s="1397">
        <f t="shared" ca="1" si="50"/>
        <v>0</v>
      </c>
      <c r="AC73" s="1397">
        <f t="shared" ca="1" si="50"/>
        <v>0</v>
      </c>
      <c r="AD73" s="1397">
        <f t="shared" ca="1" si="50"/>
        <v>0</v>
      </c>
      <c r="AE73" s="1398">
        <f t="shared" ca="1" si="50"/>
        <v>0</v>
      </c>
      <c r="AF73" s="1396">
        <f t="shared" ca="1" si="50"/>
        <v>0</v>
      </c>
      <c r="AG73" s="1397">
        <f t="shared" ca="1" si="50"/>
        <v>0</v>
      </c>
      <c r="AH73" s="1398">
        <f t="shared" ca="1" si="50"/>
        <v>0</v>
      </c>
    </row>
    <row r="74" spans="1:34" s="70" customFormat="1">
      <c r="A74" s="76"/>
      <c r="B74" s="76"/>
      <c r="C74" s="76"/>
      <c r="D74" s="360"/>
      <c r="E74" s="2052"/>
      <c r="F74" s="340" t="s">
        <v>35</v>
      </c>
      <c r="G74" s="594">
        <f t="shared" ref="G74:P74" ca="1" si="51">SUMIF($E$48:$P$68,"Less customer contributions",G$48:G$68)</f>
        <v>0</v>
      </c>
      <c r="H74" s="551">
        <f t="shared" ca="1" si="51"/>
        <v>0</v>
      </c>
      <c r="I74" s="551">
        <f t="shared" ca="1" si="51"/>
        <v>0</v>
      </c>
      <c r="J74" s="551">
        <f t="shared" ca="1" si="51"/>
        <v>0</v>
      </c>
      <c r="K74" s="553">
        <f t="shared" ca="1" si="51"/>
        <v>0</v>
      </c>
      <c r="L74" s="594">
        <f t="shared" ca="1" si="51"/>
        <v>0</v>
      </c>
      <c r="M74" s="551">
        <f t="shared" ca="1" si="51"/>
        <v>0</v>
      </c>
      <c r="N74" s="551">
        <f t="shared" ca="1" si="51"/>
        <v>0</v>
      </c>
      <c r="O74" s="551">
        <f t="shared" ca="1" si="51"/>
        <v>0</v>
      </c>
      <c r="P74" s="553">
        <f t="shared" ca="1" si="51"/>
        <v>0</v>
      </c>
      <c r="Q74" s="1446"/>
      <c r="R74" s="595">
        <f ca="1">SUMIF($E$48:$P$68,"Less customer contributions",R$48:R$68)</f>
        <v>0</v>
      </c>
      <c r="S74" s="551">
        <f ca="1">SUMIF($E$48:$P$68,"Less customer contributions",S$48:S$68)</f>
        <v>0</v>
      </c>
      <c r="T74" s="551">
        <f ca="1">SUMIF($E$48:$P$68,"Less customer contributions",T$48:T$68)</f>
        <v>0</v>
      </c>
      <c r="U74" s="551">
        <f ca="1">SUMIF($E$48:$P$68,"Less customer contributions",U$48:U$68)</f>
        <v>0</v>
      </c>
      <c r="V74" s="556">
        <f ca="1">SUMIF($E$48:$P$68,"Less customer contributions",V$48:V$68)</f>
        <v>0</v>
      </c>
      <c r="W74" s="3686"/>
      <c r="X74"/>
      <c r="Y74"/>
      <c r="Z74"/>
      <c r="AA74" s="594">
        <f t="shared" ref="AA74:AH74" ca="1" si="52">SUMIF($E$48:$P$68,"Less customer contributions",AA$48:AA$68)</f>
        <v>0</v>
      </c>
      <c r="AB74" s="551">
        <f t="shared" ca="1" si="52"/>
        <v>0</v>
      </c>
      <c r="AC74" s="551">
        <f t="shared" ca="1" si="52"/>
        <v>0</v>
      </c>
      <c r="AD74" s="551">
        <f t="shared" ca="1" si="52"/>
        <v>0</v>
      </c>
      <c r="AE74" s="553">
        <f t="shared" ca="1" si="52"/>
        <v>0</v>
      </c>
      <c r="AF74" s="594">
        <f t="shared" ca="1" si="52"/>
        <v>0</v>
      </c>
      <c r="AG74" s="551">
        <f t="shared" ca="1" si="52"/>
        <v>0</v>
      </c>
      <c r="AH74" s="553">
        <f t="shared" ca="1" si="52"/>
        <v>0</v>
      </c>
    </row>
    <row r="75" spans="1:34" s="70" customFormat="1" ht="13.5" thickBot="1">
      <c r="A75" s="76"/>
      <c r="B75" s="76"/>
      <c r="C75" s="76"/>
      <c r="D75" s="360"/>
      <c r="E75" s="2054"/>
      <c r="F75" s="2059" t="str">
        <f>CONCATENATE("Total net expenditure - ",E48)</f>
        <v>Total net expenditure - &lt; insert sub-category &gt;</v>
      </c>
      <c r="G75" s="1401">
        <f t="shared" ref="G75:P75" ca="1" si="53">SUMIF($E$48:$P$68,"Total net expenditure",G$48:G$68)</f>
        <v>0</v>
      </c>
      <c r="H75" s="1402">
        <f t="shared" ca="1" si="53"/>
        <v>0</v>
      </c>
      <c r="I75" s="1402">
        <f t="shared" ca="1" si="53"/>
        <v>0</v>
      </c>
      <c r="J75" s="1402">
        <f t="shared" ca="1" si="53"/>
        <v>0</v>
      </c>
      <c r="K75" s="1403">
        <f t="shared" ca="1" si="53"/>
        <v>0</v>
      </c>
      <c r="L75" s="1401">
        <f t="shared" ca="1" si="53"/>
        <v>0</v>
      </c>
      <c r="M75" s="1402">
        <f t="shared" ca="1" si="53"/>
        <v>0</v>
      </c>
      <c r="N75" s="1402">
        <f t="shared" ca="1" si="53"/>
        <v>0</v>
      </c>
      <c r="O75" s="1402">
        <f t="shared" ca="1" si="53"/>
        <v>0</v>
      </c>
      <c r="P75" s="1403">
        <f t="shared" ca="1" si="53"/>
        <v>0</v>
      </c>
      <c r="Q75" s="1448"/>
      <c r="R75" s="1404">
        <f ca="1">SUMIF($E$48:$P$68,"Total net expenditure",R$48:R$68)</f>
        <v>0</v>
      </c>
      <c r="S75" s="1402">
        <f ca="1">SUMIF($E$48:$P$68,"Total net expenditure",S$48:S$68)</f>
        <v>0</v>
      </c>
      <c r="T75" s="1402">
        <f ca="1">SUMIF($E$48:$P$68,"Total net expenditure",T$48:T$68)</f>
        <v>0</v>
      </c>
      <c r="U75" s="1402">
        <f ca="1">SUMIF($E$48:$P$68,"Total net expenditure",U$48:U$68)</f>
        <v>0</v>
      </c>
      <c r="V75" s="1403">
        <f ca="1">SUMIF($E$48:$P$68,"Total net expenditure",V$48:V$68)</f>
        <v>0</v>
      </c>
      <c r="W75" s="3687"/>
      <c r="X75"/>
      <c r="Y75"/>
      <c r="Z75"/>
      <c r="AA75" s="1805">
        <f t="shared" ref="AA75:AH75" ca="1" si="54">SUMIF($E$48:$P$68,"Total net expenditure",AA$48:AA$68)</f>
        <v>0</v>
      </c>
      <c r="AB75" s="1402">
        <f t="shared" ca="1" si="54"/>
        <v>0</v>
      </c>
      <c r="AC75" s="1402">
        <f t="shared" ca="1" si="54"/>
        <v>0</v>
      </c>
      <c r="AD75" s="1402">
        <f t="shared" ca="1" si="54"/>
        <v>0</v>
      </c>
      <c r="AE75" s="1403">
        <f t="shared" ca="1" si="54"/>
        <v>0</v>
      </c>
      <c r="AF75" s="1805">
        <f t="shared" ca="1" si="54"/>
        <v>0</v>
      </c>
      <c r="AG75" s="1402">
        <f t="shared" ca="1" si="54"/>
        <v>0</v>
      </c>
      <c r="AH75" s="1403">
        <f t="shared" ca="1" si="54"/>
        <v>0</v>
      </c>
    </row>
    <row r="76" spans="1:34" s="529" customFormat="1" ht="12.75" customHeight="1" thickBot="1">
      <c r="D76" s="308"/>
      <c r="E76" s="420"/>
      <c r="F76" s="137"/>
      <c r="G76" s="141"/>
      <c r="H76" s="141"/>
      <c r="I76" s="141"/>
      <c r="J76" s="141"/>
      <c r="K76" s="141"/>
      <c r="L76" s="141"/>
      <c r="M76" s="141"/>
      <c r="N76" s="141"/>
      <c r="O76" s="141"/>
      <c r="P76" s="141"/>
      <c r="Q76" s="141"/>
      <c r="R76" s="137"/>
      <c r="S76" s="137"/>
      <c r="T76" s="137"/>
      <c r="U76" s="137"/>
      <c r="V76" s="137"/>
      <c r="W76" s="137"/>
      <c r="X76"/>
      <c r="Y76"/>
      <c r="Z76"/>
      <c r="AA76" s="2163"/>
      <c r="AB76" s="141"/>
      <c r="AC76" s="141"/>
      <c r="AD76" s="141"/>
      <c r="AE76" s="141"/>
      <c r="AF76" s="141"/>
      <c r="AG76" s="141"/>
      <c r="AH76" s="2164"/>
    </row>
    <row r="77" spans="1:34" s="529" customFormat="1" ht="18" customHeight="1">
      <c r="D77" s="308"/>
      <c r="E77" s="3698" t="s">
        <v>370</v>
      </c>
      <c r="F77" s="2060" t="s">
        <v>615</v>
      </c>
      <c r="G77" s="596">
        <f t="shared" ref="G77:V77" ca="1" si="55">SUM(G41,G69)</f>
        <v>0</v>
      </c>
      <c r="H77" s="597">
        <f t="shared" ca="1" si="55"/>
        <v>0</v>
      </c>
      <c r="I77" s="597">
        <f t="shared" ca="1" si="55"/>
        <v>0</v>
      </c>
      <c r="J77" s="597">
        <f t="shared" ca="1" si="55"/>
        <v>0</v>
      </c>
      <c r="K77" s="610">
        <f t="shared" ca="1" si="55"/>
        <v>0</v>
      </c>
      <c r="L77" s="596">
        <f t="shared" ca="1" si="55"/>
        <v>0</v>
      </c>
      <c r="M77" s="597">
        <f t="shared" ca="1" si="55"/>
        <v>0</v>
      </c>
      <c r="N77" s="597">
        <f t="shared" ca="1" si="55"/>
        <v>0</v>
      </c>
      <c r="O77" s="597">
        <f t="shared" ca="1" si="55"/>
        <v>0</v>
      </c>
      <c r="P77" s="598">
        <f t="shared" ca="1" si="55"/>
        <v>0</v>
      </c>
      <c r="Q77" s="1437">
        <f t="shared" si="55"/>
        <v>0</v>
      </c>
      <c r="R77" s="596">
        <f t="shared" ca="1" si="55"/>
        <v>0</v>
      </c>
      <c r="S77" s="597">
        <f t="shared" ca="1" si="55"/>
        <v>0</v>
      </c>
      <c r="T77" s="597">
        <f t="shared" ca="1" si="55"/>
        <v>0</v>
      </c>
      <c r="U77" s="597">
        <f t="shared" ca="1" si="55"/>
        <v>0</v>
      </c>
      <c r="V77" s="609">
        <f t="shared" ca="1" si="55"/>
        <v>0</v>
      </c>
      <c r="W77" s="3688"/>
      <c r="X77"/>
      <c r="Y77"/>
      <c r="Z77"/>
      <c r="AA77" s="1804">
        <f t="shared" ref="AA77:AH77" ca="1" si="56">SUM(AA41,AA69)</f>
        <v>0</v>
      </c>
      <c r="AB77" s="597">
        <f t="shared" ca="1" si="56"/>
        <v>0</v>
      </c>
      <c r="AC77" s="597">
        <f t="shared" ca="1" si="56"/>
        <v>0</v>
      </c>
      <c r="AD77" s="597">
        <f t="shared" ca="1" si="56"/>
        <v>0</v>
      </c>
      <c r="AE77" s="610">
        <f t="shared" ca="1" si="56"/>
        <v>0</v>
      </c>
      <c r="AF77" s="1804">
        <f t="shared" ca="1" si="56"/>
        <v>0</v>
      </c>
      <c r="AG77" s="597">
        <f t="shared" ca="1" si="56"/>
        <v>0</v>
      </c>
      <c r="AH77" s="598">
        <f t="shared" ca="1" si="56"/>
        <v>0</v>
      </c>
    </row>
    <row r="78" spans="1:34" s="529" customFormat="1">
      <c r="D78" s="308"/>
      <c r="E78" s="3699"/>
      <c r="F78" s="2061" t="s">
        <v>619</v>
      </c>
      <c r="G78" s="594">
        <f t="shared" ref="G78:V78" ca="1" si="57">SUM(G43,G71)</f>
        <v>0</v>
      </c>
      <c r="H78" s="551">
        <f t="shared" ca="1" si="57"/>
        <v>0</v>
      </c>
      <c r="I78" s="551">
        <f t="shared" ca="1" si="57"/>
        <v>0</v>
      </c>
      <c r="J78" s="551">
        <f t="shared" ca="1" si="57"/>
        <v>0</v>
      </c>
      <c r="K78" s="556">
        <f t="shared" ca="1" si="57"/>
        <v>0</v>
      </c>
      <c r="L78" s="594">
        <f t="shared" ca="1" si="57"/>
        <v>0</v>
      </c>
      <c r="M78" s="551">
        <f t="shared" ca="1" si="57"/>
        <v>0</v>
      </c>
      <c r="N78" s="551">
        <f t="shared" ca="1" si="57"/>
        <v>0</v>
      </c>
      <c r="O78" s="551">
        <f t="shared" ca="1" si="57"/>
        <v>0</v>
      </c>
      <c r="P78" s="553">
        <f t="shared" ca="1" si="57"/>
        <v>0</v>
      </c>
      <c r="Q78" s="1438">
        <f t="shared" si="57"/>
        <v>0</v>
      </c>
      <c r="R78" s="594">
        <f t="shared" ca="1" si="57"/>
        <v>0</v>
      </c>
      <c r="S78" s="551">
        <f t="shared" ca="1" si="57"/>
        <v>0</v>
      </c>
      <c r="T78" s="551">
        <f t="shared" ca="1" si="57"/>
        <v>0</v>
      </c>
      <c r="U78" s="551">
        <f t="shared" ca="1" si="57"/>
        <v>0</v>
      </c>
      <c r="V78" s="552">
        <f t="shared" ca="1" si="57"/>
        <v>0</v>
      </c>
      <c r="W78" s="3689"/>
      <c r="X78"/>
      <c r="Y78"/>
      <c r="Z78"/>
      <c r="AA78" s="594">
        <f t="shared" ref="AA78:AH78" ca="1" si="58">SUM(AA43,AA71)</f>
        <v>0</v>
      </c>
      <c r="AB78" s="551">
        <f t="shared" ca="1" si="58"/>
        <v>0</v>
      </c>
      <c r="AC78" s="551">
        <f t="shared" ca="1" si="58"/>
        <v>0</v>
      </c>
      <c r="AD78" s="551">
        <f t="shared" ca="1" si="58"/>
        <v>0</v>
      </c>
      <c r="AE78" s="556">
        <f t="shared" ca="1" si="58"/>
        <v>0</v>
      </c>
      <c r="AF78" s="594">
        <f t="shared" ca="1" si="58"/>
        <v>0</v>
      </c>
      <c r="AG78" s="551">
        <f t="shared" ca="1" si="58"/>
        <v>0</v>
      </c>
      <c r="AH78" s="553">
        <f t="shared" ca="1" si="58"/>
        <v>0</v>
      </c>
    </row>
    <row r="79" spans="1:34" s="529" customFormat="1">
      <c r="D79" s="308"/>
      <c r="E79" s="3699"/>
      <c r="F79" s="2062" t="s">
        <v>617</v>
      </c>
      <c r="G79" s="594">
        <f t="shared" ref="G79:V79" ca="1" si="59">SUM(G44,G72)</f>
        <v>0</v>
      </c>
      <c r="H79" s="551">
        <f t="shared" ca="1" si="59"/>
        <v>0</v>
      </c>
      <c r="I79" s="551">
        <f t="shared" ca="1" si="59"/>
        <v>0</v>
      </c>
      <c r="J79" s="551">
        <f t="shared" ca="1" si="59"/>
        <v>0</v>
      </c>
      <c r="K79" s="556">
        <f t="shared" ca="1" si="59"/>
        <v>0</v>
      </c>
      <c r="L79" s="594">
        <f t="shared" ca="1" si="59"/>
        <v>0</v>
      </c>
      <c r="M79" s="551">
        <f t="shared" ca="1" si="59"/>
        <v>0</v>
      </c>
      <c r="N79" s="551">
        <f t="shared" ca="1" si="59"/>
        <v>0</v>
      </c>
      <c r="O79" s="551">
        <f t="shared" ca="1" si="59"/>
        <v>0</v>
      </c>
      <c r="P79" s="553">
        <f t="shared" ca="1" si="59"/>
        <v>0</v>
      </c>
      <c r="Q79" s="1438">
        <f t="shared" si="59"/>
        <v>0</v>
      </c>
      <c r="R79" s="594">
        <f t="shared" ca="1" si="59"/>
        <v>0</v>
      </c>
      <c r="S79" s="551">
        <f t="shared" ca="1" si="59"/>
        <v>0</v>
      </c>
      <c r="T79" s="551">
        <f t="shared" ca="1" si="59"/>
        <v>0</v>
      </c>
      <c r="U79" s="551">
        <f t="shared" ca="1" si="59"/>
        <v>0</v>
      </c>
      <c r="V79" s="552">
        <f t="shared" ca="1" si="59"/>
        <v>0</v>
      </c>
      <c r="W79" s="3689"/>
      <c r="X79"/>
      <c r="Y79"/>
      <c r="Z79"/>
      <c r="AA79" s="594">
        <f t="shared" ref="AA79:AH79" ca="1" si="60">SUM(AA44,AA72)</f>
        <v>0</v>
      </c>
      <c r="AB79" s="551">
        <f t="shared" ca="1" si="60"/>
        <v>0</v>
      </c>
      <c r="AC79" s="551">
        <f t="shared" ca="1" si="60"/>
        <v>0</v>
      </c>
      <c r="AD79" s="551">
        <f t="shared" ca="1" si="60"/>
        <v>0</v>
      </c>
      <c r="AE79" s="556">
        <f t="shared" ca="1" si="60"/>
        <v>0</v>
      </c>
      <c r="AF79" s="594">
        <f t="shared" ca="1" si="60"/>
        <v>0</v>
      </c>
      <c r="AG79" s="551">
        <f t="shared" ca="1" si="60"/>
        <v>0</v>
      </c>
      <c r="AH79" s="553">
        <f t="shared" ca="1" si="60"/>
        <v>0</v>
      </c>
    </row>
    <row r="80" spans="1:34" s="529" customFormat="1">
      <c r="D80" s="308"/>
      <c r="E80" s="3699"/>
      <c r="F80" s="2063" t="s">
        <v>620</v>
      </c>
      <c r="G80" s="1396">
        <f t="shared" ref="G80:V80" ca="1" si="61">SUM(G45,G73)</f>
        <v>0</v>
      </c>
      <c r="H80" s="1397">
        <f t="shared" ca="1" si="61"/>
        <v>0</v>
      </c>
      <c r="I80" s="1397">
        <f t="shared" ca="1" si="61"/>
        <v>0</v>
      </c>
      <c r="J80" s="1397">
        <f t="shared" ca="1" si="61"/>
        <v>0</v>
      </c>
      <c r="K80" s="1400">
        <f t="shared" ca="1" si="61"/>
        <v>0</v>
      </c>
      <c r="L80" s="1396">
        <f t="shared" ca="1" si="61"/>
        <v>0</v>
      </c>
      <c r="M80" s="1397">
        <f t="shared" ca="1" si="61"/>
        <v>0</v>
      </c>
      <c r="N80" s="1397">
        <f t="shared" ca="1" si="61"/>
        <v>0</v>
      </c>
      <c r="O80" s="1397">
        <f t="shared" ca="1" si="61"/>
        <v>0</v>
      </c>
      <c r="P80" s="1398">
        <f t="shared" ca="1" si="61"/>
        <v>0</v>
      </c>
      <c r="Q80" s="1439">
        <f t="shared" si="61"/>
        <v>0</v>
      </c>
      <c r="R80" s="1396">
        <f t="shared" ca="1" si="61"/>
        <v>0</v>
      </c>
      <c r="S80" s="1397">
        <f t="shared" ca="1" si="61"/>
        <v>0</v>
      </c>
      <c r="T80" s="1397">
        <f t="shared" ca="1" si="61"/>
        <v>0</v>
      </c>
      <c r="U80" s="1397">
        <f t="shared" ca="1" si="61"/>
        <v>0</v>
      </c>
      <c r="V80" s="1405">
        <f t="shared" ca="1" si="61"/>
        <v>0</v>
      </c>
      <c r="W80" s="3689"/>
      <c r="X80"/>
      <c r="Y80"/>
      <c r="Z80"/>
      <c r="AA80" s="1396">
        <f t="shared" ref="AA80:AH80" ca="1" si="62">SUM(AA45,AA73)</f>
        <v>0</v>
      </c>
      <c r="AB80" s="1397">
        <f t="shared" ca="1" si="62"/>
        <v>0</v>
      </c>
      <c r="AC80" s="1397">
        <f t="shared" ca="1" si="62"/>
        <v>0</v>
      </c>
      <c r="AD80" s="1397">
        <f t="shared" ca="1" si="62"/>
        <v>0</v>
      </c>
      <c r="AE80" s="1400">
        <f t="shared" ca="1" si="62"/>
        <v>0</v>
      </c>
      <c r="AF80" s="1396">
        <f t="shared" ca="1" si="62"/>
        <v>0</v>
      </c>
      <c r="AG80" s="1397">
        <f t="shared" ca="1" si="62"/>
        <v>0</v>
      </c>
      <c r="AH80" s="1398">
        <f t="shared" ca="1" si="62"/>
        <v>0</v>
      </c>
    </row>
    <row r="81" spans="1:37" s="529" customFormat="1">
      <c r="D81" s="308"/>
      <c r="E81" s="3699"/>
      <c r="F81" s="340" t="s">
        <v>35</v>
      </c>
      <c r="G81" s="594">
        <f t="shared" ref="G81:V81" ca="1" si="63">SUM(G46,G74)</f>
        <v>0</v>
      </c>
      <c r="H81" s="551">
        <f t="shared" ca="1" si="63"/>
        <v>0</v>
      </c>
      <c r="I81" s="551">
        <f t="shared" ca="1" si="63"/>
        <v>0</v>
      </c>
      <c r="J81" s="551">
        <f t="shared" ca="1" si="63"/>
        <v>0</v>
      </c>
      <c r="K81" s="556">
        <f t="shared" ca="1" si="63"/>
        <v>0</v>
      </c>
      <c r="L81" s="594">
        <f t="shared" ca="1" si="63"/>
        <v>0</v>
      </c>
      <c r="M81" s="551">
        <f t="shared" ca="1" si="63"/>
        <v>0</v>
      </c>
      <c r="N81" s="551">
        <f t="shared" ca="1" si="63"/>
        <v>0</v>
      </c>
      <c r="O81" s="551">
        <f t="shared" ca="1" si="63"/>
        <v>0</v>
      </c>
      <c r="P81" s="553">
        <f t="shared" ca="1" si="63"/>
        <v>0</v>
      </c>
      <c r="Q81" s="1438">
        <f t="shared" si="63"/>
        <v>0</v>
      </c>
      <c r="R81" s="594">
        <f t="shared" ca="1" si="63"/>
        <v>0</v>
      </c>
      <c r="S81" s="551">
        <f t="shared" ca="1" si="63"/>
        <v>0</v>
      </c>
      <c r="T81" s="551">
        <f t="shared" ca="1" si="63"/>
        <v>0</v>
      </c>
      <c r="U81" s="551">
        <f t="shared" ca="1" si="63"/>
        <v>0</v>
      </c>
      <c r="V81" s="552">
        <f t="shared" ca="1" si="63"/>
        <v>0</v>
      </c>
      <c r="W81" s="3689"/>
      <c r="X81"/>
      <c r="Y81"/>
      <c r="Z81"/>
      <c r="AA81" s="594">
        <f t="shared" ref="AA81:AH81" ca="1" si="64">SUM(AA46,AA74)</f>
        <v>0</v>
      </c>
      <c r="AB81" s="551">
        <f t="shared" ca="1" si="64"/>
        <v>0</v>
      </c>
      <c r="AC81" s="551">
        <f t="shared" ca="1" si="64"/>
        <v>0</v>
      </c>
      <c r="AD81" s="551">
        <f t="shared" ca="1" si="64"/>
        <v>0</v>
      </c>
      <c r="AE81" s="556">
        <f t="shared" ca="1" si="64"/>
        <v>0</v>
      </c>
      <c r="AF81" s="594">
        <f t="shared" ca="1" si="64"/>
        <v>0</v>
      </c>
      <c r="AG81" s="551">
        <f t="shared" ca="1" si="64"/>
        <v>0</v>
      </c>
      <c r="AH81" s="553">
        <f t="shared" ca="1" si="64"/>
        <v>0</v>
      </c>
    </row>
    <row r="82" spans="1:37" s="529" customFormat="1" ht="13.5" thickBot="1">
      <c r="D82" s="308"/>
      <c r="E82" s="3700"/>
      <c r="F82" s="2064" t="s">
        <v>621</v>
      </c>
      <c r="G82" s="1409">
        <f t="shared" ref="G82:V82" ca="1" si="65">SUM(G47,G75)</f>
        <v>0</v>
      </c>
      <c r="H82" s="1410">
        <f t="shared" ca="1" si="65"/>
        <v>0</v>
      </c>
      <c r="I82" s="1410">
        <f t="shared" ca="1" si="65"/>
        <v>0</v>
      </c>
      <c r="J82" s="1410">
        <f t="shared" ca="1" si="65"/>
        <v>0</v>
      </c>
      <c r="K82" s="1411">
        <f t="shared" ca="1" si="65"/>
        <v>0</v>
      </c>
      <c r="L82" s="1401">
        <f t="shared" ca="1" si="65"/>
        <v>0</v>
      </c>
      <c r="M82" s="1402">
        <f t="shared" ca="1" si="65"/>
        <v>0</v>
      </c>
      <c r="N82" s="1402">
        <f t="shared" ca="1" si="65"/>
        <v>0</v>
      </c>
      <c r="O82" s="1402">
        <f t="shared" ca="1" si="65"/>
        <v>0</v>
      </c>
      <c r="P82" s="1403">
        <f t="shared" ca="1" si="65"/>
        <v>0</v>
      </c>
      <c r="Q82" s="1440">
        <f t="shared" si="65"/>
        <v>0</v>
      </c>
      <c r="R82" s="1409">
        <f t="shared" ca="1" si="65"/>
        <v>0</v>
      </c>
      <c r="S82" s="1410">
        <f t="shared" ca="1" si="65"/>
        <v>0</v>
      </c>
      <c r="T82" s="1410">
        <f t="shared" ca="1" si="65"/>
        <v>0</v>
      </c>
      <c r="U82" s="1410">
        <f t="shared" ca="1" si="65"/>
        <v>0</v>
      </c>
      <c r="V82" s="1412">
        <f t="shared" ca="1" si="65"/>
        <v>0</v>
      </c>
      <c r="W82" s="3689"/>
      <c r="X82"/>
      <c r="Y82"/>
      <c r="Z82"/>
      <c r="AA82" s="1409">
        <f t="shared" ref="AA82:AH82" ca="1" si="66">SUM(AA47,AA75)</f>
        <v>0</v>
      </c>
      <c r="AB82" s="1410">
        <f t="shared" ca="1" si="66"/>
        <v>0</v>
      </c>
      <c r="AC82" s="1410">
        <f t="shared" ca="1" si="66"/>
        <v>0</v>
      </c>
      <c r="AD82" s="1410">
        <f t="shared" ca="1" si="66"/>
        <v>0</v>
      </c>
      <c r="AE82" s="1411">
        <f t="shared" ca="1" si="66"/>
        <v>0</v>
      </c>
      <c r="AF82" s="1805">
        <f t="shared" ca="1" si="66"/>
        <v>0</v>
      </c>
      <c r="AG82" s="1402">
        <f t="shared" ca="1" si="66"/>
        <v>0</v>
      </c>
      <c r="AH82" s="1403">
        <f t="shared" ca="1" si="66"/>
        <v>0</v>
      </c>
    </row>
    <row r="83" spans="1:37" s="70" customFormat="1" ht="32.25" customHeight="1" thickBot="1">
      <c r="A83" s="76"/>
      <c r="B83" s="76"/>
      <c r="C83" s="76"/>
      <c r="D83" s="360"/>
      <c r="E83" s="3610" t="s">
        <v>125</v>
      </c>
      <c r="F83" s="3611"/>
      <c r="G83" s="1413"/>
      <c r="H83" s="1414"/>
      <c r="I83" s="1414"/>
      <c r="J83" s="1414"/>
      <c r="K83" s="1414"/>
      <c r="L83" s="1414"/>
      <c r="M83" s="1414"/>
      <c r="N83" s="1414"/>
      <c r="O83" s="1414"/>
      <c r="P83" s="1414"/>
      <c r="Q83" s="1414"/>
      <c r="R83" s="1414"/>
      <c r="S83" s="1414"/>
      <c r="T83" s="1414"/>
      <c r="U83" s="1414"/>
      <c r="V83" s="1414"/>
      <c r="W83" s="1415"/>
      <c r="X83"/>
      <c r="Y83"/>
      <c r="Z83"/>
      <c r="AA83" s="2135"/>
      <c r="AB83" s="2116"/>
      <c r="AC83" s="2116"/>
      <c r="AD83" s="2116"/>
      <c r="AE83" s="2116"/>
      <c r="AF83" s="2116"/>
      <c r="AG83" s="2116"/>
      <c r="AH83" s="2119"/>
    </row>
    <row r="84" spans="1:37" s="79" customFormat="1" ht="75.75" customHeight="1" thickBot="1">
      <c r="D84" s="308"/>
      <c r="E84" s="83"/>
      <c r="F84" s="83"/>
      <c r="X84"/>
      <c r="Y84"/>
      <c r="Z84"/>
      <c r="AA84"/>
      <c r="AB84"/>
      <c r="AC84"/>
      <c r="AD84"/>
      <c r="AE84"/>
      <c r="AF84"/>
      <c r="AG84"/>
      <c r="AH84"/>
      <c r="AI84"/>
      <c r="AJ84"/>
      <c r="AK84"/>
    </row>
    <row r="85" spans="1:37" s="1427" customFormat="1" ht="23.25" customHeight="1" thickBot="1">
      <c r="A85" s="308"/>
      <c r="B85" s="308"/>
      <c r="C85" s="308"/>
      <c r="D85" s="308"/>
      <c r="E85" s="1576" t="s">
        <v>679</v>
      </c>
      <c r="F85" s="1577"/>
      <c r="G85" s="1577"/>
      <c r="H85" s="1577"/>
      <c r="I85" s="1577"/>
      <c r="J85" s="1577"/>
      <c r="K85" s="1577"/>
      <c r="L85" s="1577"/>
      <c r="M85" s="1577"/>
      <c r="N85" s="1577"/>
      <c r="O85" s="1577"/>
      <c r="P85" s="1578"/>
      <c r="Z85"/>
      <c r="AA85"/>
      <c r="AB85"/>
      <c r="AC85"/>
      <c r="AD85"/>
      <c r="AE85"/>
      <c r="AF85"/>
      <c r="AG85"/>
      <c r="AH85"/>
      <c r="AI85"/>
      <c r="AJ85"/>
      <c r="AK85"/>
    </row>
    <row r="86" spans="1:37" s="529" customFormat="1" ht="23.25" customHeight="1">
      <c r="A86" s="79"/>
      <c r="B86" s="79"/>
      <c r="C86" s="79"/>
      <c r="D86" s="308"/>
      <c r="E86" s="3528"/>
      <c r="F86" s="1557"/>
      <c r="G86" s="3643" t="s">
        <v>36</v>
      </c>
      <c r="H86" s="3549"/>
      <c r="I86" s="3549"/>
      <c r="J86" s="3549"/>
      <c r="K86" s="3549"/>
      <c r="L86" s="3657" t="s">
        <v>37</v>
      </c>
      <c r="M86" s="3603"/>
      <c r="N86" s="3603"/>
      <c r="O86" s="3603"/>
      <c r="P86" s="3604"/>
      <c r="Q86" s="234"/>
      <c r="R86" s="234"/>
      <c r="S86" s="234"/>
      <c r="T86" s="234"/>
      <c r="U86" s="234"/>
      <c r="V86" s="234"/>
      <c r="W86" s="234"/>
      <c r="X86"/>
      <c r="Y86"/>
      <c r="Z86"/>
      <c r="AA86"/>
      <c r="AB86"/>
      <c r="AC86"/>
      <c r="AD86"/>
      <c r="AE86"/>
      <c r="AF86"/>
      <c r="AG86"/>
      <c r="AH86"/>
      <c r="AI86"/>
      <c r="AJ86"/>
      <c r="AK86"/>
    </row>
    <row r="87" spans="1:37" s="529" customFormat="1" ht="16.5" customHeight="1">
      <c r="A87" s="79"/>
      <c r="B87" s="79"/>
      <c r="C87" s="79"/>
      <c r="D87" s="308"/>
      <c r="E87" s="3529"/>
      <c r="F87" s="1558"/>
      <c r="G87" s="3592" t="str">
        <f>CONCATENATE("$0's, real ",dms_DollarReal)</f>
        <v>$0's, real December 2017</v>
      </c>
      <c r="H87" s="3593"/>
      <c r="I87" s="3593"/>
      <c r="J87" s="3593"/>
      <c r="K87" s="3593"/>
      <c r="L87" s="3593"/>
      <c r="M87" s="3593"/>
      <c r="N87" s="3593"/>
      <c r="O87" s="3593"/>
      <c r="P87" s="3606"/>
      <c r="R87" s="234"/>
      <c r="S87" s="234"/>
      <c r="T87" s="234"/>
      <c r="U87" s="234"/>
      <c r="V87" s="234"/>
      <c r="W87" s="234"/>
      <c r="X87"/>
      <c r="Y87"/>
      <c r="Z87"/>
      <c r="AA87"/>
      <c r="AB87"/>
      <c r="AC87"/>
      <c r="AD87"/>
      <c r="AE87"/>
      <c r="AF87"/>
      <c r="AG87"/>
      <c r="AH87"/>
      <c r="AI87"/>
      <c r="AJ87"/>
      <c r="AK87"/>
    </row>
    <row r="88" spans="1:37" s="529" customFormat="1" ht="16.5" customHeight="1">
      <c r="D88" s="308"/>
      <c r="E88" s="3529"/>
      <c r="F88" s="1558"/>
      <c r="G88" s="3592" t="s">
        <v>74</v>
      </c>
      <c r="H88" s="3593"/>
      <c r="I88" s="3593"/>
      <c r="J88" s="3593"/>
      <c r="K88" s="3593"/>
      <c r="L88" s="3593"/>
      <c r="M88" s="3593"/>
      <c r="N88" s="3593"/>
      <c r="O88" s="3593"/>
      <c r="P88" s="3606"/>
      <c r="Q88" s="234"/>
      <c r="R88" s="234"/>
      <c r="S88" s="234"/>
      <c r="T88" s="234"/>
      <c r="U88" s="234"/>
      <c r="V88" s="234"/>
      <c r="W88" s="234"/>
      <c r="X88"/>
      <c r="Y88"/>
      <c r="Z88"/>
      <c r="AA88"/>
      <c r="AB88"/>
      <c r="AC88"/>
      <c r="AD88"/>
      <c r="AE88"/>
      <c r="AF88"/>
      <c r="AG88"/>
      <c r="AH88"/>
      <c r="AI88"/>
      <c r="AJ88"/>
      <c r="AK88"/>
    </row>
    <row r="89" spans="1:37" s="529" customFormat="1" ht="12.75" customHeight="1" thickBot="1">
      <c r="D89" s="308"/>
      <c r="E89" s="3530"/>
      <c r="F89" s="1559"/>
      <c r="G89" s="391">
        <f t="array" ref="G89:K89">PRCP</f>
        <v>2008</v>
      </c>
      <c r="H89" s="390">
        <v>2009</v>
      </c>
      <c r="I89" s="390">
        <v>2010</v>
      </c>
      <c r="J89" s="390">
        <v>2011</v>
      </c>
      <c r="K89" s="390">
        <v>2012</v>
      </c>
      <c r="L89" s="392">
        <f>CRCP_y1</f>
        <v>2013</v>
      </c>
      <c r="M89" s="392">
        <f>CRCP_y2</f>
        <v>2014</v>
      </c>
      <c r="N89" s="392">
        <f>CRCP_y3</f>
        <v>2015</v>
      </c>
      <c r="O89" s="392">
        <f>CRCP_y4</f>
        <v>2016</v>
      </c>
      <c r="P89" s="603">
        <f>CRCP_y5</f>
        <v>2017</v>
      </c>
      <c r="Q89" s="234"/>
      <c r="R89" s="234"/>
      <c r="S89" s="234"/>
      <c r="T89" s="234"/>
      <c r="U89" s="234"/>
      <c r="V89" s="234"/>
      <c r="W89" s="234"/>
      <c r="X89"/>
      <c r="Y89"/>
      <c r="Z89"/>
      <c r="AA89"/>
      <c r="AB89"/>
      <c r="AC89"/>
      <c r="AD89"/>
      <c r="AE89"/>
      <c r="AF89"/>
      <c r="AG89"/>
      <c r="AH89"/>
      <c r="AI89"/>
      <c r="AJ89"/>
      <c r="AK89"/>
    </row>
    <row r="90" spans="1:37" s="79" customFormat="1" ht="48.75" customHeight="1" thickBot="1">
      <c r="A90" s="308"/>
      <c r="B90" s="308"/>
      <c r="C90" s="308"/>
      <c r="D90" s="308"/>
      <c r="E90" s="3690" t="s">
        <v>374</v>
      </c>
      <c r="F90" s="3691"/>
      <c r="G90" s="2040"/>
      <c r="H90" s="2041"/>
      <c r="I90" s="2041"/>
      <c r="J90" s="2041"/>
      <c r="K90" s="2041"/>
      <c r="L90" s="2041"/>
      <c r="M90" s="2041"/>
      <c r="N90" s="2041"/>
      <c r="O90" s="2041"/>
      <c r="P90" s="2042"/>
      <c r="Q90" s="234"/>
      <c r="R90" s="234"/>
      <c r="S90" s="234"/>
      <c r="T90" s="234"/>
      <c r="U90" s="234"/>
      <c r="V90" s="234"/>
      <c r="W90" s="234"/>
      <c r="X90"/>
      <c r="Y90"/>
      <c r="Z90"/>
      <c r="AA90"/>
      <c r="AB90"/>
      <c r="AC90"/>
      <c r="AD90"/>
      <c r="AE90"/>
      <c r="AF90"/>
      <c r="AG90"/>
      <c r="AH90"/>
      <c r="AI90"/>
      <c r="AJ90"/>
      <c r="AK90"/>
    </row>
    <row r="91" spans="1:37" s="79" customFormat="1" ht="18" outlineLevel="1">
      <c r="D91" s="308"/>
      <c r="E91" s="602" t="s">
        <v>89</v>
      </c>
      <c r="F91" s="1016" t="s">
        <v>629</v>
      </c>
      <c r="G91" s="2033"/>
      <c r="H91" s="2034"/>
      <c r="I91" s="2034"/>
      <c r="J91" s="2034"/>
      <c r="K91" s="2034"/>
      <c r="L91" s="2037"/>
      <c r="M91" s="2038"/>
      <c r="N91" s="2038"/>
      <c r="O91" s="2038"/>
      <c r="P91" s="2039"/>
      <c r="Q91" s="234"/>
      <c r="R91" s="234"/>
      <c r="S91" s="234"/>
      <c r="T91" s="234"/>
      <c r="U91" s="234"/>
      <c r="V91" s="234"/>
      <c r="W91" s="234"/>
      <c r="X91"/>
      <c r="Y91"/>
      <c r="Z91"/>
      <c r="AA91"/>
      <c r="AB91"/>
      <c r="AC91"/>
      <c r="AD91"/>
      <c r="AE91"/>
      <c r="AF91"/>
      <c r="AG91"/>
      <c r="AH91"/>
      <c r="AI91"/>
      <c r="AJ91"/>
      <c r="AK91"/>
    </row>
    <row r="92" spans="1:37" s="529" customFormat="1" ht="12.75" customHeight="1" outlineLevel="1">
      <c r="A92" s="79"/>
      <c r="B92" s="79"/>
      <c r="C92" s="79"/>
      <c r="D92" s="308"/>
      <c r="E92" s="554"/>
      <c r="F92" s="575" t="s">
        <v>595</v>
      </c>
      <c r="G92" s="2035"/>
      <c r="H92" s="2036"/>
      <c r="I92" s="2036"/>
      <c r="J92" s="2036"/>
      <c r="K92" s="2036"/>
      <c r="L92" s="514"/>
      <c r="M92" s="513"/>
      <c r="N92" s="513"/>
      <c r="O92" s="513"/>
      <c r="P92" s="515"/>
      <c r="Q92" s="510"/>
      <c r="R92" s="510"/>
      <c r="S92" s="510"/>
      <c r="T92" s="510"/>
      <c r="U92" s="510"/>
      <c r="V92" s="510"/>
      <c r="W92" s="136"/>
      <c r="X92"/>
      <c r="Y92"/>
      <c r="Z92"/>
      <c r="AA92"/>
      <c r="AB92"/>
      <c r="AC92"/>
      <c r="AD92"/>
      <c r="AE92"/>
      <c r="AF92"/>
      <c r="AG92"/>
      <c r="AH92"/>
      <c r="AI92"/>
      <c r="AJ92"/>
      <c r="AK92"/>
    </row>
    <row r="93" spans="1:37" s="529" customFormat="1" ht="12.75" customHeight="1" outlineLevel="1">
      <c r="D93" s="308"/>
      <c r="E93" s="554"/>
      <c r="F93" s="575" t="s">
        <v>594</v>
      </c>
      <c r="G93" s="2035"/>
      <c r="H93" s="2036"/>
      <c r="I93" s="2036"/>
      <c r="J93" s="2036"/>
      <c r="K93" s="2036"/>
      <c r="L93" s="514"/>
      <c r="M93" s="513"/>
      <c r="N93" s="513"/>
      <c r="O93" s="513"/>
      <c r="P93" s="515"/>
      <c r="Q93" s="510"/>
      <c r="R93" s="510"/>
      <c r="S93" s="510"/>
      <c r="T93" s="510"/>
      <c r="U93" s="510"/>
      <c r="V93" s="510"/>
      <c r="W93" s="136"/>
      <c r="X93"/>
      <c r="Y93"/>
      <c r="Z93"/>
      <c r="AA93"/>
      <c r="AB93"/>
      <c r="AC93"/>
      <c r="AD93"/>
      <c r="AE93"/>
      <c r="AF93"/>
      <c r="AG93"/>
      <c r="AH93"/>
      <c r="AI93"/>
      <c r="AJ93"/>
      <c r="AK93"/>
    </row>
    <row r="94" spans="1:37" s="529" customFormat="1" ht="12.75" customHeight="1" outlineLevel="1">
      <c r="D94" s="308"/>
      <c r="E94" s="554"/>
      <c r="F94" s="575" t="s">
        <v>614</v>
      </c>
      <c r="G94" s="2035"/>
      <c r="H94" s="2036"/>
      <c r="I94" s="2036"/>
      <c r="J94" s="2036"/>
      <c r="K94" s="2036"/>
      <c r="L94" s="514"/>
      <c r="M94" s="513"/>
      <c r="N94" s="513"/>
      <c r="O94" s="513"/>
      <c r="P94" s="515"/>
      <c r="Q94" s="510"/>
      <c r="R94" s="510"/>
      <c r="S94" s="510"/>
      <c r="T94" s="510"/>
      <c r="U94" s="510"/>
      <c r="V94" s="510"/>
      <c r="W94" s="136"/>
      <c r="X94"/>
      <c r="Y94"/>
      <c r="Z94"/>
      <c r="AA94"/>
      <c r="AB94"/>
      <c r="AC94"/>
      <c r="AD94"/>
      <c r="AE94"/>
      <c r="AF94"/>
      <c r="AG94"/>
      <c r="AH94"/>
      <c r="AI94"/>
      <c r="AJ94"/>
      <c r="AK94"/>
    </row>
    <row r="95" spans="1:37" s="529" customFormat="1" ht="12.75" customHeight="1" outlineLevel="1">
      <c r="D95" s="308"/>
      <c r="E95" s="554"/>
      <c r="F95" s="576" t="s">
        <v>615</v>
      </c>
      <c r="G95" s="514"/>
      <c r="H95" s="513"/>
      <c r="I95" s="513"/>
      <c r="J95" s="513"/>
      <c r="K95" s="702"/>
      <c r="L95" s="401">
        <f t="shared" ref="L95:P95" si="67">SUM(L92:L94)</f>
        <v>0</v>
      </c>
      <c r="M95" s="402">
        <f t="shared" si="67"/>
        <v>0</v>
      </c>
      <c r="N95" s="402">
        <f t="shared" si="67"/>
        <v>0</v>
      </c>
      <c r="O95" s="402">
        <f t="shared" si="67"/>
        <v>0</v>
      </c>
      <c r="P95" s="505">
        <f t="shared" si="67"/>
        <v>0</v>
      </c>
      <c r="Q95" s="510"/>
      <c r="R95" s="510"/>
      <c r="S95" s="510"/>
      <c r="T95" s="510"/>
      <c r="U95" s="510"/>
      <c r="V95" s="510"/>
      <c r="W95" s="136"/>
      <c r="X95"/>
      <c r="Y95"/>
      <c r="Z95"/>
      <c r="AA95"/>
      <c r="AB95"/>
      <c r="AC95"/>
      <c r="AD95"/>
      <c r="AE95"/>
      <c r="AF95"/>
      <c r="AG95"/>
      <c r="AH95"/>
      <c r="AI95"/>
      <c r="AJ95"/>
      <c r="AK95"/>
    </row>
    <row r="96" spans="1:37" s="529" customFormat="1" ht="12.75" customHeight="1" outlineLevel="1">
      <c r="D96" s="308"/>
      <c r="E96" s="554"/>
      <c r="F96" s="575" t="s">
        <v>619</v>
      </c>
      <c r="G96" s="514"/>
      <c r="H96" s="513"/>
      <c r="I96" s="513"/>
      <c r="J96" s="513"/>
      <c r="K96" s="702"/>
      <c r="L96" s="569">
        <v>0</v>
      </c>
      <c r="M96" s="570">
        <v>0</v>
      </c>
      <c r="N96" s="570">
        <v>0</v>
      </c>
      <c r="O96" s="570">
        <v>0</v>
      </c>
      <c r="P96" s="608">
        <v>0</v>
      </c>
      <c r="Q96" s="510"/>
      <c r="R96" s="510"/>
      <c r="S96" s="510"/>
      <c r="T96" s="510"/>
      <c r="U96" s="510"/>
      <c r="V96" s="510"/>
      <c r="W96" s="136"/>
      <c r="X96"/>
      <c r="Y96"/>
      <c r="Z96"/>
      <c r="AA96"/>
      <c r="AB96"/>
      <c r="AC96"/>
      <c r="AD96"/>
      <c r="AE96"/>
      <c r="AF96"/>
      <c r="AG96"/>
      <c r="AH96"/>
      <c r="AI96"/>
      <c r="AJ96"/>
      <c r="AK96"/>
    </row>
    <row r="97" spans="1:37" s="529" customFormat="1" ht="12.75" customHeight="1" outlineLevel="1">
      <c r="D97" s="308"/>
      <c r="E97" s="554"/>
      <c r="F97" s="575" t="s">
        <v>617</v>
      </c>
      <c r="G97" s="514"/>
      <c r="H97" s="513"/>
      <c r="I97" s="513"/>
      <c r="J97" s="513"/>
      <c r="K97" s="702"/>
      <c r="L97" s="517">
        <v>0</v>
      </c>
      <c r="M97" s="518">
        <v>0</v>
      </c>
      <c r="N97" s="518">
        <v>0</v>
      </c>
      <c r="O97" s="518">
        <v>0</v>
      </c>
      <c r="P97" s="519">
        <v>0</v>
      </c>
      <c r="Q97" s="510"/>
      <c r="R97" s="510"/>
      <c r="S97" s="510"/>
      <c r="T97" s="510"/>
      <c r="U97" s="510"/>
      <c r="V97" s="510"/>
      <c r="W97" s="136"/>
      <c r="X97"/>
      <c r="Y97"/>
      <c r="Z97"/>
      <c r="AA97"/>
      <c r="AB97"/>
      <c r="AC97"/>
      <c r="AD97"/>
      <c r="AE97"/>
      <c r="AF97"/>
      <c r="AG97"/>
      <c r="AH97"/>
      <c r="AI97"/>
      <c r="AJ97"/>
      <c r="AK97"/>
    </row>
    <row r="98" spans="1:37" s="529" customFormat="1" ht="12.75" customHeight="1" outlineLevel="1">
      <c r="D98" s="308"/>
      <c r="E98" s="554"/>
      <c r="F98" s="576" t="s">
        <v>620</v>
      </c>
      <c r="G98" s="401">
        <f t="shared" ref="G98:K98" si="68">SUM(G95:G97)</f>
        <v>0</v>
      </c>
      <c r="H98" s="402">
        <f t="shared" si="68"/>
        <v>0</v>
      </c>
      <c r="I98" s="402">
        <f t="shared" si="68"/>
        <v>0</v>
      </c>
      <c r="J98" s="402">
        <f t="shared" si="68"/>
        <v>0</v>
      </c>
      <c r="K98" s="703">
        <f t="shared" si="68"/>
        <v>0</v>
      </c>
      <c r="L98" s="401">
        <f>SUM(L95:L97)</f>
        <v>0</v>
      </c>
      <c r="M98" s="402">
        <f t="shared" ref="M98:P98" si="69">SUM(M95:M97)</f>
        <v>0</v>
      </c>
      <c r="N98" s="402">
        <f t="shared" si="69"/>
        <v>0</v>
      </c>
      <c r="O98" s="402">
        <f t="shared" si="69"/>
        <v>0</v>
      </c>
      <c r="P98" s="505">
        <f t="shared" si="69"/>
        <v>0</v>
      </c>
      <c r="Q98" s="510"/>
      <c r="R98" s="510"/>
      <c r="S98" s="510"/>
      <c r="T98" s="510"/>
      <c r="U98" s="510"/>
      <c r="V98" s="510"/>
      <c r="W98" s="136"/>
      <c r="X98"/>
      <c r="Y98"/>
      <c r="Z98"/>
      <c r="AA98"/>
      <c r="AB98"/>
      <c r="AC98"/>
      <c r="AD98"/>
      <c r="AE98"/>
      <c r="AF98"/>
      <c r="AG98"/>
      <c r="AH98"/>
      <c r="AI98"/>
      <c r="AJ98"/>
      <c r="AK98"/>
    </row>
    <row r="99" spans="1:37" s="529" customFormat="1" ht="12.75" customHeight="1" outlineLevel="1">
      <c r="D99" s="308"/>
      <c r="E99" s="554"/>
      <c r="F99" s="575" t="s">
        <v>35</v>
      </c>
      <c r="G99" s="514"/>
      <c r="H99" s="513"/>
      <c r="I99" s="513"/>
      <c r="J99" s="513"/>
      <c r="K99" s="702"/>
      <c r="L99" s="514"/>
      <c r="M99" s="513"/>
      <c r="N99" s="513"/>
      <c r="O99" s="513"/>
      <c r="P99" s="515"/>
      <c r="Q99" s="510"/>
      <c r="R99" s="510"/>
      <c r="S99" s="510"/>
      <c r="T99" s="510"/>
      <c r="U99" s="510"/>
      <c r="V99" s="510"/>
      <c r="W99" s="136"/>
      <c r="X99"/>
      <c r="Y99"/>
      <c r="Z99"/>
      <c r="AA99"/>
      <c r="AB99"/>
      <c r="AC99"/>
      <c r="AD99"/>
      <c r="AE99"/>
      <c r="AF99"/>
      <c r="AG99"/>
      <c r="AH99"/>
      <c r="AI99"/>
      <c r="AJ99"/>
      <c r="AK99"/>
    </row>
    <row r="100" spans="1:37" s="529" customFormat="1" ht="12.75" customHeight="1" outlineLevel="1" thickBot="1">
      <c r="D100" s="308"/>
      <c r="E100" s="554"/>
      <c r="F100" s="1753" t="s">
        <v>621</v>
      </c>
      <c r="G100" s="404">
        <f t="shared" ref="G100:P100" si="70">G98-G99</f>
        <v>0</v>
      </c>
      <c r="H100" s="405">
        <f t="shared" si="70"/>
        <v>0</v>
      </c>
      <c r="I100" s="405">
        <f t="shared" si="70"/>
        <v>0</v>
      </c>
      <c r="J100" s="405">
        <f t="shared" si="70"/>
        <v>0</v>
      </c>
      <c r="K100" s="706">
        <f t="shared" si="70"/>
        <v>0</v>
      </c>
      <c r="L100" s="404">
        <f t="shared" si="70"/>
        <v>0</v>
      </c>
      <c r="M100" s="405">
        <f t="shared" ref="M100" si="71">M98-M99</f>
        <v>0</v>
      </c>
      <c r="N100" s="405">
        <f t="shared" si="70"/>
        <v>0</v>
      </c>
      <c r="O100" s="405">
        <f t="shared" si="70"/>
        <v>0</v>
      </c>
      <c r="P100" s="560">
        <f t="shared" si="70"/>
        <v>0</v>
      </c>
      <c r="Q100" s="510"/>
      <c r="R100" s="510"/>
      <c r="S100" s="510"/>
      <c r="T100" s="510"/>
      <c r="U100" s="510"/>
      <c r="V100" s="510"/>
      <c r="W100" s="136"/>
      <c r="X100"/>
      <c r="Y100"/>
      <c r="Z100"/>
      <c r="AA100"/>
      <c r="AB100"/>
      <c r="AC100"/>
      <c r="AD100"/>
      <c r="AE100"/>
      <c r="AF100"/>
      <c r="AG100"/>
      <c r="AH100"/>
      <c r="AI100"/>
      <c r="AJ100"/>
      <c r="AK100"/>
    </row>
    <row r="101" spans="1:37" s="79" customFormat="1" ht="30" customHeight="1" outlineLevel="1">
      <c r="D101" s="308"/>
      <c r="E101" s="602" t="s">
        <v>89</v>
      </c>
      <c r="F101" s="1016" t="s">
        <v>629</v>
      </c>
      <c r="G101" s="2033"/>
      <c r="H101" s="2034"/>
      <c r="I101" s="2034"/>
      <c r="J101" s="2034"/>
      <c r="K101" s="2034"/>
      <c r="L101" s="2037"/>
      <c r="M101" s="2038"/>
      <c r="N101" s="2038"/>
      <c r="O101" s="2038"/>
      <c r="P101" s="2039"/>
      <c r="Q101" s="136"/>
      <c r="R101" s="136"/>
      <c r="S101" s="136"/>
      <c r="T101" s="136"/>
      <c r="U101" s="136"/>
      <c r="V101" s="136"/>
      <c r="W101" s="131"/>
      <c r="X101"/>
      <c r="Y101"/>
      <c r="Z101"/>
      <c r="AA101"/>
      <c r="AB101"/>
      <c r="AC101"/>
      <c r="AD101"/>
      <c r="AE101"/>
      <c r="AF101"/>
      <c r="AG101"/>
      <c r="AH101"/>
      <c r="AI101"/>
      <c r="AJ101"/>
      <c r="AK101"/>
    </row>
    <row r="102" spans="1:37" s="529" customFormat="1" ht="12.75" customHeight="1" outlineLevel="1">
      <c r="A102" s="79"/>
      <c r="B102" s="79"/>
      <c r="C102" s="79"/>
      <c r="D102" s="308"/>
      <c r="E102" s="554"/>
      <c r="F102" s="575" t="s">
        <v>595</v>
      </c>
      <c r="G102" s="2035"/>
      <c r="H102" s="2036"/>
      <c r="I102" s="2036"/>
      <c r="J102" s="2036"/>
      <c r="K102" s="2036"/>
      <c r="L102" s="514"/>
      <c r="M102" s="513"/>
      <c r="N102" s="513"/>
      <c r="O102" s="513"/>
      <c r="P102" s="515"/>
      <c r="Q102" s="510"/>
      <c r="R102" s="510"/>
      <c r="S102" s="510"/>
      <c r="T102" s="510"/>
      <c r="U102" s="510"/>
      <c r="V102" s="510"/>
      <c r="W102" s="136"/>
      <c r="X102"/>
      <c r="Y102"/>
      <c r="Z102"/>
      <c r="AA102"/>
      <c r="AB102"/>
      <c r="AC102"/>
      <c r="AD102"/>
      <c r="AE102"/>
      <c r="AF102"/>
      <c r="AG102"/>
      <c r="AH102"/>
      <c r="AI102"/>
      <c r="AJ102"/>
      <c r="AK102"/>
    </row>
    <row r="103" spans="1:37" s="529" customFormat="1" ht="12.75" customHeight="1" outlineLevel="1">
      <c r="D103" s="308"/>
      <c r="E103" s="554"/>
      <c r="F103" s="575" t="s">
        <v>594</v>
      </c>
      <c r="G103" s="2035"/>
      <c r="H103" s="2036"/>
      <c r="I103" s="2036"/>
      <c r="J103" s="2036"/>
      <c r="K103" s="2036"/>
      <c r="L103" s="514"/>
      <c r="M103" s="513"/>
      <c r="N103" s="513"/>
      <c r="O103" s="513"/>
      <c r="P103" s="515"/>
      <c r="Q103" s="510"/>
      <c r="R103" s="510"/>
      <c r="S103" s="510"/>
      <c r="T103" s="510"/>
      <c r="U103" s="510"/>
      <c r="V103" s="510"/>
      <c r="W103" s="136"/>
      <c r="X103"/>
      <c r="Y103"/>
      <c r="Z103"/>
      <c r="AA103"/>
      <c r="AB103"/>
      <c r="AC103"/>
      <c r="AD103"/>
      <c r="AE103"/>
      <c r="AF103"/>
      <c r="AG103"/>
      <c r="AH103"/>
      <c r="AI103"/>
      <c r="AJ103"/>
      <c r="AK103"/>
    </row>
    <row r="104" spans="1:37" s="529" customFormat="1" ht="12.75" customHeight="1" outlineLevel="1">
      <c r="D104" s="308"/>
      <c r="E104" s="554"/>
      <c r="F104" s="575" t="s">
        <v>614</v>
      </c>
      <c r="G104" s="2035"/>
      <c r="H104" s="2036"/>
      <c r="I104" s="2036"/>
      <c r="J104" s="2036"/>
      <c r="K104" s="2036"/>
      <c r="L104" s="514"/>
      <c r="M104" s="513"/>
      <c r="N104" s="513"/>
      <c r="O104" s="513"/>
      <c r="P104" s="515"/>
      <c r="Q104" s="510"/>
      <c r="R104" s="510"/>
      <c r="S104" s="510"/>
      <c r="T104" s="510"/>
      <c r="U104" s="510"/>
      <c r="V104" s="510"/>
      <c r="W104" s="136"/>
      <c r="X104"/>
      <c r="Y104"/>
      <c r="Z104"/>
      <c r="AA104"/>
      <c r="AB104"/>
      <c r="AC104"/>
      <c r="AD104"/>
      <c r="AE104"/>
      <c r="AF104"/>
      <c r="AG104"/>
      <c r="AH104"/>
      <c r="AI104"/>
      <c r="AJ104"/>
      <c r="AK104"/>
    </row>
    <row r="105" spans="1:37" s="529" customFormat="1" ht="12.75" customHeight="1" outlineLevel="1">
      <c r="D105" s="308"/>
      <c r="E105" s="554"/>
      <c r="F105" s="576" t="s">
        <v>615</v>
      </c>
      <c r="G105" s="514"/>
      <c r="H105" s="513"/>
      <c r="I105" s="513"/>
      <c r="J105" s="513"/>
      <c r="K105" s="702"/>
      <c r="L105" s="401">
        <f t="shared" ref="L105:P105" si="72">SUM(L102:L104)</f>
        <v>0</v>
      </c>
      <c r="M105" s="402">
        <f t="shared" si="72"/>
        <v>0</v>
      </c>
      <c r="N105" s="402">
        <f t="shared" si="72"/>
        <v>0</v>
      </c>
      <c r="O105" s="402">
        <f t="shared" si="72"/>
        <v>0</v>
      </c>
      <c r="P105" s="505">
        <f t="shared" si="72"/>
        <v>0</v>
      </c>
      <c r="Q105" s="510"/>
      <c r="R105" s="510"/>
      <c r="S105" s="510"/>
      <c r="T105" s="510"/>
      <c r="U105" s="510"/>
      <c r="V105" s="510"/>
      <c r="W105" s="136"/>
      <c r="X105"/>
      <c r="Y105"/>
      <c r="Z105"/>
      <c r="AA105"/>
      <c r="AB105"/>
      <c r="AC105"/>
      <c r="AD105"/>
      <c r="AE105"/>
      <c r="AF105"/>
      <c r="AG105"/>
      <c r="AH105"/>
      <c r="AI105"/>
      <c r="AJ105"/>
      <c r="AK105"/>
    </row>
    <row r="106" spans="1:37" s="529" customFormat="1" ht="12.75" customHeight="1" outlineLevel="1">
      <c r="D106" s="308"/>
      <c r="E106" s="554"/>
      <c r="F106" s="575" t="s">
        <v>619</v>
      </c>
      <c r="G106" s="514"/>
      <c r="H106" s="513"/>
      <c r="I106" s="513"/>
      <c r="J106" s="513"/>
      <c r="K106" s="702"/>
      <c r="L106" s="569">
        <v>0</v>
      </c>
      <c r="M106" s="570">
        <v>0</v>
      </c>
      <c r="N106" s="570">
        <v>0</v>
      </c>
      <c r="O106" s="570">
        <v>0</v>
      </c>
      <c r="P106" s="608">
        <v>0</v>
      </c>
      <c r="Q106" s="510"/>
      <c r="R106" s="510"/>
      <c r="S106" s="510"/>
      <c r="T106" s="510"/>
      <c r="U106" s="510"/>
      <c r="V106" s="510"/>
      <c r="W106" s="136"/>
      <c r="X106"/>
      <c r="Y106"/>
      <c r="Z106"/>
      <c r="AA106"/>
      <c r="AB106"/>
      <c r="AC106"/>
      <c r="AD106"/>
      <c r="AE106"/>
      <c r="AF106"/>
      <c r="AG106"/>
      <c r="AH106"/>
      <c r="AI106"/>
      <c r="AJ106"/>
      <c r="AK106"/>
    </row>
    <row r="107" spans="1:37" s="529" customFormat="1" ht="12.75" customHeight="1" outlineLevel="1">
      <c r="D107" s="308"/>
      <c r="E107" s="554"/>
      <c r="F107" s="575" t="s">
        <v>617</v>
      </c>
      <c r="G107" s="514"/>
      <c r="H107" s="513"/>
      <c r="I107" s="513"/>
      <c r="J107" s="513"/>
      <c r="K107" s="702"/>
      <c r="L107" s="517">
        <v>0</v>
      </c>
      <c r="M107" s="518">
        <v>0</v>
      </c>
      <c r="N107" s="518">
        <v>0</v>
      </c>
      <c r="O107" s="518">
        <v>0</v>
      </c>
      <c r="P107" s="519">
        <v>0</v>
      </c>
      <c r="Q107" s="510"/>
      <c r="R107" s="510"/>
      <c r="S107" s="510"/>
      <c r="T107" s="510"/>
      <c r="U107" s="510"/>
      <c r="V107" s="510"/>
      <c r="W107" s="136"/>
      <c r="X107"/>
      <c r="Y107"/>
      <c r="Z107"/>
      <c r="AA107"/>
      <c r="AB107"/>
      <c r="AC107"/>
      <c r="AD107"/>
      <c r="AE107"/>
      <c r="AF107"/>
      <c r="AG107"/>
      <c r="AH107"/>
      <c r="AI107"/>
      <c r="AJ107"/>
      <c r="AK107"/>
    </row>
    <row r="108" spans="1:37" s="529" customFormat="1" ht="12.75" customHeight="1" outlineLevel="1">
      <c r="D108" s="308"/>
      <c r="E108" s="554"/>
      <c r="F108" s="576" t="s">
        <v>620</v>
      </c>
      <c r="G108" s="401">
        <f t="shared" ref="G108" si="73">SUM(G105:G107)</f>
        <v>0</v>
      </c>
      <c r="H108" s="402">
        <f t="shared" ref="H108" si="74">SUM(H105:H107)</f>
        <v>0</v>
      </c>
      <c r="I108" s="402">
        <f t="shared" ref="I108" si="75">SUM(I105:I107)</f>
        <v>0</v>
      </c>
      <c r="J108" s="402">
        <f t="shared" ref="J108" si="76">SUM(J105:J107)</f>
        <v>0</v>
      </c>
      <c r="K108" s="703">
        <f t="shared" ref="K108" si="77">SUM(K105:K107)</f>
        <v>0</v>
      </c>
      <c r="L108" s="401">
        <f>SUM(L105:L107)</f>
        <v>0</v>
      </c>
      <c r="M108" s="402">
        <f t="shared" ref="M108" si="78">SUM(M105:M107)</f>
        <v>0</v>
      </c>
      <c r="N108" s="402">
        <f t="shared" ref="N108" si="79">SUM(N105:N107)</f>
        <v>0</v>
      </c>
      <c r="O108" s="402">
        <f t="shared" ref="O108" si="80">SUM(O105:O107)</f>
        <v>0</v>
      </c>
      <c r="P108" s="505">
        <f t="shared" ref="P108" si="81">SUM(P105:P107)</f>
        <v>0</v>
      </c>
      <c r="Q108" s="510"/>
      <c r="R108" s="510"/>
      <c r="S108" s="510"/>
      <c r="T108" s="510"/>
      <c r="U108" s="510"/>
      <c r="V108" s="510"/>
      <c r="W108" s="136"/>
      <c r="X108"/>
      <c r="Y108"/>
      <c r="Z108"/>
      <c r="AA108"/>
      <c r="AB108"/>
      <c r="AC108"/>
      <c r="AD108"/>
      <c r="AE108"/>
      <c r="AF108"/>
      <c r="AG108"/>
      <c r="AH108"/>
      <c r="AI108"/>
      <c r="AJ108"/>
      <c r="AK108"/>
    </row>
    <row r="109" spans="1:37" s="529" customFormat="1" ht="12.75" customHeight="1" outlineLevel="1">
      <c r="D109" s="308"/>
      <c r="E109" s="554"/>
      <c r="F109" s="575" t="s">
        <v>35</v>
      </c>
      <c r="G109" s="514"/>
      <c r="H109" s="513"/>
      <c r="I109" s="513"/>
      <c r="J109" s="513"/>
      <c r="K109" s="702"/>
      <c r="L109" s="514"/>
      <c r="M109" s="513"/>
      <c r="N109" s="513"/>
      <c r="O109" s="513"/>
      <c r="P109" s="515"/>
      <c r="Q109" s="510"/>
      <c r="R109" s="510"/>
      <c r="S109" s="510"/>
      <c r="T109" s="510"/>
      <c r="U109" s="510"/>
      <c r="V109" s="510"/>
      <c r="W109" s="136"/>
      <c r="X109"/>
      <c r="Y109"/>
      <c r="Z109"/>
      <c r="AA109"/>
      <c r="AB109"/>
      <c r="AC109"/>
      <c r="AD109"/>
      <c r="AE109"/>
      <c r="AF109"/>
      <c r="AG109"/>
      <c r="AH109"/>
      <c r="AI109"/>
      <c r="AJ109"/>
      <c r="AK109"/>
    </row>
    <row r="110" spans="1:37" s="529" customFormat="1" ht="12.75" customHeight="1" outlineLevel="1" thickBot="1">
      <c r="D110" s="308"/>
      <c r="E110" s="555"/>
      <c r="F110" s="1753" t="s">
        <v>621</v>
      </c>
      <c r="G110" s="404">
        <f t="shared" ref="G110:P110" si="82">G108-G109</f>
        <v>0</v>
      </c>
      <c r="H110" s="405">
        <f t="shared" si="82"/>
        <v>0</v>
      </c>
      <c r="I110" s="405">
        <f t="shared" si="82"/>
        <v>0</v>
      </c>
      <c r="J110" s="405">
        <f t="shared" si="82"/>
        <v>0</v>
      </c>
      <c r="K110" s="706">
        <f t="shared" si="82"/>
        <v>0</v>
      </c>
      <c r="L110" s="404">
        <f t="shared" si="82"/>
        <v>0</v>
      </c>
      <c r="M110" s="405">
        <f t="shared" ref="M110" si="83">M108-M109</f>
        <v>0</v>
      </c>
      <c r="N110" s="405">
        <f t="shared" si="82"/>
        <v>0</v>
      </c>
      <c r="O110" s="405">
        <f t="shared" si="82"/>
        <v>0</v>
      </c>
      <c r="P110" s="560">
        <f t="shared" si="82"/>
        <v>0</v>
      </c>
      <c r="Q110" s="510"/>
      <c r="R110" s="510"/>
      <c r="S110" s="510"/>
      <c r="T110" s="510"/>
      <c r="U110" s="510"/>
      <c r="V110" s="510"/>
      <c r="W110" s="136"/>
      <c r="X110"/>
      <c r="Y110"/>
      <c r="Z110"/>
      <c r="AA110"/>
      <c r="AB110"/>
      <c r="AC110"/>
      <c r="AD110"/>
      <c r="AE110"/>
      <c r="AF110"/>
      <c r="AG110"/>
      <c r="AH110"/>
      <c r="AI110"/>
      <c r="AJ110"/>
      <c r="AK110"/>
    </row>
    <row r="111" spans="1:37" s="529" customFormat="1" ht="19.5" customHeight="1">
      <c r="D111" s="308"/>
      <c r="E111" s="3695" t="str">
        <f>CONCATENATE(E90, " Totals")</f>
        <v>&lt; insert sub-category &gt; Totals</v>
      </c>
      <c r="F111" s="2057" t="str">
        <f>CONCATENATE("Total direct expenditure - ",E90)</f>
        <v>Total direct expenditure - &lt; insert sub-category &gt;</v>
      </c>
      <c r="G111" s="596">
        <f t="shared" ref="G111:P111" ca="1" si="84">SUMIF($E$91:$P$110,"Total direct expenditure",G$91:G$110)</f>
        <v>0</v>
      </c>
      <c r="H111" s="597">
        <f t="shared" ca="1" si="84"/>
        <v>0</v>
      </c>
      <c r="I111" s="597">
        <f t="shared" ca="1" si="84"/>
        <v>0</v>
      </c>
      <c r="J111" s="597">
        <f t="shared" ca="1" si="84"/>
        <v>0</v>
      </c>
      <c r="K111" s="610">
        <f t="shared" ca="1" si="84"/>
        <v>0</v>
      </c>
      <c r="L111" s="596">
        <f t="shared" ca="1" si="84"/>
        <v>0</v>
      </c>
      <c r="M111" s="597">
        <f t="shared" ca="1" si="84"/>
        <v>0</v>
      </c>
      <c r="N111" s="597">
        <f t="shared" ca="1" si="84"/>
        <v>0</v>
      </c>
      <c r="O111" s="597">
        <f t="shared" ca="1" si="84"/>
        <v>0</v>
      </c>
      <c r="P111" s="598">
        <f t="shared" ca="1" si="84"/>
        <v>0</v>
      </c>
      <c r="Q111" s="136"/>
      <c r="R111" s="136"/>
      <c r="S111" s="136"/>
      <c r="T111" s="136"/>
      <c r="U111" s="136"/>
      <c r="V111" s="136"/>
      <c r="W111" s="131"/>
      <c r="X111"/>
      <c r="Y111"/>
      <c r="Z111"/>
      <c r="AA111"/>
      <c r="AB111"/>
      <c r="AC111"/>
      <c r="AD111"/>
      <c r="AE111"/>
      <c r="AF111"/>
      <c r="AG111"/>
      <c r="AH111"/>
      <c r="AI111"/>
      <c r="AJ111"/>
      <c r="AK111"/>
    </row>
    <row r="112" spans="1:37" s="529" customFormat="1" ht="12.75" customHeight="1">
      <c r="D112" s="308"/>
      <c r="E112" s="3696"/>
      <c r="F112" s="340" t="str">
        <f>CONCATENATE("Total overhead expenditure - ",E90)</f>
        <v>Total overhead expenditure - &lt; insert sub-category &gt;</v>
      </c>
      <c r="G112" s="594">
        <f t="shared" ref="G112:P112" ca="1" si="85">SUMIF($E$91:$P$110,"Total overhead expenditure",G$91:G$110)</f>
        <v>0</v>
      </c>
      <c r="H112" s="551">
        <f t="shared" ca="1" si="85"/>
        <v>0</v>
      </c>
      <c r="I112" s="551">
        <f t="shared" ca="1" si="85"/>
        <v>0</v>
      </c>
      <c r="J112" s="551">
        <f t="shared" ca="1" si="85"/>
        <v>0</v>
      </c>
      <c r="K112" s="556">
        <f t="shared" ca="1" si="85"/>
        <v>0</v>
      </c>
      <c r="L112" s="594">
        <f t="shared" ca="1" si="85"/>
        <v>0</v>
      </c>
      <c r="M112" s="551">
        <f t="shared" ca="1" si="85"/>
        <v>0</v>
      </c>
      <c r="N112" s="551">
        <f t="shared" ca="1" si="85"/>
        <v>0</v>
      </c>
      <c r="O112" s="551">
        <f t="shared" ca="1" si="85"/>
        <v>0</v>
      </c>
      <c r="P112" s="553">
        <f t="shared" ca="1" si="85"/>
        <v>0</v>
      </c>
      <c r="Q112" s="1407"/>
      <c r="R112" s="510"/>
      <c r="S112" s="510"/>
      <c r="T112" s="510"/>
      <c r="U112" s="510"/>
      <c r="V112" s="510"/>
      <c r="W112" s="131"/>
      <c r="X112"/>
      <c r="Y112"/>
      <c r="Z112"/>
      <c r="AA112"/>
      <c r="AB112"/>
      <c r="AC112"/>
      <c r="AD112"/>
      <c r="AE112"/>
      <c r="AF112"/>
      <c r="AG112"/>
      <c r="AH112"/>
      <c r="AI112"/>
      <c r="AJ112"/>
      <c r="AK112"/>
    </row>
    <row r="113" spans="1:37" s="529" customFormat="1" ht="12.75" customHeight="1">
      <c r="D113" s="308"/>
      <c r="E113" s="3696"/>
      <c r="F113" s="340" t="str">
        <f>CONCATENATE("Related party margin expenditure - ",E90)</f>
        <v>Related party margin expenditure - &lt; insert sub-category &gt;</v>
      </c>
      <c r="G113" s="594">
        <f t="shared" ref="G113:P113" ca="1" si="86">SUMIF($E$91:$P$110,"Related party margin",G$91:G$110)</f>
        <v>0</v>
      </c>
      <c r="H113" s="551">
        <f t="shared" ca="1" si="86"/>
        <v>0</v>
      </c>
      <c r="I113" s="551">
        <f t="shared" ca="1" si="86"/>
        <v>0</v>
      </c>
      <c r="J113" s="551">
        <f t="shared" ca="1" si="86"/>
        <v>0</v>
      </c>
      <c r="K113" s="556">
        <f t="shared" ca="1" si="86"/>
        <v>0</v>
      </c>
      <c r="L113" s="594">
        <f t="shared" ca="1" si="86"/>
        <v>0</v>
      </c>
      <c r="M113" s="551">
        <f t="shared" ca="1" si="86"/>
        <v>0</v>
      </c>
      <c r="N113" s="551">
        <f t="shared" ca="1" si="86"/>
        <v>0</v>
      </c>
      <c r="O113" s="551">
        <f t="shared" ca="1" si="86"/>
        <v>0</v>
      </c>
      <c r="P113" s="553">
        <f t="shared" ca="1" si="86"/>
        <v>0</v>
      </c>
      <c r="Q113" s="510"/>
      <c r="R113" s="510"/>
      <c r="S113" s="510"/>
      <c r="T113" s="510"/>
      <c r="U113" s="510"/>
      <c r="V113" s="510"/>
      <c r="W113" s="131"/>
      <c r="X113"/>
      <c r="Y113"/>
      <c r="Z113"/>
      <c r="AA113"/>
      <c r="AB113"/>
      <c r="AC113"/>
      <c r="AD113"/>
      <c r="AE113"/>
      <c r="AF113"/>
      <c r="AG113"/>
      <c r="AH113"/>
      <c r="AI113"/>
      <c r="AJ113"/>
      <c r="AK113"/>
    </row>
    <row r="114" spans="1:37" s="70" customFormat="1" ht="12.75" customHeight="1">
      <c r="A114" s="76"/>
      <c r="B114" s="76"/>
      <c r="C114" s="76"/>
      <c r="D114" s="360"/>
      <c r="E114" s="3696"/>
      <c r="F114" s="2058" t="str">
        <f>CONCATENATE("Total gross expenditure - ",E90)</f>
        <v>Total gross expenditure - &lt; insert sub-category &gt;</v>
      </c>
      <c r="G114" s="1396">
        <f t="shared" ref="G114:P114" ca="1" si="87">SUMIF($E$91:$P$110,"Total gross expenditure",G$91:G$110)</f>
        <v>0</v>
      </c>
      <c r="H114" s="1397">
        <f t="shared" ca="1" si="87"/>
        <v>0</v>
      </c>
      <c r="I114" s="1397">
        <f t="shared" ca="1" si="87"/>
        <v>0</v>
      </c>
      <c r="J114" s="1397">
        <f t="shared" ca="1" si="87"/>
        <v>0</v>
      </c>
      <c r="K114" s="1400">
        <f t="shared" ca="1" si="87"/>
        <v>0</v>
      </c>
      <c r="L114" s="1396">
        <f t="shared" ca="1" si="87"/>
        <v>0</v>
      </c>
      <c r="M114" s="1397">
        <f t="shared" ca="1" si="87"/>
        <v>0</v>
      </c>
      <c r="N114" s="1397">
        <f t="shared" ca="1" si="87"/>
        <v>0</v>
      </c>
      <c r="O114" s="1397">
        <f t="shared" ca="1" si="87"/>
        <v>0</v>
      </c>
      <c r="P114" s="1398">
        <f t="shared" ca="1" si="87"/>
        <v>0</v>
      </c>
      <c r="Q114" s="162"/>
      <c r="R114" s="136"/>
      <c r="S114" s="136"/>
      <c r="T114" s="136"/>
      <c r="U114" s="136"/>
      <c r="V114" s="136"/>
      <c r="W114" s="1408"/>
      <c r="X114"/>
      <c r="Y114"/>
      <c r="Z114"/>
      <c r="AA114"/>
      <c r="AB114"/>
      <c r="AC114"/>
      <c r="AD114"/>
      <c r="AE114"/>
      <c r="AF114"/>
      <c r="AG114"/>
      <c r="AH114"/>
      <c r="AI114"/>
      <c r="AJ114"/>
      <c r="AK114"/>
    </row>
    <row r="115" spans="1:37" s="70" customFormat="1" ht="12.75" customHeight="1">
      <c r="A115" s="76"/>
      <c r="B115" s="76"/>
      <c r="C115" s="76"/>
      <c r="D115" s="360"/>
      <c r="E115" s="3696"/>
      <c r="F115" s="340" t="s">
        <v>35</v>
      </c>
      <c r="G115" s="594">
        <f t="shared" ref="G115:P115" ca="1" si="88">SUMIF($E$91:$P$110,"Less customer contributions",G$91:G$110)</f>
        <v>0</v>
      </c>
      <c r="H115" s="551">
        <f t="shared" ca="1" si="88"/>
        <v>0</v>
      </c>
      <c r="I115" s="551">
        <f t="shared" ca="1" si="88"/>
        <v>0</v>
      </c>
      <c r="J115" s="551">
        <f t="shared" ca="1" si="88"/>
        <v>0</v>
      </c>
      <c r="K115" s="556">
        <f t="shared" ca="1" si="88"/>
        <v>0</v>
      </c>
      <c r="L115" s="594">
        <f t="shared" ca="1" si="88"/>
        <v>0</v>
      </c>
      <c r="M115" s="551">
        <f t="shared" ca="1" si="88"/>
        <v>0</v>
      </c>
      <c r="N115" s="551">
        <f t="shared" ca="1" si="88"/>
        <v>0</v>
      </c>
      <c r="O115" s="551">
        <f t="shared" ca="1" si="88"/>
        <v>0</v>
      </c>
      <c r="P115" s="553">
        <f t="shared" ca="1" si="88"/>
        <v>0</v>
      </c>
      <c r="Q115" s="140"/>
      <c r="R115" s="140"/>
      <c r="S115" s="140"/>
      <c r="T115" s="140"/>
      <c r="U115" s="140"/>
      <c r="V115" s="140"/>
      <c r="W115" s="1408"/>
      <c r="X115"/>
      <c r="Y115"/>
      <c r="Z115"/>
      <c r="AA115"/>
      <c r="AB115"/>
      <c r="AC115"/>
      <c r="AD115"/>
      <c r="AE115"/>
      <c r="AF115"/>
      <c r="AG115"/>
      <c r="AH115"/>
      <c r="AI115"/>
      <c r="AJ115"/>
      <c r="AK115"/>
    </row>
    <row r="116" spans="1:37" s="70" customFormat="1" ht="12.75" customHeight="1" thickBot="1">
      <c r="A116" s="76"/>
      <c r="B116" s="76"/>
      <c r="C116" s="76"/>
      <c r="D116" s="360"/>
      <c r="E116" s="3697"/>
      <c r="F116" s="2059" t="str">
        <f>CONCATENATE("Total net expenditure - ",E90)</f>
        <v>Total net expenditure - &lt; insert sub-category &gt;</v>
      </c>
      <c r="G116" s="1401">
        <f t="shared" ref="G116:P116" ca="1" si="89">SUMIF($E$91:$P$110,"Total net expenditure",G$91:G$110)</f>
        <v>0</v>
      </c>
      <c r="H116" s="1402">
        <f t="shared" ca="1" si="89"/>
        <v>0</v>
      </c>
      <c r="I116" s="1402">
        <f t="shared" ca="1" si="89"/>
        <v>0</v>
      </c>
      <c r="J116" s="1402">
        <f t="shared" ca="1" si="89"/>
        <v>0</v>
      </c>
      <c r="K116" s="1406">
        <f t="shared" ca="1" si="89"/>
        <v>0</v>
      </c>
      <c r="L116" s="1401">
        <f t="shared" ca="1" si="89"/>
        <v>0</v>
      </c>
      <c r="M116" s="1402">
        <f t="shared" ca="1" si="89"/>
        <v>0</v>
      </c>
      <c r="N116" s="1402">
        <f t="shared" ca="1" si="89"/>
        <v>0</v>
      </c>
      <c r="O116" s="1402">
        <f t="shared" ca="1" si="89"/>
        <v>0</v>
      </c>
      <c r="P116" s="1403">
        <f t="shared" ca="1" si="89"/>
        <v>0</v>
      </c>
      <c r="Q116" s="140"/>
      <c r="R116" s="140"/>
      <c r="S116" s="140"/>
      <c r="T116" s="140"/>
      <c r="U116" s="140"/>
      <c r="V116" s="140"/>
      <c r="W116" s="1408"/>
      <c r="X116"/>
      <c r="Y116"/>
      <c r="Z116"/>
      <c r="AA116"/>
      <c r="AB116"/>
      <c r="AC116"/>
      <c r="AD116"/>
      <c r="AE116"/>
      <c r="AF116"/>
      <c r="AG116"/>
      <c r="AH116"/>
      <c r="AI116"/>
      <c r="AJ116"/>
      <c r="AK116"/>
    </row>
    <row r="117" spans="1:37" s="79" customFormat="1" ht="30.75" customHeight="1" thickBot="1">
      <c r="A117" s="308"/>
      <c r="B117" s="308"/>
      <c r="C117" s="308"/>
      <c r="D117" s="308"/>
      <c r="E117" s="3690" t="s">
        <v>374</v>
      </c>
      <c r="F117" s="3691"/>
      <c r="G117" s="2040"/>
      <c r="H117" s="2041"/>
      <c r="I117" s="2041"/>
      <c r="J117" s="2041"/>
      <c r="K117" s="2041"/>
      <c r="L117" s="2041"/>
      <c r="M117" s="2041"/>
      <c r="N117" s="2041"/>
      <c r="O117" s="2041"/>
      <c r="P117" s="2042"/>
      <c r="Q117" s="234"/>
      <c r="R117" s="234"/>
      <c r="S117" s="234"/>
      <c r="T117" s="234"/>
      <c r="U117" s="234"/>
      <c r="V117" s="234"/>
      <c r="W117" s="234"/>
      <c r="X117"/>
      <c r="Y117"/>
      <c r="Z117"/>
      <c r="AA117"/>
      <c r="AB117"/>
      <c r="AC117"/>
      <c r="AD117"/>
      <c r="AE117"/>
      <c r="AF117"/>
      <c r="AG117"/>
      <c r="AH117"/>
      <c r="AI117"/>
      <c r="AJ117"/>
      <c r="AK117"/>
    </row>
    <row r="118" spans="1:37" s="529" customFormat="1" ht="30" customHeight="1" outlineLevel="1">
      <c r="D118" s="308"/>
      <c r="E118" s="602" t="s">
        <v>89</v>
      </c>
      <c r="F118" s="1016" t="s">
        <v>629</v>
      </c>
      <c r="G118" s="2033"/>
      <c r="H118" s="2034"/>
      <c r="I118" s="2034"/>
      <c r="J118" s="2034"/>
      <c r="K118" s="2034"/>
      <c r="L118" s="2037"/>
      <c r="M118" s="2038"/>
      <c r="N118" s="2038"/>
      <c r="O118" s="2038"/>
      <c r="P118" s="2039"/>
      <c r="Q118" s="136"/>
      <c r="R118" s="136"/>
      <c r="S118" s="136"/>
      <c r="T118" s="136"/>
      <c r="U118" s="136"/>
      <c r="V118" s="136"/>
      <c r="W118" s="131"/>
      <c r="X118"/>
      <c r="Y118"/>
      <c r="Z118"/>
      <c r="AA118"/>
      <c r="AB118"/>
      <c r="AC118"/>
      <c r="AD118"/>
      <c r="AE118"/>
      <c r="AF118"/>
      <c r="AG118"/>
      <c r="AH118"/>
      <c r="AI118"/>
      <c r="AJ118"/>
      <c r="AK118"/>
    </row>
    <row r="119" spans="1:37" s="529" customFormat="1" ht="12.75" customHeight="1" outlineLevel="1">
      <c r="A119" s="79"/>
      <c r="B119" s="79"/>
      <c r="C119" s="79"/>
      <c r="D119" s="308"/>
      <c r="E119" s="554"/>
      <c r="F119" s="575" t="s">
        <v>595</v>
      </c>
      <c r="G119" s="2035"/>
      <c r="H119" s="2036"/>
      <c r="I119" s="2036"/>
      <c r="J119" s="2036"/>
      <c r="K119" s="2036"/>
      <c r="L119" s="514"/>
      <c r="M119" s="513"/>
      <c r="N119" s="513"/>
      <c r="O119" s="513"/>
      <c r="P119" s="515"/>
      <c r="Q119" s="510"/>
      <c r="R119" s="510"/>
      <c r="S119" s="510"/>
      <c r="T119" s="510"/>
      <c r="U119" s="510"/>
      <c r="V119" s="510"/>
      <c r="W119" s="136"/>
      <c r="X119"/>
      <c r="Y119"/>
      <c r="Z119"/>
      <c r="AA119"/>
      <c r="AB119"/>
      <c r="AC119"/>
      <c r="AD119"/>
      <c r="AE119"/>
      <c r="AF119"/>
      <c r="AG119"/>
      <c r="AH119"/>
      <c r="AI119"/>
      <c r="AJ119"/>
      <c r="AK119"/>
    </row>
    <row r="120" spans="1:37" s="529" customFormat="1" ht="12.75" customHeight="1" outlineLevel="1">
      <c r="D120" s="308"/>
      <c r="E120" s="554"/>
      <c r="F120" s="575" t="s">
        <v>594</v>
      </c>
      <c r="G120" s="2035"/>
      <c r="H120" s="2036"/>
      <c r="I120" s="2036"/>
      <c r="J120" s="2036"/>
      <c r="K120" s="2036"/>
      <c r="L120" s="514"/>
      <c r="M120" s="513"/>
      <c r="N120" s="513"/>
      <c r="O120" s="513"/>
      <c r="P120" s="515"/>
      <c r="Q120" s="510"/>
      <c r="R120" s="510"/>
      <c r="S120" s="510"/>
      <c r="T120" s="510"/>
      <c r="U120" s="510"/>
      <c r="V120" s="510"/>
      <c r="W120" s="136"/>
      <c r="X120"/>
      <c r="Y120"/>
      <c r="Z120"/>
      <c r="AA120"/>
      <c r="AB120"/>
      <c r="AC120"/>
      <c r="AD120"/>
      <c r="AE120"/>
      <c r="AF120"/>
      <c r="AG120"/>
      <c r="AH120"/>
      <c r="AI120"/>
      <c r="AJ120"/>
      <c r="AK120"/>
    </row>
    <row r="121" spans="1:37" s="529" customFormat="1" ht="12.75" customHeight="1" outlineLevel="1">
      <c r="D121" s="308"/>
      <c r="E121" s="554"/>
      <c r="F121" s="575" t="s">
        <v>614</v>
      </c>
      <c r="G121" s="2035"/>
      <c r="H121" s="2036"/>
      <c r="I121" s="2036"/>
      <c r="J121" s="2036"/>
      <c r="K121" s="2036"/>
      <c r="L121" s="514"/>
      <c r="M121" s="513"/>
      <c r="N121" s="513"/>
      <c r="O121" s="513"/>
      <c r="P121" s="515"/>
      <c r="Q121" s="510"/>
      <c r="R121" s="510"/>
      <c r="S121" s="510"/>
      <c r="T121" s="510"/>
      <c r="U121" s="510"/>
      <c r="V121" s="510"/>
      <c r="W121" s="136"/>
      <c r="X121"/>
      <c r="Y121"/>
      <c r="Z121"/>
      <c r="AA121"/>
      <c r="AB121"/>
      <c r="AC121"/>
      <c r="AD121"/>
      <c r="AE121"/>
      <c r="AF121"/>
      <c r="AG121"/>
      <c r="AH121"/>
      <c r="AI121"/>
      <c r="AJ121"/>
      <c r="AK121"/>
    </row>
    <row r="122" spans="1:37" s="529" customFormat="1" ht="12.75" customHeight="1" outlineLevel="1">
      <c r="D122" s="308"/>
      <c r="E122" s="554"/>
      <c r="F122" s="576" t="s">
        <v>615</v>
      </c>
      <c r="G122" s="514"/>
      <c r="H122" s="513"/>
      <c r="I122" s="513"/>
      <c r="J122" s="513"/>
      <c r="K122" s="702"/>
      <c r="L122" s="401">
        <f t="shared" ref="L122:P122" si="90">SUM(L119:L121)</f>
        <v>0</v>
      </c>
      <c r="M122" s="402">
        <f t="shared" si="90"/>
        <v>0</v>
      </c>
      <c r="N122" s="402">
        <f t="shared" si="90"/>
        <v>0</v>
      </c>
      <c r="O122" s="402">
        <f t="shared" si="90"/>
        <v>0</v>
      </c>
      <c r="P122" s="505">
        <f t="shared" si="90"/>
        <v>0</v>
      </c>
      <c r="Q122" s="510"/>
      <c r="R122" s="510"/>
      <c r="S122" s="510"/>
      <c r="T122" s="510"/>
      <c r="U122" s="510"/>
      <c r="V122" s="510"/>
      <c r="W122" s="136"/>
      <c r="X122"/>
      <c r="Y122"/>
      <c r="Z122"/>
      <c r="AA122"/>
      <c r="AB122"/>
      <c r="AC122"/>
      <c r="AD122"/>
      <c r="AE122"/>
      <c r="AF122"/>
      <c r="AG122"/>
      <c r="AH122"/>
      <c r="AI122"/>
      <c r="AJ122"/>
      <c r="AK122"/>
    </row>
    <row r="123" spans="1:37" s="529" customFormat="1" ht="12.75" customHeight="1" outlineLevel="1">
      <c r="D123" s="308"/>
      <c r="E123" s="554"/>
      <c r="F123" s="575" t="s">
        <v>619</v>
      </c>
      <c r="G123" s="514"/>
      <c r="H123" s="513"/>
      <c r="I123" s="513"/>
      <c r="J123" s="513"/>
      <c r="K123" s="702"/>
      <c r="L123" s="569">
        <v>0</v>
      </c>
      <c r="M123" s="570">
        <v>0</v>
      </c>
      <c r="N123" s="570">
        <v>0</v>
      </c>
      <c r="O123" s="570">
        <v>0</v>
      </c>
      <c r="P123" s="608">
        <v>0</v>
      </c>
      <c r="Q123" s="510"/>
      <c r="R123" s="510"/>
      <c r="S123" s="510"/>
      <c r="T123" s="510"/>
      <c r="U123" s="510"/>
      <c r="V123" s="510"/>
      <c r="W123" s="136"/>
      <c r="X123"/>
      <c r="Y123"/>
      <c r="Z123"/>
      <c r="AA123"/>
      <c r="AB123"/>
      <c r="AC123"/>
      <c r="AD123"/>
      <c r="AE123"/>
      <c r="AF123"/>
      <c r="AG123"/>
      <c r="AH123"/>
      <c r="AI123"/>
      <c r="AJ123"/>
      <c r="AK123"/>
    </row>
    <row r="124" spans="1:37" s="529" customFormat="1" ht="12.75" customHeight="1" outlineLevel="1">
      <c r="D124" s="308"/>
      <c r="E124" s="554"/>
      <c r="F124" s="575" t="s">
        <v>617</v>
      </c>
      <c r="G124" s="514"/>
      <c r="H124" s="513"/>
      <c r="I124" s="513"/>
      <c r="J124" s="513"/>
      <c r="K124" s="702"/>
      <c r="L124" s="517">
        <v>0</v>
      </c>
      <c r="M124" s="518">
        <v>0</v>
      </c>
      <c r="N124" s="518">
        <v>0</v>
      </c>
      <c r="O124" s="518">
        <v>0</v>
      </c>
      <c r="P124" s="519">
        <v>0</v>
      </c>
      <c r="Q124" s="510"/>
      <c r="R124" s="510"/>
      <c r="S124" s="510"/>
      <c r="T124" s="510"/>
      <c r="U124" s="510"/>
      <c r="V124" s="510"/>
      <c r="W124" s="136"/>
      <c r="X124"/>
      <c r="Y124"/>
      <c r="Z124"/>
      <c r="AA124"/>
      <c r="AB124"/>
      <c r="AC124"/>
      <c r="AD124"/>
      <c r="AE124"/>
      <c r="AF124"/>
      <c r="AG124"/>
      <c r="AH124"/>
      <c r="AI124"/>
      <c r="AJ124"/>
      <c r="AK124"/>
    </row>
    <row r="125" spans="1:37" s="529" customFormat="1" ht="12.75" customHeight="1" outlineLevel="1">
      <c r="D125" s="308"/>
      <c r="E125" s="554"/>
      <c r="F125" s="576" t="s">
        <v>620</v>
      </c>
      <c r="G125" s="401">
        <f t="shared" ref="G125" si="91">SUM(G122:G124)</f>
        <v>0</v>
      </c>
      <c r="H125" s="402">
        <f t="shared" ref="H125" si="92">SUM(H122:H124)</f>
        <v>0</v>
      </c>
      <c r="I125" s="402">
        <f t="shared" ref="I125" si="93">SUM(I122:I124)</f>
        <v>0</v>
      </c>
      <c r="J125" s="402">
        <f t="shared" ref="J125" si="94">SUM(J122:J124)</f>
        <v>0</v>
      </c>
      <c r="K125" s="703">
        <f t="shared" ref="K125" si="95">SUM(K122:K124)</f>
        <v>0</v>
      </c>
      <c r="L125" s="401">
        <f>SUM(L122:L124)</f>
        <v>0</v>
      </c>
      <c r="M125" s="402">
        <f t="shared" ref="M125" si="96">SUM(M122:M124)</f>
        <v>0</v>
      </c>
      <c r="N125" s="402">
        <f t="shared" ref="N125" si="97">SUM(N122:N124)</f>
        <v>0</v>
      </c>
      <c r="O125" s="402">
        <f t="shared" ref="O125" si="98">SUM(O122:O124)</f>
        <v>0</v>
      </c>
      <c r="P125" s="505">
        <f t="shared" ref="P125" si="99">SUM(P122:P124)</f>
        <v>0</v>
      </c>
      <c r="Q125" s="510"/>
      <c r="R125" s="510"/>
      <c r="S125" s="510"/>
      <c r="T125" s="510"/>
      <c r="U125" s="510"/>
      <c r="V125" s="510"/>
      <c r="W125" s="136"/>
      <c r="X125"/>
      <c r="Y125"/>
      <c r="Z125"/>
      <c r="AA125"/>
      <c r="AB125"/>
      <c r="AC125"/>
      <c r="AD125"/>
      <c r="AE125"/>
      <c r="AF125"/>
      <c r="AG125"/>
      <c r="AH125"/>
      <c r="AI125"/>
      <c r="AJ125"/>
      <c r="AK125"/>
    </row>
    <row r="126" spans="1:37" s="529" customFormat="1" ht="12.75" customHeight="1" outlineLevel="1">
      <c r="D126" s="308"/>
      <c r="E126" s="554"/>
      <c r="F126" s="575" t="s">
        <v>35</v>
      </c>
      <c r="G126" s="514"/>
      <c r="H126" s="513"/>
      <c r="I126" s="513"/>
      <c r="J126" s="513"/>
      <c r="K126" s="702"/>
      <c r="L126" s="514"/>
      <c r="M126" s="513"/>
      <c r="N126" s="513"/>
      <c r="O126" s="513"/>
      <c r="P126" s="515"/>
      <c r="Q126" s="510"/>
      <c r="R126" s="510"/>
      <c r="S126" s="510"/>
      <c r="T126" s="510"/>
      <c r="U126" s="510"/>
      <c r="V126" s="510"/>
      <c r="W126" s="136"/>
      <c r="X126"/>
      <c r="Y126"/>
      <c r="Z126"/>
      <c r="AA126"/>
      <c r="AB126"/>
      <c r="AC126"/>
      <c r="AD126"/>
      <c r="AE126"/>
      <c r="AF126"/>
      <c r="AG126"/>
      <c r="AH126"/>
      <c r="AI126"/>
      <c r="AJ126"/>
      <c r="AK126"/>
    </row>
    <row r="127" spans="1:37" s="529" customFormat="1" ht="12.75" customHeight="1" outlineLevel="1" thickBot="1">
      <c r="D127" s="308"/>
      <c r="E127" s="554"/>
      <c r="F127" s="1753" t="s">
        <v>621</v>
      </c>
      <c r="G127" s="404">
        <f t="shared" ref="G127:P127" si="100">G125-G126</f>
        <v>0</v>
      </c>
      <c r="H127" s="405">
        <f t="shared" si="100"/>
        <v>0</v>
      </c>
      <c r="I127" s="405">
        <f t="shared" si="100"/>
        <v>0</v>
      </c>
      <c r="J127" s="405">
        <f t="shared" si="100"/>
        <v>0</v>
      </c>
      <c r="K127" s="706">
        <f t="shared" si="100"/>
        <v>0</v>
      </c>
      <c r="L127" s="404">
        <f t="shared" si="100"/>
        <v>0</v>
      </c>
      <c r="M127" s="405">
        <f t="shared" ref="M127" si="101">M125-M126</f>
        <v>0</v>
      </c>
      <c r="N127" s="405">
        <f t="shared" si="100"/>
        <v>0</v>
      </c>
      <c r="O127" s="405">
        <f t="shared" si="100"/>
        <v>0</v>
      </c>
      <c r="P127" s="560">
        <f t="shared" si="100"/>
        <v>0</v>
      </c>
      <c r="Q127" s="510"/>
      <c r="R127" s="510"/>
      <c r="S127" s="510"/>
      <c r="T127" s="510"/>
      <c r="U127" s="510"/>
      <c r="V127" s="510"/>
      <c r="W127" s="136"/>
      <c r="X127"/>
      <c r="Y127"/>
      <c r="Z127"/>
      <c r="AA127"/>
      <c r="AB127"/>
      <c r="AC127"/>
      <c r="AD127"/>
      <c r="AE127"/>
      <c r="AF127"/>
      <c r="AG127"/>
      <c r="AH127"/>
      <c r="AI127"/>
      <c r="AJ127"/>
      <c r="AK127"/>
    </row>
    <row r="128" spans="1:37" s="529" customFormat="1" ht="24.75" customHeight="1" outlineLevel="1">
      <c r="D128" s="308"/>
      <c r="E128" s="602" t="s">
        <v>89</v>
      </c>
      <c r="F128" s="1016" t="s">
        <v>629</v>
      </c>
      <c r="G128" s="2033"/>
      <c r="H128" s="2034"/>
      <c r="I128" s="2034"/>
      <c r="J128" s="2034"/>
      <c r="K128" s="2034"/>
      <c r="L128" s="2037"/>
      <c r="M128" s="2038"/>
      <c r="N128" s="2038"/>
      <c r="O128" s="2038"/>
      <c r="P128" s="2039"/>
      <c r="Q128" s="136"/>
      <c r="R128" s="136"/>
      <c r="S128" s="136"/>
      <c r="T128" s="136"/>
      <c r="U128" s="136"/>
      <c r="V128" s="136"/>
      <c r="W128" s="131"/>
      <c r="X128"/>
      <c r="Y128"/>
      <c r="Z128"/>
      <c r="AA128"/>
      <c r="AB128"/>
      <c r="AC128"/>
      <c r="AD128"/>
      <c r="AE128"/>
      <c r="AF128"/>
      <c r="AG128"/>
      <c r="AH128"/>
      <c r="AI128"/>
      <c r="AJ128"/>
      <c r="AK128"/>
    </row>
    <row r="129" spans="1:37" s="529" customFormat="1" ht="12.75" customHeight="1" outlineLevel="1">
      <c r="A129" s="79"/>
      <c r="B129" s="79"/>
      <c r="C129" s="79"/>
      <c r="D129" s="308"/>
      <c r="E129" s="554"/>
      <c r="F129" s="575" t="s">
        <v>595</v>
      </c>
      <c r="G129" s="2035"/>
      <c r="H129" s="2036"/>
      <c r="I129" s="2036"/>
      <c r="J129" s="2036"/>
      <c r="K129" s="2036"/>
      <c r="L129" s="514"/>
      <c r="M129" s="513"/>
      <c r="N129" s="513"/>
      <c r="O129" s="513"/>
      <c r="P129" s="515"/>
      <c r="Q129" s="510"/>
      <c r="R129" s="510"/>
      <c r="S129" s="510"/>
      <c r="T129" s="510"/>
      <c r="U129" s="510"/>
      <c r="V129" s="510"/>
      <c r="W129" s="136"/>
      <c r="X129"/>
      <c r="Y129"/>
      <c r="Z129"/>
      <c r="AA129"/>
      <c r="AB129"/>
      <c r="AC129"/>
      <c r="AD129"/>
      <c r="AE129"/>
      <c r="AF129"/>
      <c r="AG129"/>
      <c r="AH129"/>
      <c r="AI129"/>
      <c r="AJ129"/>
      <c r="AK129"/>
    </row>
    <row r="130" spans="1:37" s="529" customFormat="1" ht="12.75" customHeight="1" outlineLevel="1">
      <c r="D130" s="308"/>
      <c r="E130" s="554"/>
      <c r="F130" s="575" t="s">
        <v>594</v>
      </c>
      <c r="G130" s="2035"/>
      <c r="H130" s="2036"/>
      <c r="I130" s="2036"/>
      <c r="J130" s="2036"/>
      <c r="K130" s="2036"/>
      <c r="L130" s="514"/>
      <c r="M130" s="513"/>
      <c r="N130" s="513"/>
      <c r="O130" s="513"/>
      <c r="P130" s="515"/>
      <c r="Q130" s="510"/>
      <c r="R130" s="510"/>
      <c r="S130" s="510"/>
      <c r="T130" s="510"/>
      <c r="U130" s="510"/>
      <c r="V130" s="510"/>
      <c r="W130" s="136"/>
      <c r="X130"/>
      <c r="Y130"/>
      <c r="Z130"/>
      <c r="AA130"/>
      <c r="AB130"/>
      <c r="AC130"/>
      <c r="AD130"/>
      <c r="AE130"/>
      <c r="AF130"/>
      <c r="AG130"/>
      <c r="AH130"/>
      <c r="AI130"/>
      <c r="AJ130"/>
      <c r="AK130"/>
    </row>
    <row r="131" spans="1:37" s="529" customFormat="1" ht="12.75" customHeight="1" outlineLevel="1">
      <c r="D131" s="308"/>
      <c r="E131" s="554"/>
      <c r="F131" s="575" t="s">
        <v>614</v>
      </c>
      <c r="G131" s="2035"/>
      <c r="H131" s="2036"/>
      <c r="I131" s="2036"/>
      <c r="J131" s="2036"/>
      <c r="K131" s="2036"/>
      <c r="L131" s="514"/>
      <c r="M131" s="513"/>
      <c r="N131" s="513"/>
      <c r="O131" s="513"/>
      <c r="P131" s="515"/>
      <c r="Q131" s="510"/>
      <c r="R131" s="510"/>
      <c r="S131" s="510"/>
      <c r="T131" s="510"/>
      <c r="U131" s="510"/>
      <c r="V131" s="510"/>
      <c r="W131" s="136"/>
      <c r="X131"/>
      <c r="Y131"/>
      <c r="Z131"/>
      <c r="AA131"/>
      <c r="AB131"/>
      <c r="AC131"/>
      <c r="AD131"/>
      <c r="AE131"/>
      <c r="AF131"/>
      <c r="AG131"/>
      <c r="AH131"/>
      <c r="AI131"/>
      <c r="AJ131"/>
      <c r="AK131"/>
    </row>
    <row r="132" spans="1:37" s="529" customFormat="1" ht="12.75" customHeight="1" outlineLevel="1">
      <c r="D132" s="308"/>
      <c r="E132" s="554"/>
      <c r="F132" s="576" t="s">
        <v>615</v>
      </c>
      <c r="G132" s="514"/>
      <c r="H132" s="513"/>
      <c r="I132" s="513"/>
      <c r="J132" s="513"/>
      <c r="K132" s="702"/>
      <c r="L132" s="401">
        <f t="shared" ref="L132:P132" si="102">SUM(L129:L131)</f>
        <v>0</v>
      </c>
      <c r="M132" s="402">
        <f t="shared" si="102"/>
        <v>0</v>
      </c>
      <c r="N132" s="402">
        <f t="shared" si="102"/>
        <v>0</v>
      </c>
      <c r="O132" s="402">
        <f t="shared" si="102"/>
        <v>0</v>
      </c>
      <c r="P132" s="505">
        <f t="shared" si="102"/>
        <v>0</v>
      </c>
      <c r="Q132" s="510"/>
      <c r="R132" s="510"/>
      <c r="S132" s="510"/>
      <c r="T132" s="510"/>
      <c r="U132" s="510"/>
      <c r="V132" s="510"/>
      <c r="W132" s="136"/>
      <c r="X132"/>
      <c r="Y132"/>
      <c r="Z132"/>
      <c r="AA132"/>
      <c r="AB132"/>
      <c r="AC132"/>
      <c r="AD132"/>
      <c r="AE132"/>
      <c r="AF132"/>
      <c r="AG132"/>
      <c r="AH132"/>
      <c r="AI132"/>
      <c r="AJ132"/>
      <c r="AK132"/>
    </row>
    <row r="133" spans="1:37" s="529" customFormat="1" ht="12.75" customHeight="1" outlineLevel="1">
      <c r="D133" s="308"/>
      <c r="E133" s="554"/>
      <c r="F133" s="575" t="s">
        <v>619</v>
      </c>
      <c r="G133" s="514"/>
      <c r="H133" s="513"/>
      <c r="I133" s="513"/>
      <c r="J133" s="513"/>
      <c r="K133" s="702"/>
      <c r="L133" s="569">
        <v>0</v>
      </c>
      <c r="M133" s="570">
        <v>0</v>
      </c>
      <c r="N133" s="570">
        <v>0</v>
      </c>
      <c r="O133" s="570">
        <v>0</v>
      </c>
      <c r="P133" s="608">
        <v>0</v>
      </c>
      <c r="Q133" s="510"/>
      <c r="R133" s="510"/>
      <c r="S133" s="510"/>
      <c r="T133" s="510"/>
      <c r="U133" s="510"/>
      <c r="V133" s="510"/>
      <c r="W133" s="136"/>
      <c r="X133"/>
      <c r="Y133"/>
      <c r="Z133"/>
      <c r="AA133"/>
      <c r="AB133"/>
      <c r="AC133"/>
      <c r="AD133"/>
      <c r="AE133"/>
      <c r="AF133"/>
      <c r="AG133"/>
      <c r="AH133"/>
      <c r="AI133"/>
      <c r="AJ133"/>
      <c r="AK133"/>
    </row>
    <row r="134" spans="1:37" s="529" customFormat="1" ht="12.75" customHeight="1" outlineLevel="1">
      <c r="D134" s="308"/>
      <c r="E134" s="554"/>
      <c r="F134" s="575" t="s">
        <v>617</v>
      </c>
      <c r="G134" s="514"/>
      <c r="H134" s="513"/>
      <c r="I134" s="513"/>
      <c r="J134" s="513"/>
      <c r="K134" s="702"/>
      <c r="L134" s="517">
        <v>0</v>
      </c>
      <c r="M134" s="518">
        <v>0</v>
      </c>
      <c r="N134" s="518">
        <v>0</v>
      </c>
      <c r="O134" s="518">
        <v>0</v>
      </c>
      <c r="P134" s="519">
        <v>0</v>
      </c>
      <c r="Q134" s="510"/>
      <c r="R134" s="510"/>
      <c r="S134" s="510"/>
      <c r="T134" s="510"/>
      <c r="U134" s="510"/>
      <c r="V134" s="510"/>
      <c r="W134" s="136"/>
      <c r="X134"/>
      <c r="Y134"/>
      <c r="Z134"/>
      <c r="AA134"/>
      <c r="AB134"/>
      <c r="AC134"/>
      <c r="AD134"/>
      <c r="AE134"/>
      <c r="AF134"/>
      <c r="AG134"/>
      <c r="AH134"/>
      <c r="AI134"/>
      <c r="AJ134"/>
      <c r="AK134"/>
    </row>
    <row r="135" spans="1:37" s="529" customFormat="1" ht="12.75" customHeight="1" outlineLevel="1">
      <c r="D135" s="308"/>
      <c r="E135" s="554"/>
      <c r="F135" s="576" t="s">
        <v>620</v>
      </c>
      <c r="G135" s="401">
        <f t="shared" ref="G135" si="103">SUM(G132:G134)</f>
        <v>0</v>
      </c>
      <c r="H135" s="402">
        <f t="shared" ref="H135" si="104">SUM(H132:H134)</f>
        <v>0</v>
      </c>
      <c r="I135" s="402">
        <f t="shared" ref="I135" si="105">SUM(I132:I134)</f>
        <v>0</v>
      </c>
      <c r="J135" s="402">
        <f t="shared" ref="J135" si="106">SUM(J132:J134)</f>
        <v>0</v>
      </c>
      <c r="K135" s="703">
        <f t="shared" ref="K135" si="107">SUM(K132:K134)</f>
        <v>0</v>
      </c>
      <c r="L135" s="401">
        <f>SUM(L132:L134)</f>
        <v>0</v>
      </c>
      <c r="M135" s="402">
        <f t="shared" ref="M135" si="108">SUM(M132:M134)</f>
        <v>0</v>
      </c>
      <c r="N135" s="402">
        <f t="shared" ref="N135" si="109">SUM(N132:N134)</f>
        <v>0</v>
      </c>
      <c r="O135" s="402">
        <f t="shared" ref="O135" si="110">SUM(O132:O134)</f>
        <v>0</v>
      </c>
      <c r="P135" s="505">
        <f t="shared" ref="P135" si="111">SUM(P132:P134)</f>
        <v>0</v>
      </c>
      <c r="Q135" s="510"/>
      <c r="R135" s="510"/>
      <c r="S135" s="510"/>
      <c r="T135" s="510"/>
      <c r="U135" s="510"/>
      <c r="V135" s="510"/>
      <c r="W135" s="136"/>
      <c r="X135"/>
      <c r="Y135"/>
      <c r="Z135"/>
      <c r="AA135"/>
      <c r="AB135"/>
      <c r="AC135"/>
      <c r="AD135"/>
      <c r="AE135"/>
      <c r="AF135"/>
      <c r="AG135"/>
      <c r="AH135"/>
      <c r="AI135"/>
      <c r="AJ135"/>
      <c r="AK135"/>
    </row>
    <row r="136" spans="1:37" s="529" customFormat="1" ht="12.75" customHeight="1" outlineLevel="1">
      <c r="D136" s="308"/>
      <c r="E136" s="554"/>
      <c r="F136" s="575" t="s">
        <v>35</v>
      </c>
      <c r="G136" s="514"/>
      <c r="H136" s="513"/>
      <c r="I136" s="513"/>
      <c r="J136" s="513"/>
      <c r="K136" s="702"/>
      <c r="L136" s="514"/>
      <c r="M136" s="513"/>
      <c r="N136" s="513"/>
      <c r="O136" s="513"/>
      <c r="P136" s="515"/>
      <c r="Q136" s="510"/>
      <c r="R136" s="510"/>
      <c r="S136" s="510"/>
      <c r="T136" s="510"/>
      <c r="U136" s="510"/>
      <c r="V136" s="510"/>
      <c r="W136" s="136"/>
      <c r="X136"/>
      <c r="Y136"/>
      <c r="Z136"/>
      <c r="AA136"/>
      <c r="AB136"/>
      <c r="AC136"/>
      <c r="AD136"/>
      <c r="AE136"/>
      <c r="AF136"/>
      <c r="AG136"/>
      <c r="AH136"/>
      <c r="AI136"/>
      <c r="AJ136"/>
      <c r="AK136"/>
    </row>
    <row r="137" spans="1:37" s="529" customFormat="1" ht="12.75" customHeight="1" outlineLevel="1" thickBot="1">
      <c r="D137" s="308"/>
      <c r="E137" s="555"/>
      <c r="F137" s="1753" t="s">
        <v>621</v>
      </c>
      <c r="G137" s="404">
        <f t="shared" ref="G137:P137" si="112">G135-G136</f>
        <v>0</v>
      </c>
      <c r="H137" s="405">
        <f t="shared" si="112"/>
        <v>0</v>
      </c>
      <c r="I137" s="405">
        <f t="shared" si="112"/>
        <v>0</v>
      </c>
      <c r="J137" s="405">
        <f t="shared" si="112"/>
        <v>0</v>
      </c>
      <c r="K137" s="706">
        <f t="shared" si="112"/>
        <v>0</v>
      </c>
      <c r="L137" s="404">
        <f t="shared" si="112"/>
        <v>0</v>
      </c>
      <c r="M137" s="405">
        <f t="shared" ref="M137" si="113">M135-M136</f>
        <v>0</v>
      </c>
      <c r="N137" s="405">
        <f t="shared" si="112"/>
        <v>0</v>
      </c>
      <c r="O137" s="405">
        <f t="shared" si="112"/>
        <v>0</v>
      </c>
      <c r="P137" s="560">
        <f t="shared" si="112"/>
        <v>0</v>
      </c>
      <c r="Q137" s="510"/>
      <c r="R137" s="510"/>
      <c r="S137" s="510"/>
      <c r="T137" s="510"/>
      <c r="U137" s="510"/>
      <c r="V137" s="510"/>
      <c r="W137" s="136"/>
      <c r="X137"/>
      <c r="Y137"/>
      <c r="Z137"/>
      <c r="AA137"/>
      <c r="AB137"/>
      <c r="AC137"/>
      <c r="AD137"/>
      <c r="AE137"/>
      <c r="AF137"/>
      <c r="AG137"/>
      <c r="AH137"/>
      <c r="AI137"/>
      <c r="AJ137"/>
      <c r="AK137"/>
    </row>
    <row r="138" spans="1:37" s="85" customFormat="1">
      <c r="D138" s="604"/>
      <c r="E138" s="3695" t="str">
        <f>CONCATENATE(E117, " Totals")</f>
        <v>&lt; insert sub-category &gt; Totals</v>
      </c>
      <c r="F138" s="2057" t="str">
        <f>CONCATENATE("Total direct expenditure - ",E117)</f>
        <v>Total direct expenditure - &lt; insert sub-category &gt;</v>
      </c>
      <c r="G138" s="596">
        <f ca="1">SUMIF($E$118:$P$137,"Total direct expenditure",G$118:G$137)</f>
        <v>0</v>
      </c>
      <c r="H138" s="597">
        <f ca="1">SUMIF($E$118:$P$137,"Total direct expenditure",H$118:H$137)</f>
        <v>0</v>
      </c>
      <c r="I138" s="597">
        <f ca="1">SUMIF($E$118:$P$137,"Total direct expenditure",I$118:I$137)</f>
        <v>0</v>
      </c>
      <c r="J138" s="597">
        <f ca="1">SUMIF($E$118:$P$137,"Total direct expenditure",J$118:J$137)</f>
        <v>0</v>
      </c>
      <c r="K138" s="610">
        <f ca="1">SUMIF($E$118:$P$137,"Total direct expenditure",K$118:K$137)</f>
        <v>0</v>
      </c>
      <c r="L138" s="596">
        <f ca="1">SUMIF($E$118:$P$137,"Total direct expenditure",$L$118:$L$137)</f>
        <v>0</v>
      </c>
      <c r="M138" s="597">
        <f ca="1">SUMIF($E$118:$P$137,"Total direct expenditure",$M$118:$M$137)</f>
        <v>0</v>
      </c>
      <c r="N138" s="597">
        <f ca="1">SUMIF($E$118:$P$137,"Total direct expenditure",$N$118:$N$137)</f>
        <v>0</v>
      </c>
      <c r="O138" s="597">
        <f ca="1">SUMIF($E$118:$P$137,"Total direct expenditure",$O$118:$O$137)</f>
        <v>0</v>
      </c>
      <c r="P138" s="598">
        <f ca="1">SUMIF($E$118:$P$137,"Total direct expenditure",$P$118:$P$137)</f>
        <v>0</v>
      </c>
      <c r="Q138" s="605"/>
      <c r="R138" s="605"/>
      <c r="S138" s="605"/>
      <c r="T138" s="605"/>
      <c r="U138" s="605"/>
      <c r="V138" s="605"/>
      <c r="W138" s="606"/>
      <c r="X138"/>
      <c r="Y138"/>
      <c r="Z138"/>
      <c r="AA138"/>
      <c r="AB138"/>
      <c r="AC138"/>
      <c r="AD138"/>
      <c r="AE138"/>
      <c r="AF138"/>
      <c r="AG138"/>
      <c r="AH138"/>
      <c r="AI138"/>
      <c r="AJ138"/>
      <c r="AK138"/>
    </row>
    <row r="139" spans="1:37" s="529" customFormat="1">
      <c r="D139" s="308"/>
      <c r="E139" s="3696"/>
      <c r="F139" s="340" t="str">
        <f>CONCATENATE("Total overhead expenditure - ",E117)</f>
        <v>Total overhead expenditure - &lt; insert sub-category &gt;</v>
      </c>
      <c r="G139" s="594">
        <f ca="1">SUMIF($E$118:$P$137,"Total overhead expenditure",G$118:G$137)</f>
        <v>0</v>
      </c>
      <c r="H139" s="551">
        <f ca="1">SUMIF($E$118:$P$137,"Total overhead expenditure",H$118:H$137)</f>
        <v>0</v>
      </c>
      <c r="I139" s="551">
        <f ca="1">SUMIF($E$118:$P$137,"Total overhead expenditure",I$118:I$137)</f>
        <v>0</v>
      </c>
      <c r="J139" s="551">
        <f ca="1">SUMIF($E$118:$P$137,"Total overhead expenditure",J$118:J$137)</f>
        <v>0</v>
      </c>
      <c r="K139" s="556">
        <f ca="1">SUMIF($E$118:$P$137,"Total overhead expenditure",K$118:K$137)</f>
        <v>0</v>
      </c>
      <c r="L139" s="594">
        <f ca="1">SUMIF($E$118:$P$137,"Total overhead expenditure",$L$118:$L$137)</f>
        <v>0</v>
      </c>
      <c r="M139" s="551">
        <f ca="1">SUMIF($E$118:$P$137,"Total overhead expenditure",$M$118:$M$137)</f>
        <v>0</v>
      </c>
      <c r="N139" s="551">
        <f ca="1">SUMIF($E$118:$P$137,"Total overhead expenditure",$N$118:$N$137)</f>
        <v>0</v>
      </c>
      <c r="O139" s="551">
        <f ca="1">SUMIF($E$118:$P$137,"Total overhead expenditure",$O$118:$O$137)</f>
        <v>0</v>
      </c>
      <c r="P139" s="553">
        <f ca="1">SUMIF($E$118:$P$137,"Total overhead expenditure",$P$118:$P$137)</f>
        <v>0</v>
      </c>
      <c r="Q139" s="1407"/>
      <c r="R139" s="510"/>
      <c r="S139" s="510"/>
      <c r="T139" s="510"/>
      <c r="U139" s="510"/>
      <c r="V139" s="510"/>
      <c r="W139" s="131"/>
      <c r="X139"/>
      <c r="Y139"/>
      <c r="Z139"/>
      <c r="AA139"/>
      <c r="AB139"/>
      <c r="AC139"/>
      <c r="AD139"/>
      <c r="AE139"/>
      <c r="AF139"/>
      <c r="AG139"/>
      <c r="AH139"/>
      <c r="AI139"/>
      <c r="AJ139"/>
      <c r="AK139"/>
    </row>
    <row r="140" spans="1:37" s="529" customFormat="1">
      <c r="D140" s="308"/>
      <c r="E140" s="3696"/>
      <c r="F140" s="340" t="str">
        <f>CONCATENATE("Related party margin expenditure - ",E117)</f>
        <v>Related party margin expenditure - &lt; insert sub-category &gt;</v>
      </c>
      <c r="G140" s="594">
        <f ca="1">SUMIF($E$118:$P$137,"Related party margin",G$118:G$137)</f>
        <v>0</v>
      </c>
      <c r="H140" s="551">
        <f ca="1">SUMIF($E$118:$P$137,"Related party margin",H$118:H$137)</f>
        <v>0</v>
      </c>
      <c r="I140" s="551">
        <f ca="1">SUMIF($E$118:$P$137,"Related party margin",I$118:I$137)</f>
        <v>0</v>
      </c>
      <c r="J140" s="551">
        <f ca="1">SUMIF($E$118:$P$137,"Related party margin",J$118:J$137)</f>
        <v>0</v>
      </c>
      <c r="K140" s="556">
        <f ca="1">SUMIF($E$118:$P$137,"Related party margin",K$118:K$137)</f>
        <v>0</v>
      </c>
      <c r="L140" s="594">
        <f ca="1">SUMIF($E$118:$P$137,"Related party margin",$L$118:$L$137)</f>
        <v>0</v>
      </c>
      <c r="M140" s="551">
        <f ca="1">SUMIF($E$118:$P$137,"Related party margin",$M$118:$M$137)</f>
        <v>0</v>
      </c>
      <c r="N140" s="551">
        <f ca="1">SUMIF($E$118:$P$137,"Related party margin",$N$118:$N$137)</f>
        <v>0</v>
      </c>
      <c r="O140" s="551">
        <f ca="1">SUMIF($E$118:$P$137,"Related party margin",$O$118:$O$137)</f>
        <v>0</v>
      </c>
      <c r="P140" s="553">
        <f ca="1">SUMIF($E$118:$P$137,"Related party margin",$P$118:$P$137)</f>
        <v>0</v>
      </c>
      <c r="Q140" s="510"/>
      <c r="R140" s="510"/>
      <c r="S140" s="510"/>
      <c r="T140" s="510"/>
      <c r="U140" s="510"/>
      <c r="V140" s="510"/>
      <c r="W140" s="131"/>
      <c r="X140"/>
      <c r="Y140"/>
      <c r="Z140"/>
      <c r="AA140"/>
      <c r="AB140"/>
      <c r="AC140"/>
      <c r="AD140"/>
      <c r="AE140"/>
      <c r="AF140"/>
      <c r="AG140"/>
      <c r="AH140"/>
      <c r="AI140"/>
      <c r="AJ140"/>
      <c r="AK140"/>
    </row>
    <row r="141" spans="1:37" s="70" customFormat="1">
      <c r="A141" s="76"/>
      <c r="B141" s="76"/>
      <c r="C141" s="76"/>
      <c r="D141" s="360"/>
      <c r="E141" s="3696"/>
      <c r="F141" s="2058" t="str">
        <f>CONCATENATE("Total gross expenditure - ",E117)</f>
        <v>Total gross expenditure - &lt; insert sub-category &gt;</v>
      </c>
      <c r="G141" s="1396">
        <f ca="1">SUMIF($E$118:$P$137,"Total gross expenditure",G$118:G$137)</f>
        <v>0</v>
      </c>
      <c r="H141" s="1397">
        <f ca="1">SUMIF($E$118:$P$137,"Total gross expenditure",H$118:H$137)</f>
        <v>0</v>
      </c>
      <c r="I141" s="1397">
        <f ca="1">SUMIF($E$118:$P$137,"Total gross expenditure",I$118:I$137)</f>
        <v>0</v>
      </c>
      <c r="J141" s="1397">
        <f ca="1">SUMIF($E$118:$P$137,"Total gross expenditure",J$118:J$137)</f>
        <v>0</v>
      </c>
      <c r="K141" s="1400">
        <f ca="1">SUMIF($E$118:$P$137,"Total gross expenditure",K$118:K$137)</f>
        <v>0</v>
      </c>
      <c r="L141" s="1396">
        <f ca="1">SUMIF($E$118:$P$137,"Total gross expenditure",$L$118:$L$137)</f>
        <v>0</v>
      </c>
      <c r="M141" s="1397">
        <f ca="1">SUMIF($E$118:$P$137,"Total gross expenditure",$M$118:$M$137)</f>
        <v>0</v>
      </c>
      <c r="N141" s="1397">
        <f ca="1">SUMIF($E$118:$P$137,"Total gross expenditure",$N$118:$N$137)</f>
        <v>0</v>
      </c>
      <c r="O141" s="1397">
        <f ca="1">SUMIF($E$118:$P$137,"Total gross expenditure",$O$118:$O$137)</f>
        <v>0</v>
      </c>
      <c r="P141" s="1398">
        <f ca="1">SUMIF($E$118:$P$137,"Total gross expenditure",$P$118:$P$137)</f>
        <v>0</v>
      </c>
      <c r="Q141" s="162"/>
      <c r="R141" s="136"/>
      <c r="S141" s="136"/>
      <c r="T141" s="136"/>
      <c r="U141" s="136"/>
      <c r="V141" s="136"/>
      <c r="W141" s="1408"/>
      <c r="X141"/>
      <c r="Y141"/>
      <c r="Z141"/>
      <c r="AA141"/>
      <c r="AB141"/>
      <c r="AC141"/>
      <c r="AD141"/>
      <c r="AE141"/>
      <c r="AF141"/>
      <c r="AG141"/>
      <c r="AH141"/>
      <c r="AI141"/>
      <c r="AJ141"/>
      <c r="AK141"/>
    </row>
    <row r="142" spans="1:37" s="70" customFormat="1">
      <c r="A142" s="76"/>
      <c r="B142" s="76"/>
      <c r="C142" s="76"/>
      <c r="D142" s="360"/>
      <c r="E142" s="3696"/>
      <c r="F142" s="340" t="s">
        <v>35</v>
      </c>
      <c r="G142" s="594">
        <f ca="1">SUMIF($E$118:$P$137,"Less customer contributions",G$118:G$137)</f>
        <v>0</v>
      </c>
      <c r="H142" s="551">
        <f ca="1">SUMIF($E$118:$P$137,"Less customer contributions",H$118:H$137)</f>
        <v>0</v>
      </c>
      <c r="I142" s="551">
        <f ca="1">SUMIF($E$118:$P$137,"Less customer contributions",I$118:I$137)</f>
        <v>0</v>
      </c>
      <c r="J142" s="551">
        <f ca="1">SUMIF($E$118:$P$137,"Less customer contributions",J$118:J$137)</f>
        <v>0</v>
      </c>
      <c r="K142" s="556">
        <f ca="1">SUMIF($E$118:$P$137,"Less customer contributions",K$118:K$137)</f>
        <v>0</v>
      </c>
      <c r="L142" s="594">
        <f ca="1">SUMIF($E$118:$P$137,"Less customer contributions",$L$118:$L$137)</f>
        <v>0</v>
      </c>
      <c r="M142" s="551">
        <f ca="1">SUMIF($E$118:$P$137,"Less customer contributions",$M$118:$M$137)</f>
        <v>0</v>
      </c>
      <c r="N142" s="551">
        <f ca="1">SUMIF($E$118:$P$137,"Less customer contributions",$N$118:$N$137)</f>
        <v>0</v>
      </c>
      <c r="O142" s="551">
        <f ca="1">SUMIF($E$118:$P$137,"Less customer contributions",$O$118:$O$137)</f>
        <v>0</v>
      </c>
      <c r="P142" s="553">
        <f ca="1">SUMIF($E$118:$P$137,"Less customer contributions",$P$118:$P$137)</f>
        <v>0</v>
      </c>
      <c r="Q142" s="140"/>
      <c r="R142" s="140"/>
      <c r="S142" s="140"/>
      <c r="T142" s="140"/>
      <c r="U142" s="140"/>
      <c r="V142" s="140"/>
      <c r="W142" s="1408"/>
      <c r="X142"/>
      <c r="Y142"/>
      <c r="Z142"/>
      <c r="AA142"/>
      <c r="AB142"/>
      <c r="AC142"/>
      <c r="AD142"/>
      <c r="AE142"/>
      <c r="AF142"/>
      <c r="AG142"/>
      <c r="AH142"/>
      <c r="AI142"/>
      <c r="AJ142"/>
      <c r="AK142"/>
    </row>
    <row r="143" spans="1:37" s="70" customFormat="1" ht="13.5" thickBot="1">
      <c r="A143" s="76"/>
      <c r="B143" s="76"/>
      <c r="C143" s="76"/>
      <c r="D143" s="360"/>
      <c r="E143" s="3697"/>
      <c r="F143" s="2059" t="str">
        <f>CONCATENATE("Total net expenditure - ",E117)</f>
        <v>Total net expenditure - &lt; insert sub-category &gt;</v>
      </c>
      <c r="G143" s="1401">
        <f ca="1">SUMIF($E$118:$P$137,"Total net expenditure",G$118:G$137)</f>
        <v>0</v>
      </c>
      <c r="H143" s="1402">
        <f ca="1">SUMIF($E$118:$P$137,"Total net expenditure",H$118:H$137)</f>
        <v>0</v>
      </c>
      <c r="I143" s="1402">
        <f ca="1">SUMIF($E$118:$P$137,"Total net expenditure",I$118:I$137)</f>
        <v>0</v>
      </c>
      <c r="J143" s="1402">
        <f ca="1">SUMIF($E$118:$P$137,"Total net expenditure",J$118:J$137)</f>
        <v>0</v>
      </c>
      <c r="K143" s="1406">
        <f ca="1">SUMIF($E$118:$P$137,"Total net expenditure",K$118:K$137)</f>
        <v>0</v>
      </c>
      <c r="L143" s="1401">
        <f ca="1">SUMIF($E$118:$P$137,"Total net expenditure",$L$118:$L$137)</f>
        <v>0</v>
      </c>
      <c r="M143" s="1402">
        <f ca="1">SUMIF($E$118:$P$137,"Total net expenditure",$M$118:$M$137)</f>
        <v>0</v>
      </c>
      <c r="N143" s="1402">
        <f ca="1">SUMIF($E$118:$P$137,"Total net expenditure",$N$118:$N$137)</f>
        <v>0</v>
      </c>
      <c r="O143" s="1402">
        <f ca="1">SUMIF($E$118:$P$137,"Total net expenditure",$O$118:$O$137)</f>
        <v>0</v>
      </c>
      <c r="P143" s="1403">
        <f ca="1">SUMIF($E$118:$P$137,"Total net expenditure",$P$118:$P$137)</f>
        <v>0</v>
      </c>
      <c r="Q143" s="234"/>
      <c r="R143" s="234"/>
      <c r="S143" s="234"/>
      <c r="T143" s="234"/>
      <c r="U143" s="234"/>
      <c r="V143" s="234"/>
      <c r="W143" s="234"/>
      <c r="X143"/>
      <c r="Y143"/>
      <c r="Z143"/>
      <c r="AA143"/>
      <c r="AB143"/>
      <c r="AC143"/>
      <c r="AD143"/>
      <c r="AE143"/>
      <c r="AF143"/>
      <c r="AG143"/>
      <c r="AH143"/>
      <c r="AI143"/>
      <c r="AJ143"/>
      <c r="AK143"/>
    </row>
    <row r="144" spans="1:37" s="529" customFormat="1" ht="12.75" customHeight="1" thickBot="1">
      <c r="D144" s="308"/>
      <c r="E144" s="420"/>
      <c r="F144" s="536"/>
      <c r="G144" s="607"/>
      <c r="H144" s="607"/>
      <c r="I144" s="607"/>
      <c r="J144" s="607"/>
      <c r="K144" s="1449"/>
      <c r="L144" s="1450"/>
      <c r="M144" s="607"/>
      <c r="N144" s="607"/>
      <c r="O144" s="607"/>
      <c r="P144" s="1451"/>
      <c r="Q144" s="234"/>
      <c r="R144" s="234"/>
      <c r="S144" s="234"/>
      <c r="T144" s="234"/>
      <c r="U144" s="234"/>
      <c r="V144" s="234"/>
      <c r="W144" s="234"/>
      <c r="X144"/>
      <c r="Y144"/>
      <c r="Z144"/>
      <c r="AA144"/>
      <c r="AB144"/>
      <c r="AC144"/>
      <c r="AD144"/>
      <c r="AE144"/>
      <c r="AF144"/>
      <c r="AG144"/>
      <c r="AH144"/>
      <c r="AI144"/>
      <c r="AJ144"/>
      <c r="AK144"/>
    </row>
    <row r="145" spans="1:37" s="85" customFormat="1" ht="18" customHeight="1">
      <c r="D145" s="604"/>
      <c r="E145" s="3698" t="s">
        <v>370</v>
      </c>
      <c r="F145" s="2065" t="s">
        <v>615</v>
      </c>
      <c r="G145" s="596">
        <f t="shared" ref="G145:P145" ca="1" si="114">SUM(G111,G138)</f>
        <v>0</v>
      </c>
      <c r="H145" s="597">
        <f t="shared" ca="1" si="114"/>
        <v>0</v>
      </c>
      <c r="I145" s="597">
        <f t="shared" ca="1" si="114"/>
        <v>0</v>
      </c>
      <c r="J145" s="597">
        <f t="shared" ca="1" si="114"/>
        <v>0</v>
      </c>
      <c r="K145" s="610">
        <f t="shared" ca="1" si="114"/>
        <v>0</v>
      </c>
      <c r="L145" s="596">
        <f t="shared" ca="1" si="114"/>
        <v>0</v>
      </c>
      <c r="M145" s="597">
        <f t="shared" ca="1" si="114"/>
        <v>0</v>
      </c>
      <c r="N145" s="597">
        <f t="shared" ca="1" si="114"/>
        <v>0</v>
      </c>
      <c r="O145" s="597">
        <f t="shared" ca="1" si="114"/>
        <v>0</v>
      </c>
      <c r="P145" s="598">
        <f t="shared" ca="1" si="114"/>
        <v>0</v>
      </c>
      <c r="Q145" s="234"/>
      <c r="R145" s="234"/>
      <c r="S145" s="234"/>
      <c r="T145" s="234"/>
      <c r="U145" s="234"/>
      <c r="V145" s="234"/>
      <c r="W145" s="234"/>
      <c r="X145"/>
      <c r="Y145"/>
      <c r="Z145"/>
      <c r="AA145"/>
      <c r="AB145"/>
      <c r="AC145"/>
      <c r="AD145"/>
      <c r="AE145"/>
      <c r="AF145"/>
      <c r="AG145"/>
      <c r="AH145"/>
      <c r="AI145"/>
      <c r="AJ145"/>
      <c r="AK145"/>
    </row>
    <row r="146" spans="1:37" s="529" customFormat="1">
      <c r="D146" s="308"/>
      <c r="E146" s="3699"/>
      <c r="F146" s="340" t="s">
        <v>619</v>
      </c>
      <c r="G146" s="594">
        <f t="shared" ref="G146:P146" ca="1" si="115">SUM(G112,G139)</f>
        <v>0</v>
      </c>
      <c r="H146" s="551">
        <f t="shared" ca="1" si="115"/>
        <v>0</v>
      </c>
      <c r="I146" s="551">
        <f t="shared" ca="1" si="115"/>
        <v>0</v>
      </c>
      <c r="J146" s="551">
        <f t="shared" ca="1" si="115"/>
        <v>0</v>
      </c>
      <c r="K146" s="556">
        <f t="shared" ca="1" si="115"/>
        <v>0</v>
      </c>
      <c r="L146" s="594">
        <f t="shared" ca="1" si="115"/>
        <v>0</v>
      </c>
      <c r="M146" s="551">
        <f t="shared" ca="1" si="115"/>
        <v>0</v>
      </c>
      <c r="N146" s="551">
        <f t="shared" ca="1" si="115"/>
        <v>0</v>
      </c>
      <c r="O146" s="551">
        <f t="shared" ca="1" si="115"/>
        <v>0</v>
      </c>
      <c r="P146" s="553">
        <f t="shared" ca="1" si="115"/>
        <v>0</v>
      </c>
      <c r="Q146" s="234"/>
      <c r="R146" s="234"/>
      <c r="S146" s="234"/>
      <c r="T146" s="234"/>
      <c r="U146" s="234"/>
      <c r="V146" s="234"/>
      <c r="W146" s="234"/>
      <c r="X146"/>
      <c r="Y146"/>
      <c r="Z146"/>
      <c r="AA146"/>
      <c r="AB146"/>
      <c r="AC146"/>
      <c r="AD146"/>
      <c r="AE146"/>
      <c r="AF146"/>
      <c r="AG146"/>
      <c r="AH146"/>
      <c r="AI146"/>
      <c r="AJ146"/>
      <c r="AK146"/>
    </row>
    <row r="147" spans="1:37" s="529" customFormat="1">
      <c r="D147" s="308"/>
      <c r="E147" s="3699"/>
      <c r="F147" s="2051" t="s">
        <v>617</v>
      </c>
      <c r="G147" s="594">
        <f t="shared" ref="G147:P147" ca="1" si="116">SUM(G113,G140)</f>
        <v>0</v>
      </c>
      <c r="H147" s="551">
        <f t="shared" ca="1" si="116"/>
        <v>0</v>
      </c>
      <c r="I147" s="551">
        <f t="shared" ca="1" si="116"/>
        <v>0</v>
      </c>
      <c r="J147" s="551">
        <f t="shared" ca="1" si="116"/>
        <v>0</v>
      </c>
      <c r="K147" s="556">
        <f t="shared" ca="1" si="116"/>
        <v>0</v>
      </c>
      <c r="L147" s="594">
        <f t="shared" ca="1" si="116"/>
        <v>0</v>
      </c>
      <c r="M147" s="551">
        <f t="shared" ca="1" si="116"/>
        <v>0</v>
      </c>
      <c r="N147" s="551">
        <f t="shared" ca="1" si="116"/>
        <v>0</v>
      </c>
      <c r="O147" s="551">
        <f t="shared" ca="1" si="116"/>
        <v>0</v>
      </c>
      <c r="P147" s="553">
        <f t="shared" ca="1" si="116"/>
        <v>0</v>
      </c>
      <c r="Q147" s="234"/>
      <c r="R147" s="234"/>
      <c r="S147" s="234"/>
      <c r="T147" s="234"/>
      <c r="U147" s="234"/>
      <c r="V147" s="234"/>
      <c r="W147" s="234"/>
      <c r="X147"/>
      <c r="Y147"/>
      <c r="Z147"/>
      <c r="AA147"/>
      <c r="AB147"/>
      <c r="AC147"/>
      <c r="AD147"/>
      <c r="AE147"/>
      <c r="AF147"/>
      <c r="AG147"/>
      <c r="AH147"/>
      <c r="AI147"/>
      <c r="AJ147"/>
      <c r="AK147"/>
    </row>
    <row r="148" spans="1:37" s="70" customFormat="1">
      <c r="A148" s="76"/>
      <c r="B148" s="76"/>
      <c r="C148" s="76"/>
      <c r="D148" s="360"/>
      <c r="E148" s="3699"/>
      <c r="F148" s="2063" t="s">
        <v>635</v>
      </c>
      <c r="G148" s="1396">
        <f t="shared" ref="G148:P148" ca="1" si="117">SUM(G114,G141)</f>
        <v>0</v>
      </c>
      <c r="H148" s="1397">
        <f t="shared" ca="1" si="117"/>
        <v>0</v>
      </c>
      <c r="I148" s="1397">
        <f t="shared" ca="1" si="117"/>
        <v>0</v>
      </c>
      <c r="J148" s="1397">
        <f t="shared" ca="1" si="117"/>
        <v>0</v>
      </c>
      <c r="K148" s="1400">
        <f t="shared" ca="1" si="117"/>
        <v>0</v>
      </c>
      <c r="L148" s="1396">
        <f t="shared" ca="1" si="117"/>
        <v>0</v>
      </c>
      <c r="M148" s="1397">
        <f t="shared" ca="1" si="117"/>
        <v>0</v>
      </c>
      <c r="N148" s="1397">
        <f t="shared" ca="1" si="117"/>
        <v>0</v>
      </c>
      <c r="O148" s="1397">
        <f t="shared" ca="1" si="117"/>
        <v>0</v>
      </c>
      <c r="P148" s="1398">
        <f t="shared" ca="1" si="117"/>
        <v>0</v>
      </c>
      <c r="Q148" s="234"/>
      <c r="R148" s="234"/>
      <c r="S148" s="234"/>
      <c r="T148" s="234"/>
      <c r="U148" s="234"/>
      <c r="V148" s="234"/>
      <c r="W148" s="234"/>
      <c r="X148"/>
      <c r="Y148"/>
      <c r="Z148"/>
      <c r="AA148"/>
      <c r="AB148"/>
      <c r="AC148"/>
      <c r="AD148"/>
      <c r="AE148"/>
      <c r="AF148"/>
      <c r="AG148"/>
      <c r="AH148"/>
      <c r="AI148"/>
      <c r="AJ148"/>
      <c r="AK148"/>
    </row>
    <row r="149" spans="1:37" s="70" customFormat="1">
      <c r="A149" s="76"/>
      <c r="B149" s="76"/>
      <c r="C149" s="76"/>
      <c r="D149" s="360"/>
      <c r="E149" s="3699"/>
      <c r="F149" s="340" t="s">
        <v>35</v>
      </c>
      <c r="G149" s="594">
        <f t="shared" ref="G149:P149" ca="1" si="118">SUM(G115,G142)</f>
        <v>0</v>
      </c>
      <c r="H149" s="551">
        <f t="shared" ca="1" si="118"/>
        <v>0</v>
      </c>
      <c r="I149" s="551">
        <f t="shared" ca="1" si="118"/>
        <v>0</v>
      </c>
      <c r="J149" s="551">
        <f t="shared" ca="1" si="118"/>
        <v>0</v>
      </c>
      <c r="K149" s="556">
        <f t="shared" ca="1" si="118"/>
        <v>0</v>
      </c>
      <c r="L149" s="594">
        <f t="shared" ca="1" si="118"/>
        <v>0</v>
      </c>
      <c r="M149" s="551">
        <f t="shared" ca="1" si="118"/>
        <v>0</v>
      </c>
      <c r="N149" s="551">
        <f t="shared" ca="1" si="118"/>
        <v>0</v>
      </c>
      <c r="O149" s="551">
        <f t="shared" ca="1" si="118"/>
        <v>0</v>
      </c>
      <c r="P149" s="553">
        <f t="shared" ca="1" si="118"/>
        <v>0</v>
      </c>
      <c r="Q149" s="234"/>
      <c r="R149" s="234"/>
      <c r="S149" s="234"/>
      <c r="T149" s="234"/>
      <c r="U149" s="234"/>
      <c r="V149" s="234"/>
      <c r="W149" s="234"/>
      <c r="X149"/>
      <c r="Y149"/>
      <c r="Z149"/>
      <c r="AA149"/>
      <c r="AB149"/>
      <c r="AC149"/>
      <c r="AD149"/>
      <c r="AE149"/>
      <c r="AF149"/>
      <c r="AG149"/>
      <c r="AH149"/>
      <c r="AI149"/>
      <c r="AJ149"/>
      <c r="AK149"/>
    </row>
    <row r="150" spans="1:37" s="70" customFormat="1" ht="13.5" thickBot="1">
      <c r="A150" s="76"/>
      <c r="B150" s="76"/>
      <c r="C150" s="76"/>
      <c r="D150" s="360"/>
      <c r="E150" s="3700"/>
      <c r="F150" s="2064" t="s">
        <v>621</v>
      </c>
      <c r="G150" s="1401">
        <f t="shared" ref="G150:P150" ca="1" si="119">SUM(G116,G143)</f>
        <v>0</v>
      </c>
      <c r="H150" s="1402">
        <f t="shared" ca="1" si="119"/>
        <v>0</v>
      </c>
      <c r="I150" s="1402">
        <f t="shared" ca="1" si="119"/>
        <v>0</v>
      </c>
      <c r="J150" s="1402">
        <f t="shared" ca="1" si="119"/>
        <v>0</v>
      </c>
      <c r="K150" s="1406">
        <f t="shared" ca="1" si="119"/>
        <v>0</v>
      </c>
      <c r="L150" s="1401">
        <f t="shared" ca="1" si="119"/>
        <v>0</v>
      </c>
      <c r="M150" s="1402">
        <f t="shared" ca="1" si="119"/>
        <v>0</v>
      </c>
      <c r="N150" s="1402">
        <f t="shared" ca="1" si="119"/>
        <v>0</v>
      </c>
      <c r="O150" s="1402">
        <f t="shared" ca="1" si="119"/>
        <v>0</v>
      </c>
      <c r="P150" s="1403">
        <f t="shared" ca="1" si="119"/>
        <v>0</v>
      </c>
      <c r="Q150" s="234"/>
      <c r="R150" s="234"/>
      <c r="S150" s="234"/>
      <c r="T150" s="234"/>
      <c r="U150" s="234"/>
      <c r="V150" s="234"/>
      <c r="W150" s="234"/>
      <c r="X150"/>
      <c r="Y150"/>
      <c r="Z150"/>
      <c r="AA150"/>
      <c r="AB150"/>
      <c r="AC150"/>
      <c r="AD150"/>
      <c r="AE150"/>
      <c r="AF150"/>
      <c r="AG150"/>
      <c r="AH150"/>
      <c r="AI150"/>
      <c r="AJ150"/>
      <c r="AK150"/>
    </row>
    <row r="151" spans="1:37" s="70" customFormat="1" ht="32.25" customHeight="1" thickBot="1">
      <c r="A151" s="76"/>
      <c r="B151" s="76"/>
      <c r="C151" s="76"/>
      <c r="D151" s="360"/>
      <c r="E151" s="3610" t="s">
        <v>125</v>
      </c>
      <c r="F151" s="3611"/>
      <c r="G151" s="748"/>
      <c r="H151" s="310"/>
      <c r="I151" s="310"/>
      <c r="J151" s="310"/>
      <c r="K151" s="310"/>
      <c r="L151" s="310"/>
      <c r="M151" s="310"/>
      <c r="N151" s="310"/>
      <c r="O151" s="310"/>
      <c r="P151" s="458"/>
      <c r="Q151" s="234"/>
      <c r="R151" s="234"/>
      <c r="S151" s="234"/>
      <c r="T151" s="234"/>
      <c r="U151" s="234"/>
      <c r="V151" s="234"/>
      <c r="W151" s="234"/>
      <c r="X151"/>
      <c r="Y151"/>
      <c r="Z151"/>
      <c r="AA151"/>
      <c r="AB151"/>
      <c r="AC151"/>
      <c r="AD151"/>
      <c r="AE151"/>
      <c r="AF151"/>
      <c r="AG151"/>
      <c r="AH151"/>
      <c r="AI151"/>
      <c r="AJ151"/>
      <c r="AK151"/>
    </row>
    <row r="152" spans="1:37" ht="12.75" customHeight="1">
      <c r="L152" s="573"/>
      <c r="M152" s="573"/>
      <c r="N152" s="573"/>
      <c r="O152" s="573"/>
      <c r="P152" s="573"/>
      <c r="Q152" s="574"/>
      <c r="R152" s="574"/>
      <c r="S152" s="574"/>
      <c r="T152" s="574"/>
      <c r="U152" s="574"/>
      <c r="V152" s="574"/>
      <c r="W152" s="574"/>
      <c r="AA152"/>
      <c r="AB152"/>
      <c r="AC152"/>
      <c r="AD152"/>
      <c r="AE152"/>
      <c r="AF152"/>
      <c r="AG152"/>
      <c r="AH152"/>
      <c r="AI152"/>
      <c r="AJ152"/>
      <c r="AK152"/>
    </row>
  </sheetData>
  <mergeCells count="42">
    <mergeCell ref="E145:E150"/>
    <mergeCell ref="E77:E82"/>
    <mergeCell ref="E151:F151"/>
    <mergeCell ref="E83:F83"/>
    <mergeCell ref="E7:L7"/>
    <mergeCell ref="E86:E89"/>
    <mergeCell ref="G86:K86"/>
    <mergeCell ref="L86:P86"/>
    <mergeCell ref="G88:P88"/>
    <mergeCell ref="E8:L8"/>
    <mergeCell ref="E9:L9"/>
    <mergeCell ref="E10:L10"/>
    <mergeCell ref="E11:L11"/>
    <mergeCell ref="G16:K16"/>
    <mergeCell ref="L16:P16"/>
    <mergeCell ref="O17:P17"/>
    <mergeCell ref="O18:P18"/>
    <mergeCell ref="G17:N17"/>
    <mergeCell ref="G18:N18"/>
    <mergeCell ref="E111:E116"/>
    <mergeCell ref="E138:E143"/>
    <mergeCell ref="E20:F20"/>
    <mergeCell ref="E48:F48"/>
    <mergeCell ref="W21:W30"/>
    <mergeCell ref="W31:W40"/>
    <mergeCell ref="W41:W47"/>
    <mergeCell ref="W49:W58"/>
    <mergeCell ref="W59:W68"/>
    <mergeCell ref="W69:W75"/>
    <mergeCell ref="W77:W82"/>
    <mergeCell ref="G87:P87"/>
    <mergeCell ref="E117:F117"/>
    <mergeCell ref="E90:F90"/>
    <mergeCell ref="AA16:AE16"/>
    <mergeCell ref="AF16:AH16"/>
    <mergeCell ref="AA17:AH17"/>
    <mergeCell ref="AA18:AH18"/>
    <mergeCell ref="Q16:Q17"/>
    <mergeCell ref="R16:V16"/>
    <mergeCell ref="W16:W18"/>
    <mergeCell ref="R17:V17"/>
    <mergeCell ref="R18:V18"/>
  </mergeCells>
  <pageMargins left="0.7" right="0.7" top="0.75" bottom="0.75" header="0.3" footer="0.3"/>
  <pageSetup paperSize="9"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39997558519241921"/>
    <pageSetUpPr autoPageBreaks="0"/>
  </sheetPr>
  <dimension ref="A1:AE339"/>
  <sheetViews>
    <sheetView showGridLines="0" zoomScale="70" zoomScaleNormal="70" workbookViewId="0"/>
  </sheetViews>
  <sheetFormatPr defaultColWidth="9.140625" defaultRowHeight="12.75" outlineLevelRow="2"/>
  <cols>
    <col min="1" max="1" width="16.28515625" style="78" customWidth="1"/>
    <col min="2" max="2" width="35.7109375" style="77" customWidth="1"/>
    <col min="3" max="3" width="41.85546875" style="77" customWidth="1"/>
    <col min="4" max="9" width="15.7109375" style="78" customWidth="1"/>
    <col min="10" max="10" width="15.7109375" style="529" customWidth="1"/>
    <col min="11" max="18" width="15.7109375" style="78" customWidth="1"/>
    <col min="19" max="21" width="15.7109375" customWidth="1"/>
    <col min="22" max="29" width="15.7109375" style="529" customWidth="1"/>
    <col min="30" max="16384" width="9.140625" style="78"/>
  </cols>
  <sheetData>
    <row r="1" spans="1:30" s="223" customFormat="1" ht="24" customHeight="1">
      <c r="B1" s="3050" t="str">
        <f>IF(dms_DataQuality="backcast",INDEX(dms_Worksheet_List,MATCH(dms_Model,dms_Model_List))&amp;" BACKCAST",INDEX(dms_Worksheet_List,MATCH(dms_Model,dms_Model_List)))</f>
        <v>REGULATORY REPORTING STATEMENT</v>
      </c>
      <c r="C1" s="224"/>
      <c r="D1" s="546"/>
      <c r="E1" s="546"/>
      <c r="F1" s="225"/>
      <c r="G1" s="225"/>
      <c r="H1" s="225"/>
      <c r="I1" s="225"/>
      <c r="J1" s="225"/>
      <c r="K1" s="225"/>
      <c r="L1" s="225"/>
      <c r="M1" s="225"/>
      <c r="N1" s="225"/>
      <c r="O1" s="225"/>
      <c r="P1" s="225"/>
      <c r="Q1" s="225"/>
      <c r="R1" s="225"/>
      <c r="S1" s="225"/>
      <c r="T1" s="225"/>
      <c r="U1" s="225"/>
      <c r="V1" s="225"/>
      <c r="W1" s="546"/>
      <c r="X1" s="225"/>
      <c r="Y1" s="225"/>
      <c r="Z1" s="225"/>
      <c r="AA1" s="225"/>
      <c r="AB1" s="225"/>
      <c r="AC1" s="225"/>
      <c r="AD1" s="66"/>
    </row>
    <row r="2" spans="1:30" s="223" customFormat="1" ht="24" customHeight="1">
      <c r="B2" s="3054" t="str">
        <f>INDEX(dms_TradingNameFull_List,MATCH(dms_TradingName,dms_TradingName_List))</f>
        <v>AusNet Gas Services</v>
      </c>
      <c r="C2" s="1428"/>
      <c r="D2" s="226"/>
      <c r="E2" s="226"/>
      <c r="F2" s="225"/>
      <c r="G2" s="225"/>
      <c r="H2" s="225"/>
      <c r="I2" s="225"/>
      <c r="J2" s="225"/>
      <c r="K2" s="225"/>
      <c r="L2" s="225"/>
      <c r="M2" s="225"/>
      <c r="N2" s="225"/>
      <c r="O2" s="225"/>
      <c r="P2" s="225"/>
      <c r="Q2" s="225"/>
      <c r="R2" s="225"/>
      <c r="S2" s="225"/>
      <c r="T2" s="225"/>
      <c r="U2" s="225"/>
      <c r="V2" s="225"/>
      <c r="W2" s="1428"/>
      <c r="X2" s="225"/>
      <c r="Y2" s="225"/>
      <c r="Z2" s="225"/>
      <c r="AA2" s="225"/>
      <c r="AB2" s="225"/>
      <c r="AC2" s="225"/>
      <c r="AD2" s="66"/>
    </row>
    <row r="3" spans="1:30" s="223" customFormat="1" ht="24" customHeight="1">
      <c r="B3" s="3054" t="str">
        <f ca="1">IF(SUM(dms_SingleYear_Model)&gt;0,CRY,CONCATENATE(FRCP_y1," to ",dms_MultiYear_FinalYear_Result))</f>
        <v>2018 to 2022</v>
      </c>
      <c r="C3" s="1426"/>
      <c r="D3" s="227"/>
      <c r="E3" s="227"/>
      <c r="F3" s="228" t="str">
        <f>CONCATENATE(LEFT(FRCP_y1,4),"-",LEFT(FRCP_y5,2),RIGHT(FRCP_y5,2))</f>
        <v>2018-2022</v>
      </c>
      <c r="G3" s="227"/>
      <c r="H3" s="227"/>
      <c r="I3" s="227"/>
      <c r="J3" s="227"/>
      <c r="K3" s="227"/>
      <c r="L3" s="227"/>
      <c r="M3" s="227"/>
      <c r="N3" s="227"/>
      <c r="O3" s="227"/>
      <c r="P3" s="227"/>
      <c r="Q3" s="227"/>
      <c r="R3" s="227"/>
      <c r="S3" s="1426"/>
      <c r="T3" s="1426"/>
      <c r="U3" s="1426"/>
      <c r="V3" s="1426"/>
      <c r="W3" s="1426"/>
      <c r="X3" s="228"/>
      <c r="Y3" s="1426"/>
      <c r="Z3" s="1426"/>
      <c r="AA3" s="1426"/>
      <c r="AB3" s="1426"/>
      <c r="AC3" s="1426"/>
      <c r="AD3" s="66"/>
    </row>
    <row r="4" spans="1:30" s="165" customFormat="1" ht="24" customHeight="1">
      <c r="B4" s="10" t="s">
        <v>472</v>
      </c>
      <c r="C4" s="10"/>
      <c r="D4" s="12"/>
      <c r="E4" s="12"/>
      <c r="F4" s="12"/>
      <c r="G4" s="12"/>
      <c r="H4" s="12"/>
      <c r="I4" s="12"/>
      <c r="J4" s="12"/>
      <c r="K4" s="12"/>
      <c r="L4" s="12"/>
      <c r="M4" s="12"/>
      <c r="N4" s="12"/>
      <c r="O4" s="12"/>
      <c r="P4" s="12"/>
      <c r="Q4" s="12"/>
      <c r="R4" s="12"/>
      <c r="S4" s="12"/>
      <c r="T4" s="12"/>
      <c r="U4" s="12"/>
      <c r="V4" s="12"/>
      <c r="W4" s="12"/>
      <c r="X4" s="12"/>
      <c r="Y4" s="12"/>
      <c r="Z4" s="12"/>
      <c r="AA4" s="12"/>
      <c r="AB4" s="12"/>
      <c r="AC4" s="12"/>
    </row>
    <row r="5" spans="1:30" customFormat="1" ht="12.75" customHeight="1"/>
    <row r="6" spans="1:30" customFormat="1"/>
    <row r="7" spans="1:30" ht="14.25">
      <c r="A7" s="308"/>
      <c r="B7" s="3778" t="s">
        <v>59</v>
      </c>
      <c r="C7" s="3778"/>
      <c r="D7" s="3778"/>
      <c r="E7" s="3778"/>
      <c r="F7" s="3778"/>
      <c r="G7"/>
      <c r="H7"/>
      <c r="I7" s="308"/>
      <c r="J7" s="308"/>
      <c r="K7" s="288"/>
      <c r="L7" s="288"/>
      <c r="M7" s="288"/>
      <c r="N7" s="288"/>
      <c r="O7" s="288"/>
      <c r="P7" s="288"/>
      <c r="Q7" s="308"/>
      <c r="R7" s="308"/>
      <c r="V7"/>
      <c r="W7"/>
      <c r="X7"/>
      <c r="Y7" s="1427"/>
      <c r="Z7" s="1427"/>
      <c r="AA7" s="308"/>
      <c r="AB7" s="308"/>
      <c r="AC7" s="1429"/>
    </row>
    <row r="8" spans="1:30" ht="21" customHeight="1">
      <c r="A8" s="308"/>
      <c r="B8" s="3778" t="s">
        <v>177</v>
      </c>
      <c r="C8" s="3778"/>
      <c r="D8" s="3778"/>
      <c r="E8" s="3778"/>
      <c r="F8" s="3778"/>
      <c r="G8"/>
      <c r="H8"/>
      <c r="I8" s="308"/>
      <c r="J8" s="308"/>
      <c r="K8" s="288"/>
      <c r="L8" s="288"/>
      <c r="M8" s="288"/>
      <c r="N8" s="288"/>
      <c r="O8" s="288"/>
      <c r="P8" s="288"/>
      <c r="Q8" s="308"/>
      <c r="R8" s="308"/>
      <c r="V8"/>
      <c r="W8"/>
      <c r="X8"/>
      <c r="Y8" s="1427"/>
      <c r="Z8" s="1427"/>
      <c r="AA8" s="308"/>
      <c r="AB8" s="308"/>
      <c r="AC8" s="1429"/>
    </row>
    <row r="9" spans="1:30" ht="48" customHeight="1">
      <c r="A9" s="308"/>
      <c r="B9" s="3778" t="s">
        <v>473</v>
      </c>
      <c r="C9" s="3778"/>
      <c r="D9" s="3778"/>
      <c r="E9" s="3778"/>
      <c r="F9" s="3778"/>
      <c r="G9"/>
      <c r="H9"/>
      <c r="I9" s="308"/>
      <c r="J9" s="308"/>
      <c r="K9" s="288"/>
      <c r="L9" s="288"/>
      <c r="M9" s="288"/>
      <c r="N9" s="288"/>
      <c r="O9" s="288"/>
      <c r="P9" s="288"/>
      <c r="Q9" s="308"/>
      <c r="R9" s="308"/>
      <c r="V9"/>
      <c r="W9"/>
      <c r="X9"/>
      <c r="Y9" s="1427"/>
      <c r="Z9" s="1427"/>
      <c r="AA9" s="308"/>
      <c r="AB9" s="308"/>
      <c r="AC9" s="1429"/>
    </row>
    <row r="10" spans="1:30" s="144" customFormat="1" ht="38.25" customHeight="1">
      <c r="A10" s="611"/>
      <c r="B10" s="3778" t="s">
        <v>474</v>
      </c>
      <c r="C10" s="3778"/>
      <c r="D10" s="3778"/>
      <c r="E10" s="3778"/>
      <c r="F10" s="3778"/>
      <c r="G10"/>
      <c r="H10"/>
      <c r="I10" s="611"/>
      <c r="J10" s="611"/>
      <c r="K10" s="288"/>
      <c r="L10" s="288"/>
      <c r="M10" s="288"/>
      <c r="N10" s="288"/>
      <c r="O10" s="288"/>
      <c r="P10" s="288"/>
      <c r="Q10" s="611"/>
      <c r="R10" s="611"/>
      <c r="S10"/>
      <c r="T10"/>
      <c r="U10"/>
      <c r="V10"/>
      <c r="W10"/>
      <c r="X10"/>
      <c r="Y10" s="1427"/>
      <c r="Z10" s="1427"/>
      <c r="AA10" s="611"/>
      <c r="AB10" s="611"/>
      <c r="AC10" s="1429"/>
    </row>
    <row r="11" spans="1:30" ht="33.75" customHeight="1">
      <c r="A11" s="308"/>
      <c r="B11" s="3778" t="s">
        <v>636</v>
      </c>
      <c r="C11" s="3778"/>
      <c r="D11" s="3778"/>
      <c r="E11" s="3778"/>
      <c r="F11" s="3778"/>
      <c r="G11"/>
      <c r="H11"/>
      <c r="I11" s="308"/>
      <c r="J11" s="308"/>
      <c r="K11" s="308"/>
      <c r="L11" s="308"/>
      <c r="M11" s="308"/>
      <c r="N11" s="308"/>
      <c r="O11" s="308"/>
      <c r="P11" s="308"/>
      <c r="Q11" s="308"/>
      <c r="R11" s="308"/>
      <c r="V11"/>
      <c r="W11"/>
      <c r="X11"/>
      <c r="Y11" s="1427"/>
      <c r="Z11" s="1427"/>
      <c r="AA11" s="308"/>
      <c r="AB11" s="308"/>
      <c r="AC11" s="308"/>
    </row>
    <row r="12" spans="1:30" ht="51" customHeight="1">
      <c r="A12" s="308"/>
      <c r="B12" s="3778" t="str">
        <f>CONCATENATE("As set out in cl.6.1 of the ", dms_TradingName, " RIN, for tables 8.2 to 8.8, where the requested data is captured in the ", dms_TradingName, " capex model it is not required to be reentered in the RIN template tables.  If the requested data has not been provided in the ",dms_TradingName," RIN please enter into the tables. This may require the insertion of new lines in each table.")</f>
        <v>As set out in cl.6.1 of the AusNet (Gas) RIN, for tables 8.2 to 8.8,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C12" s="3778"/>
      <c r="D12" s="3778"/>
      <c r="E12" s="3778"/>
      <c r="F12" s="3778"/>
      <c r="G12"/>
      <c r="H12"/>
      <c r="I12" s="308"/>
      <c r="J12" s="308"/>
      <c r="K12" s="308"/>
      <c r="L12" s="308"/>
      <c r="M12" s="308"/>
      <c r="N12" s="308"/>
      <c r="O12" s="308"/>
      <c r="P12" s="308"/>
      <c r="Q12" s="308"/>
      <c r="R12" s="308"/>
      <c r="V12"/>
      <c r="W12"/>
      <c r="X12"/>
      <c r="Y12" s="1427"/>
      <c r="Z12" s="1427"/>
      <c r="AA12" s="308"/>
      <c r="AB12" s="308"/>
      <c r="AC12" s="308"/>
    </row>
    <row r="13" spans="1:30" ht="51" customHeight="1">
      <c r="A13" s="308"/>
      <c r="B13" s="3778" t="s">
        <v>160</v>
      </c>
      <c r="C13" s="3778"/>
      <c r="D13" s="3778"/>
      <c r="E13" s="3778"/>
      <c r="F13" s="3778"/>
      <c r="G13"/>
      <c r="H13"/>
      <c r="I13" s="308"/>
      <c r="J13" s="308"/>
      <c r="K13" s="308"/>
      <c r="L13" s="308"/>
      <c r="M13" s="308"/>
      <c r="N13" s="308"/>
      <c r="O13" s="308"/>
      <c r="P13" s="308"/>
      <c r="Q13" s="308"/>
      <c r="R13" s="308"/>
      <c r="V13"/>
      <c r="W13"/>
      <c r="X13"/>
      <c r="Y13" s="1427"/>
      <c r="Z13" s="1427"/>
      <c r="AA13" s="308"/>
      <c r="AB13" s="308"/>
      <c r="AC13" s="308"/>
    </row>
    <row r="14" spans="1:30" ht="51.75" customHeight="1">
      <c r="A14" s="308"/>
      <c r="B14" s="3778"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C14" s="3778"/>
      <c r="D14" s="3778"/>
      <c r="E14" s="3778"/>
      <c r="F14" s="3778"/>
      <c r="G14"/>
      <c r="H14"/>
      <c r="I14" s="308"/>
      <c r="J14" s="308"/>
      <c r="K14" s="308"/>
      <c r="L14" s="308"/>
      <c r="M14" s="308"/>
      <c r="N14" s="308"/>
      <c r="O14" s="308"/>
      <c r="P14" s="308"/>
      <c r="Q14" s="308"/>
      <c r="R14" s="308"/>
      <c r="V14"/>
      <c r="W14"/>
      <c r="X14"/>
      <c r="Y14" s="1427"/>
      <c r="Z14" s="1427"/>
      <c r="AA14" s="308"/>
      <c r="AB14" s="308"/>
      <c r="AC14" s="308"/>
    </row>
    <row r="15" spans="1:30" ht="42.75" customHeight="1">
      <c r="A15" s="308"/>
      <c r="B15" s="3778" t="s">
        <v>161</v>
      </c>
      <c r="C15" s="3778"/>
      <c r="D15" s="3778"/>
      <c r="E15" s="3778"/>
      <c r="F15" s="3778"/>
      <c r="G15"/>
      <c r="H15"/>
      <c r="I15" s="308"/>
      <c r="J15" s="308"/>
      <c r="K15" s="308"/>
      <c r="L15" s="308"/>
      <c r="M15" s="308"/>
      <c r="N15" s="308"/>
      <c r="O15" s="308"/>
      <c r="P15" s="308"/>
      <c r="Q15" s="308"/>
      <c r="R15" s="308"/>
      <c r="V15"/>
      <c r="W15"/>
      <c r="X15"/>
      <c r="Y15" s="1427"/>
      <c r="Z15" s="1427"/>
      <c r="AA15" s="308"/>
      <c r="AB15" s="308"/>
      <c r="AC15" s="308"/>
    </row>
    <row r="16" spans="1:30" s="79" customFormat="1" ht="23.25" customHeight="1">
      <c r="A16" s="308"/>
      <c r="B16" s="80"/>
      <c r="C16" s="80"/>
      <c r="D16" s="308"/>
      <c r="E16" s="308"/>
      <c r="F16" s="308"/>
      <c r="G16" s="308"/>
      <c r="H16" s="308"/>
      <c r="I16" s="308"/>
      <c r="J16" s="308"/>
      <c r="K16" s="308"/>
      <c r="L16" s="308"/>
      <c r="M16" s="308"/>
      <c r="N16" s="308"/>
      <c r="O16" s="308"/>
      <c r="P16" s="308"/>
      <c r="Q16" s="308"/>
      <c r="R16" s="308"/>
      <c r="S16"/>
      <c r="T16"/>
      <c r="U16"/>
      <c r="V16" s="308"/>
      <c r="W16" s="308"/>
      <c r="X16" s="308"/>
      <c r="Y16" s="308"/>
      <c r="Z16" s="308"/>
      <c r="AA16" s="308"/>
      <c r="AB16" s="308"/>
      <c r="AC16" s="308"/>
    </row>
    <row r="17" spans="1:29" s="79" customFormat="1" ht="45" customHeight="1" thickBot="1">
      <c r="A17" s="308"/>
      <c r="B17" s="81"/>
      <c r="C17" s="231"/>
      <c r="D17" s="544"/>
      <c r="E17" s="544"/>
      <c r="F17" s="544"/>
      <c r="G17" s="544"/>
      <c r="H17" s="544"/>
      <c r="I17" s="544"/>
      <c r="J17" s="544"/>
      <c r="K17" s="544"/>
      <c r="L17" s="544"/>
      <c r="M17" s="544"/>
      <c r="N17" s="544"/>
      <c r="O17" s="308"/>
      <c r="P17" s="308"/>
      <c r="Q17" s="308"/>
      <c r="R17" s="308"/>
      <c r="S17"/>
      <c r="T17"/>
      <c r="U17"/>
      <c r="V17" s="544"/>
      <c r="W17" s="544"/>
      <c r="X17" s="544"/>
      <c r="Y17" s="544"/>
      <c r="Z17" s="544"/>
      <c r="AA17" s="544"/>
      <c r="AB17" s="544"/>
      <c r="AC17" s="544"/>
    </row>
    <row r="18" spans="1:29" s="229" customFormat="1" ht="24.75" customHeight="1" thickBot="1">
      <c r="A18" s="308"/>
      <c r="B18" s="856" t="s">
        <v>521</v>
      </c>
      <c r="C18" s="856"/>
      <c r="D18" s="972"/>
      <c r="E18" s="972"/>
      <c r="F18" s="972"/>
      <c r="G18" s="972"/>
      <c r="H18" s="972"/>
      <c r="I18" s="972"/>
      <c r="J18" s="972"/>
      <c r="K18" s="972"/>
      <c r="L18" s="972"/>
      <c r="M18" s="972"/>
      <c r="N18" s="972"/>
      <c r="O18" s="972"/>
      <c r="P18" s="972"/>
      <c r="Q18" s="972"/>
      <c r="R18" s="972"/>
      <c r="S18" s="1427"/>
      <c r="T18" s="1427"/>
      <c r="U18" s="1427"/>
      <c r="V18"/>
      <c r="W18"/>
      <c r="X18"/>
      <c r="Y18"/>
      <c r="Z18"/>
      <c r="AA18"/>
      <c r="AB18"/>
      <c r="AC18"/>
    </row>
    <row r="19" spans="1:29" s="79" customFormat="1" ht="24.75" customHeight="1" thickBot="1">
      <c r="A19" s="308"/>
      <c r="B19" s="1576" t="s">
        <v>682</v>
      </c>
      <c r="C19" s="1577"/>
      <c r="D19" s="1577"/>
      <c r="E19" s="1577"/>
      <c r="F19" s="1577"/>
      <c r="G19" s="1577"/>
      <c r="H19" s="1577"/>
      <c r="I19" s="1577"/>
      <c r="J19" s="1577"/>
      <c r="K19" s="1577"/>
      <c r="L19" s="1577"/>
      <c r="M19" s="1577"/>
      <c r="N19" s="1577"/>
      <c r="O19" s="1577"/>
      <c r="P19" s="1577"/>
      <c r="Q19" s="1577"/>
      <c r="R19" s="1578"/>
      <c r="S19"/>
      <c r="T19"/>
      <c r="U19"/>
      <c r="V19"/>
      <c r="W19"/>
      <c r="X19"/>
      <c r="Y19"/>
      <c r="Z19"/>
      <c r="AA19"/>
      <c r="AB19"/>
      <c r="AC19"/>
    </row>
    <row r="20" spans="1:29" ht="15.75" customHeight="1">
      <c r="A20" s="308"/>
      <c r="B20" s="3624"/>
      <c r="C20" s="3625"/>
      <c r="D20" s="3564" t="s">
        <v>36</v>
      </c>
      <c r="E20" s="3565"/>
      <c r="F20" s="3565"/>
      <c r="G20" s="3565"/>
      <c r="H20" s="3565"/>
      <c r="I20" s="3566" t="s">
        <v>37</v>
      </c>
      <c r="J20" s="3727"/>
      <c r="K20" s="3727"/>
      <c r="L20" s="3727"/>
      <c r="M20" s="3727"/>
      <c r="N20" s="3567" t="s">
        <v>73</v>
      </c>
      <c r="O20" s="3567"/>
      <c r="P20" s="3567"/>
      <c r="Q20" s="3567"/>
      <c r="R20" s="3726"/>
      <c r="V20"/>
      <c r="W20"/>
      <c r="X20"/>
      <c r="Y20"/>
      <c r="Z20"/>
      <c r="AA20"/>
      <c r="AB20"/>
      <c r="AC20"/>
    </row>
    <row r="21" spans="1:29" ht="12.75" customHeight="1">
      <c r="A21" s="308"/>
      <c r="B21" s="3626"/>
      <c r="C21" s="3627"/>
      <c r="D21" s="3731" t="s">
        <v>366</v>
      </c>
      <c r="E21" s="3732"/>
      <c r="F21" s="3732"/>
      <c r="G21" s="3732"/>
      <c r="H21" s="3732"/>
      <c r="I21" s="3732"/>
      <c r="J21" s="3732"/>
      <c r="K21" s="3732"/>
      <c r="L21" s="3732"/>
      <c r="M21" s="3732"/>
      <c r="N21" s="3732"/>
      <c r="O21" s="3732"/>
      <c r="P21" s="3732"/>
      <c r="Q21" s="3732"/>
      <c r="R21" s="3735"/>
      <c r="V21"/>
      <c r="W21"/>
      <c r="X21"/>
      <c r="Y21"/>
      <c r="Z21"/>
      <c r="AA21"/>
      <c r="AB21"/>
      <c r="AC21"/>
    </row>
    <row r="22" spans="1:29" ht="15" customHeight="1">
      <c r="A22" s="308"/>
      <c r="B22" s="3626"/>
      <c r="C22" s="3627"/>
      <c r="D22" s="3731" t="s">
        <v>54</v>
      </c>
      <c r="E22" s="3732"/>
      <c r="F22" s="3732"/>
      <c r="G22" s="3732"/>
      <c r="H22" s="3732"/>
      <c r="I22" s="3732"/>
      <c r="J22" s="3732"/>
      <c r="K22" s="3733"/>
      <c r="L22" s="3577" t="s">
        <v>55</v>
      </c>
      <c r="M22" s="3578"/>
      <c r="N22" s="3578"/>
      <c r="O22" s="3578"/>
      <c r="P22" s="3578"/>
      <c r="Q22" s="3578"/>
      <c r="R22" s="3730"/>
      <c r="V22"/>
      <c r="W22"/>
      <c r="X22"/>
      <c r="Y22"/>
      <c r="Z22"/>
      <c r="AA22"/>
      <c r="AB22"/>
      <c r="AC22"/>
    </row>
    <row r="23" spans="1:29" ht="15" customHeight="1" thickBot="1">
      <c r="A23" s="308"/>
      <c r="B23" s="3626"/>
      <c r="C23" s="3627"/>
      <c r="D23" s="1506">
        <f t="array" ref="D23:H23">PRCP</f>
        <v>2008</v>
      </c>
      <c r="E23" s="294">
        <v>2009</v>
      </c>
      <c r="F23" s="294">
        <v>2010</v>
      </c>
      <c r="G23" s="294">
        <v>2011</v>
      </c>
      <c r="H23" s="294">
        <v>2012</v>
      </c>
      <c r="I23" s="295">
        <f>CRCP_y1</f>
        <v>2013</v>
      </c>
      <c r="J23" s="295">
        <f>CRCP_y2</f>
        <v>2014</v>
      </c>
      <c r="K23" s="295">
        <f>CRCP_y3</f>
        <v>2015</v>
      </c>
      <c r="L23" s="295">
        <f>CRCP_y4</f>
        <v>2016</v>
      </c>
      <c r="M23" s="295">
        <f>CRCP_y5</f>
        <v>2017</v>
      </c>
      <c r="N23" s="294" t="str">
        <f t="array" ref="N23:R23">FRCP</f>
        <v>2018</v>
      </c>
      <c r="O23" s="294">
        <v>2019</v>
      </c>
      <c r="P23" s="294">
        <v>2020</v>
      </c>
      <c r="Q23" s="294">
        <v>2021</v>
      </c>
      <c r="R23" s="2311">
        <v>2022</v>
      </c>
      <c r="V23"/>
      <c r="W23"/>
      <c r="X23"/>
      <c r="Y23"/>
      <c r="Z23"/>
      <c r="AA23"/>
      <c r="AB23"/>
      <c r="AC23"/>
    </row>
    <row r="24" spans="1:29" outlineLevel="1">
      <c r="A24" s="308"/>
      <c r="B24" s="3779" t="s">
        <v>90</v>
      </c>
      <c r="C24" s="2084" t="s">
        <v>91</v>
      </c>
      <c r="D24" s="467"/>
      <c r="E24" s="513"/>
      <c r="F24" s="513"/>
      <c r="G24" s="513"/>
      <c r="H24" s="515"/>
      <c r="I24" s="514"/>
      <c r="J24" s="513"/>
      <c r="K24" s="513"/>
      <c r="L24" s="513"/>
      <c r="M24" s="515"/>
      <c r="N24" s="467"/>
      <c r="O24" s="513"/>
      <c r="P24" s="513"/>
      <c r="Q24" s="513"/>
      <c r="R24" s="464"/>
      <c r="V24"/>
      <c r="W24"/>
      <c r="X24"/>
      <c r="Y24"/>
      <c r="Z24"/>
      <c r="AA24"/>
      <c r="AB24"/>
      <c r="AC24"/>
    </row>
    <row r="25" spans="1:29" outlineLevel="1">
      <c r="A25" s="308"/>
      <c r="B25" s="3780"/>
      <c r="C25" s="2085" t="s">
        <v>189</v>
      </c>
      <c r="D25" s="467"/>
      <c r="E25" s="513"/>
      <c r="F25" s="513"/>
      <c r="G25" s="513"/>
      <c r="H25" s="515"/>
      <c r="I25" s="514"/>
      <c r="J25" s="513"/>
      <c r="K25" s="513"/>
      <c r="L25" s="513"/>
      <c r="M25" s="515"/>
      <c r="N25" s="467"/>
      <c r="O25" s="513"/>
      <c r="P25" s="513"/>
      <c r="Q25" s="513"/>
      <c r="R25" s="464"/>
      <c r="V25"/>
      <c r="W25"/>
      <c r="X25"/>
      <c r="Y25"/>
      <c r="Z25"/>
      <c r="AA25"/>
      <c r="AB25"/>
      <c r="AC25"/>
    </row>
    <row r="26" spans="1:29" ht="15.75" customHeight="1" outlineLevel="1">
      <c r="A26" s="308"/>
      <c r="B26" s="3780"/>
      <c r="C26" s="2086" t="s">
        <v>133</v>
      </c>
      <c r="D26" s="1809">
        <f>D24+D25</f>
        <v>0</v>
      </c>
      <c r="E26" s="1810">
        <f t="shared" ref="E26:R26" si="0">E24+E25</f>
        <v>0</v>
      </c>
      <c r="F26" s="1810">
        <f t="shared" si="0"/>
        <v>0</v>
      </c>
      <c r="G26" s="1810">
        <f t="shared" si="0"/>
        <v>0</v>
      </c>
      <c r="H26" s="1811">
        <f t="shared" si="0"/>
        <v>0</v>
      </c>
      <c r="I26" s="1812">
        <f t="shared" si="0"/>
        <v>0</v>
      </c>
      <c r="J26" s="1810">
        <f t="shared" ref="J26" si="1">J24+J25</f>
        <v>0</v>
      </c>
      <c r="K26" s="1810">
        <f t="shared" si="0"/>
        <v>0</v>
      </c>
      <c r="L26" s="1810">
        <f t="shared" si="0"/>
        <v>0</v>
      </c>
      <c r="M26" s="1811">
        <f t="shared" si="0"/>
        <v>0</v>
      </c>
      <c r="N26" s="1813">
        <f t="shared" si="0"/>
        <v>0</v>
      </c>
      <c r="O26" s="1810">
        <f t="shared" si="0"/>
        <v>0</v>
      </c>
      <c r="P26" s="1810">
        <f t="shared" si="0"/>
        <v>0</v>
      </c>
      <c r="Q26" s="1810">
        <f t="shared" si="0"/>
        <v>0</v>
      </c>
      <c r="R26" s="1814">
        <f t="shared" si="0"/>
        <v>0</v>
      </c>
      <c r="V26"/>
      <c r="W26"/>
      <c r="X26"/>
      <c r="Y26"/>
      <c r="Z26"/>
      <c r="AA26"/>
      <c r="AB26"/>
      <c r="AC26"/>
    </row>
    <row r="27" spans="1:29" s="529" customFormat="1" outlineLevel="1">
      <c r="A27" s="308"/>
      <c r="B27" s="3780" t="s">
        <v>90</v>
      </c>
      <c r="C27" s="2087" t="s">
        <v>91</v>
      </c>
      <c r="D27" s="1807"/>
      <c r="E27" s="549"/>
      <c r="F27" s="549"/>
      <c r="G27" s="549"/>
      <c r="H27" s="563"/>
      <c r="I27" s="466"/>
      <c r="J27" s="549"/>
      <c r="K27" s="549"/>
      <c r="L27" s="549"/>
      <c r="M27" s="563"/>
      <c r="N27" s="1807"/>
      <c r="O27" s="549"/>
      <c r="P27" s="549"/>
      <c r="Q27" s="549"/>
      <c r="R27" s="1808"/>
      <c r="S27"/>
      <c r="T27"/>
      <c r="U27"/>
      <c r="V27"/>
      <c r="W27"/>
      <c r="X27"/>
      <c r="Y27"/>
      <c r="Z27"/>
      <c r="AA27"/>
      <c r="AB27"/>
      <c r="AC27"/>
    </row>
    <row r="28" spans="1:29" s="529" customFormat="1" outlineLevel="1">
      <c r="A28" s="308"/>
      <c r="B28" s="3780"/>
      <c r="C28" s="2085" t="s">
        <v>189</v>
      </c>
      <c r="D28" s="467"/>
      <c r="E28" s="513"/>
      <c r="F28" s="513"/>
      <c r="G28" s="513"/>
      <c r="H28" s="515"/>
      <c r="I28" s="514"/>
      <c r="J28" s="513"/>
      <c r="K28" s="513"/>
      <c r="L28" s="513"/>
      <c r="M28" s="515"/>
      <c r="N28" s="467"/>
      <c r="O28" s="513"/>
      <c r="P28" s="513"/>
      <c r="Q28" s="513"/>
      <c r="R28" s="464"/>
      <c r="S28"/>
      <c r="T28"/>
      <c r="U28"/>
      <c r="V28"/>
      <c r="W28"/>
      <c r="X28"/>
      <c r="Y28"/>
      <c r="Z28"/>
      <c r="AA28"/>
      <c r="AB28"/>
      <c r="AC28"/>
    </row>
    <row r="29" spans="1:29" s="529" customFormat="1" ht="15.75" customHeight="1" outlineLevel="1">
      <c r="A29" s="308"/>
      <c r="B29" s="3780"/>
      <c r="C29" s="2086" t="s">
        <v>133</v>
      </c>
      <c r="D29" s="1809">
        <f>D27+D28</f>
        <v>0</v>
      </c>
      <c r="E29" s="1810">
        <f t="shared" ref="E29:R29" si="2">E27+E28</f>
        <v>0</v>
      </c>
      <c r="F29" s="1810">
        <f t="shared" si="2"/>
        <v>0</v>
      </c>
      <c r="G29" s="1810">
        <f t="shared" si="2"/>
        <v>0</v>
      </c>
      <c r="H29" s="1811">
        <f t="shared" si="2"/>
        <v>0</v>
      </c>
      <c r="I29" s="1812">
        <f t="shared" si="2"/>
        <v>0</v>
      </c>
      <c r="J29" s="1810">
        <f t="shared" ref="J29" si="3">J27+J28</f>
        <v>0</v>
      </c>
      <c r="K29" s="1810">
        <f t="shared" si="2"/>
        <v>0</v>
      </c>
      <c r="L29" s="1810">
        <f t="shared" si="2"/>
        <v>0</v>
      </c>
      <c r="M29" s="1811">
        <f t="shared" si="2"/>
        <v>0</v>
      </c>
      <c r="N29" s="1813">
        <f t="shared" si="2"/>
        <v>0</v>
      </c>
      <c r="O29" s="1810">
        <f t="shared" si="2"/>
        <v>0</v>
      </c>
      <c r="P29" s="1810">
        <f t="shared" si="2"/>
        <v>0</v>
      </c>
      <c r="Q29" s="1810">
        <f t="shared" si="2"/>
        <v>0</v>
      </c>
      <c r="R29" s="1814">
        <f t="shared" si="2"/>
        <v>0</v>
      </c>
      <c r="S29"/>
      <c r="T29"/>
      <c r="U29"/>
      <c r="V29"/>
      <c r="W29"/>
      <c r="X29"/>
      <c r="Y29"/>
      <c r="Z29"/>
      <c r="AA29"/>
      <c r="AB29"/>
      <c r="AC29"/>
    </row>
    <row r="30" spans="1:29" s="529" customFormat="1" outlineLevel="1">
      <c r="A30" s="308"/>
      <c r="B30" s="3780" t="s">
        <v>90</v>
      </c>
      <c r="C30" s="2087" t="s">
        <v>91</v>
      </c>
      <c r="D30" s="467"/>
      <c r="E30" s="513"/>
      <c r="F30" s="513"/>
      <c r="G30" s="513"/>
      <c r="H30" s="515"/>
      <c r="I30" s="514"/>
      <c r="J30" s="513"/>
      <c r="K30" s="513"/>
      <c r="L30" s="513"/>
      <c r="M30" s="515"/>
      <c r="N30" s="467"/>
      <c r="O30" s="513"/>
      <c r="P30" s="513"/>
      <c r="Q30" s="513"/>
      <c r="R30" s="464"/>
      <c r="S30"/>
      <c r="T30"/>
      <c r="U30"/>
      <c r="V30"/>
      <c r="W30"/>
      <c r="X30"/>
      <c r="Y30"/>
      <c r="Z30"/>
      <c r="AA30"/>
      <c r="AB30"/>
      <c r="AC30"/>
    </row>
    <row r="31" spans="1:29" s="529" customFormat="1" outlineLevel="1">
      <c r="A31" s="308"/>
      <c r="B31" s="3780"/>
      <c r="C31" s="2085" t="s">
        <v>189</v>
      </c>
      <c r="D31" s="467"/>
      <c r="E31" s="513"/>
      <c r="F31" s="513"/>
      <c r="G31" s="513"/>
      <c r="H31" s="515"/>
      <c r="I31" s="514"/>
      <c r="J31" s="513"/>
      <c r="K31" s="513"/>
      <c r="L31" s="513"/>
      <c r="M31" s="515"/>
      <c r="N31" s="467"/>
      <c r="O31" s="513"/>
      <c r="P31" s="513"/>
      <c r="Q31" s="513"/>
      <c r="R31" s="464"/>
      <c r="S31"/>
      <c r="T31"/>
      <c r="U31"/>
      <c r="V31"/>
      <c r="W31"/>
      <c r="X31"/>
      <c r="Y31"/>
      <c r="Z31"/>
      <c r="AA31"/>
      <c r="AB31"/>
      <c r="AC31"/>
    </row>
    <row r="32" spans="1:29" s="529" customFormat="1" ht="15.75" customHeight="1" outlineLevel="1">
      <c r="A32" s="308"/>
      <c r="B32" s="3780"/>
      <c r="C32" s="2086" t="s">
        <v>133</v>
      </c>
      <c r="D32" s="1809">
        <f>D30+D31</f>
        <v>0</v>
      </c>
      <c r="E32" s="1810">
        <f t="shared" ref="E32:R32" si="4">E30+E31</f>
        <v>0</v>
      </c>
      <c r="F32" s="1810">
        <f t="shared" si="4"/>
        <v>0</v>
      </c>
      <c r="G32" s="1810">
        <f t="shared" si="4"/>
        <v>0</v>
      </c>
      <c r="H32" s="1811">
        <f t="shared" si="4"/>
        <v>0</v>
      </c>
      <c r="I32" s="1812">
        <f t="shared" si="4"/>
        <v>0</v>
      </c>
      <c r="J32" s="1810">
        <f t="shared" ref="J32" si="5">J30+J31</f>
        <v>0</v>
      </c>
      <c r="K32" s="1810">
        <f t="shared" si="4"/>
        <v>0</v>
      </c>
      <c r="L32" s="1810">
        <f t="shared" si="4"/>
        <v>0</v>
      </c>
      <c r="M32" s="1811">
        <f t="shared" si="4"/>
        <v>0</v>
      </c>
      <c r="N32" s="1813">
        <f t="shared" si="4"/>
        <v>0</v>
      </c>
      <c r="O32" s="1810">
        <f t="shared" si="4"/>
        <v>0</v>
      </c>
      <c r="P32" s="1810">
        <f t="shared" si="4"/>
        <v>0</v>
      </c>
      <c r="Q32" s="1810">
        <f t="shared" si="4"/>
        <v>0</v>
      </c>
      <c r="R32" s="1814">
        <f t="shared" si="4"/>
        <v>0</v>
      </c>
      <c r="S32"/>
      <c r="T32"/>
      <c r="U32"/>
      <c r="V32"/>
      <c r="W32"/>
      <c r="X32"/>
      <c r="Y32"/>
      <c r="Z32"/>
      <c r="AA32"/>
      <c r="AB32"/>
      <c r="AC32"/>
    </row>
    <row r="33" spans="1:29" s="529" customFormat="1" outlineLevel="1">
      <c r="A33" s="308"/>
      <c r="B33" s="3780" t="s">
        <v>90</v>
      </c>
      <c r="C33" s="2087" t="s">
        <v>91</v>
      </c>
      <c r="D33" s="467"/>
      <c r="E33" s="513"/>
      <c r="F33" s="513"/>
      <c r="G33" s="513"/>
      <c r="H33" s="515"/>
      <c r="I33" s="514"/>
      <c r="J33" s="513"/>
      <c r="K33" s="513"/>
      <c r="L33" s="513"/>
      <c r="M33" s="515"/>
      <c r="N33" s="467"/>
      <c r="O33" s="513"/>
      <c r="P33" s="513"/>
      <c r="Q33" s="513"/>
      <c r="R33" s="464"/>
      <c r="S33"/>
      <c r="T33"/>
      <c r="U33"/>
      <c r="V33"/>
      <c r="W33"/>
      <c r="X33"/>
      <c r="Y33"/>
      <c r="Z33"/>
      <c r="AA33"/>
      <c r="AB33"/>
      <c r="AC33"/>
    </row>
    <row r="34" spans="1:29" s="529" customFormat="1" outlineLevel="1">
      <c r="A34" s="308"/>
      <c r="B34" s="3780"/>
      <c r="C34" s="2085" t="s">
        <v>189</v>
      </c>
      <c r="D34" s="467"/>
      <c r="E34" s="513"/>
      <c r="F34" s="513"/>
      <c r="G34" s="513"/>
      <c r="H34" s="515"/>
      <c r="I34" s="514"/>
      <c r="J34" s="513"/>
      <c r="K34" s="513"/>
      <c r="L34" s="513"/>
      <c r="M34" s="515"/>
      <c r="N34" s="467"/>
      <c r="O34" s="513"/>
      <c r="P34" s="513"/>
      <c r="Q34" s="513"/>
      <c r="R34" s="464"/>
      <c r="S34"/>
      <c r="T34"/>
      <c r="U34"/>
      <c r="V34"/>
      <c r="W34"/>
      <c r="X34"/>
      <c r="Y34"/>
      <c r="Z34"/>
      <c r="AA34"/>
      <c r="AB34"/>
      <c r="AC34"/>
    </row>
    <row r="35" spans="1:29" s="529" customFormat="1" ht="15.75" customHeight="1" outlineLevel="1">
      <c r="A35" s="308"/>
      <c r="B35" s="3780"/>
      <c r="C35" s="2086" t="s">
        <v>133</v>
      </c>
      <c r="D35" s="1809">
        <f>D33+D34</f>
        <v>0</v>
      </c>
      <c r="E35" s="1810">
        <f t="shared" ref="E35:R35" si="6">E33+E34</f>
        <v>0</v>
      </c>
      <c r="F35" s="1810">
        <f t="shared" si="6"/>
        <v>0</v>
      </c>
      <c r="G35" s="1810">
        <f t="shared" si="6"/>
        <v>0</v>
      </c>
      <c r="H35" s="1811">
        <f t="shared" si="6"/>
        <v>0</v>
      </c>
      <c r="I35" s="1812">
        <f t="shared" si="6"/>
        <v>0</v>
      </c>
      <c r="J35" s="1810">
        <f t="shared" ref="J35" si="7">J33+J34</f>
        <v>0</v>
      </c>
      <c r="K35" s="1810">
        <f t="shared" si="6"/>
        <v>0</v>
      </c>
      <c r="L35" s="1810">
        <f t="shared" si="6"/>
        <v>0</v>
      </c>
      <c r="M35" s="1811">
        <f t="shared" si="6"/>
        <v>0</v>
      </c>
      <c r="N35" s="1813">
        <f t="shared" si="6"/>
        <v>0</v>
      </c>
      <c r="O35" s="1810">
        <f t="shared" si="6"/>
        <v>0</v>
      </c>
      <c r="P35" s="1810">
        <f t="shared" si="6"/>
        <v>0</v>
      </c>
      <c r="Q35" s="1810">
        <f t="shared" si="6"/>
        <v>0</v>
      </c>
      <c r="R35" s="1814">
        <f t="shared" si="6"/>
        <v>0</v>
      </c>
      <c r="S35"/>
      <c r="T35"/>
      <c r="U35"/>
      <c r="V35"/>
      <c r="W35"/>
      <c r="X35"/>
      <c r="Y35"/>
      <c r="Z35"/>
      <c r="AA35"/>
      <c r="AB35"/>
      <c r="AC35"/>
    </row>
    <row r="36" spans="1:29" s="529" customFormat="1" outlineLevel="1">
      <c r="A36" s="308"/>
      <c r="B36" s="3780" t="s">
        <v>90</v>
      </c>
      <c r="C36" s="2087" t="s">
        <v>91</v>
      </c>
      <c r="D36" s="467"/>
      <c r="E36" s="513"/>
      <c r="F36" s="513"/>
      <c r="G36" s="513"/>
      <c r="H36" s="515"/>
      <c r="I36" s="514"/>
      <c r="J36" s="513"/>
      <c r="K36" s="513"/>
      <c r="L36" s="513"/>
      <c r="M36" s="515"/>
      <c r="N36" s="467"/>
      <c r="O36" s="513"/>
      <c r="P36" s="513"/>
      <c r="Q36" s="513"/>
      <c r="R36" s="464"/>
      <c r="S36"/>
      <c r="T36"/>
      <c r="U36"/>
      <c r="V36"/>
      <c r="W36"/>
      <c r="X36"/>
      <c r="Y36"/>
      <c r="Z36"/>
      <c r="AA36"/>
      <c r="AB36"/>
      <c r="AC36"/>
    </row>
    <row r="37" spans="1:29" s="529" customFormat="1" outlineLevel="1">
      <c r="A37" s="308"/>
      <c r="B37" s="3780"/>
      <c r="C37" s="2085" t="s">
        <v>189</v>
      </c>
      <c r="D37" s="467"/>
      <c r="E37" s="513"/>
      <c r="F37" s="513"/>
      <c r="G37" s="513"/>
      <c r="H37" s="515"/>
      <c r="I37" s="514"/>
      <c r="J37" s="513"/>
      <c r="K37" s="513"/>
      <c r="L37" s="513"/>
      <c r="M37" s="515"/>
      <c r="N37" s="467"/>
      <c r="O37" s="513"/>
      <c r="P37" s="513"/>
      <c r="Q37" s="513"/>
      <c r="R37" s="464"/>
      <c r="S37"/>
      <c r="T37"/>
      <c r="U37"/>
      <c r="V37"/>
      <c r="W37"/>
      <c r="X37"/>
      <c r="Y37"/>
      <c r="Z37"/>
      <c r="AA37"/>
      <c r="AB37"/>
      <c r="AC37"/>
    </row>
    <row r="38" spans="1:29" s="529" customFormat="1" ht="15.75" customHeight="1" outlineLevel="1">
      <c r="A38" s="308"/>
      <c r="B38" s="3780"/>
      <c r="C38" s="2086" t="s">
        <v>133</v>
      </c>
      <c r="D38" s="1809">
        <f>D36+D37</f>
        <v>0</v>
      </c>
      <c r="E38" s="1810">
        <f t="shared" ref="E38:R38" si="8">E36+E37</f>
        <v>0</v>
      </c>
      <c r="F38" s="1810">
        <f t="shared" si="8"/>
        <v>0</v>
      </c>
      <c r="G38" s="1810">
        <f t="shared" si="8"/>
        <v>0</v>
      </c>
      <c r="H38" s="1811">
        <f t="shared" si="8"/>
        <v>0</v>
      </c>
      <c r="I38" s="1812">
        <f t="shared" si="8"/>
        <v>0</v>
      </c>
      <c r="J38" s="1810">
        <f t="shared" ref="J38" si="9">J36+J37</f>
        <v>0</v>
      </c>
      <c r="K38" s="1810">
        <f t="shared" si="8"/>
        <v>0</v>
      </c>
      <c r="L38" s="1810">
        <f t="shared" si="8"/>
        <v>0</v>
      </c>
      <c r="M38" s="1811">
        <f t="shared" si="8"/>
        <v>0</v>
      </c>
      <c r="N38" s="1813">
        <f t="shared" si="8"/>
        <v>0</v>
      </c>
      <c r="O38" s="1810">
        <f t="shared" si="8"/>
        <v>0</v>
      </c>
      <c r="P38" s="1810">
        <f t="shared" si="8"/>
        <v>0</v>
      </c>
      <c r="Q38" s="1810">
        <f t="shared" si="8"/>
        <v>0</v>
      </c>
      <c r="R38" s="1814">
        <f t="shared" si="8"/>
        <v>0</v>
      </c>
      <c r="S38"/>
      <c r="T38"/>
      <c r="U38"/>
      <c r="V38"/>
      <c r="W38"/>
      <c r="X38"/>
      <c r="Y38"/>
      <c r="Z38"/>
      <c r="AA38"/>
      <c r="AB38"/>
      <c r="AC38"/>
    </row>
    <row r="39" spans="1:29" s="529" customFormat="1" outlineLevel="1">
      <c r="A39" s="308"/>
      <c r="B39" s="3780" t="s">
        <v>90</v>
      </c>
      <c r="C39" s="2087" t="s">
        <v>91</v>
      </c>
      <c r="D39" s="467"/>
      <c r="E39" s="513"/>
      <c r="F39" s="513"/>
      <c r="G39" s="513"/>
      <c r="H39" s="515"/>
      <c r="I39" s="514"/>
      <c r="J39" s="513"/>
      <c r="K39" s="513"/>
      <c r="L39" s="513"/>
      <c r="M39" s="515"/>
      <c r="N39" s="467"/>
      <c r="O39" s="513"/>
      <c r="P39" s="513"/>
      <c r="Q39" s="513"/>
      <c r="R39" s="464"/>
      <c r="S39"/>
      <c r="T39"/>
      <c r="U39"/>
      <c r="V39"/>
      <c r="W39"/>
      <c r="X39"/>
      <c r="Y39"/>
      <c r="Z39"/>
      <c r="AA39"/>
      <c r="AB39"/>
      <c r="AC39"/>
    </row>
    <row r="40" spans="1:29" s="529" customFormat="1" outlineLevel="1">
      <c r="A40" s="308"/>
      <c r="B40" s="3780"/>
      <c r="C40" s="2085" t="s">
        <v>189</v>
      </c>
      <c r="D40" s="467"/>
      <c r="E40" s="513"/>
      <c r="F40" s="513"/>
      <c r="G40" s="513"/>
      <c r="H40" s="515"/>
      <c r="I40" s="514"/>
      <c r="J40" s="513"/>
      <c r="K40" s="513"/>
      <c r="L40" s="513"/>
      <c r="M40" s="515"/>
      <c r="N40" s="467"/>
      <c r="O40" s="513"/>
      <c r="P40" s="513"/>
      <c r="Q40" s="513"/>
      <c r="R40" s="464"/>
      <c r="S40"/>
      <c r="T40"/>
      <c r="U40"/>
      <c r="V40"/>
      <c r="W40"/>
      <c r="X40"/>
      <c r="Y40"/>
      <c r="Z40"/>
      <c r="AA40"/>
      <c r="AB40"/>
      <c r="AC40"/>
    </row>
    <row r="41" spans="1:29" s="529" customFormat="1" ht="15.75" customHeight="1" outlineLevel="1" thickBot="1">
      <c r="A41" s="308"/>
      <c r="B41" s="3781"/>
      <c r="C41" s="2088" t="s">
        <v>133</v>
      </c>
      <c r="D41" s="572">
        <f>D39+D40</f>
        <v>0</v>
      </c>
      <c r="E41" s="567">
        <f t="shared" ref="E41:R41" si="10">E39+E40</f>
        <v>0</v>
      </c>
      <c r="F41" s="567">
        <f t="shared" si="10"/>
        <v>0</v>
      </c>
      <c r="G41" s="567">
        <f t="shared" si="10"/>
        <v>0</v>
      </c>
      <c r="H41" s="568">
        <f t="shared" si="10"/>
        <v>0</v>
      </c>
      <c r="I41" s="566">
        <f t="shared" si="10"/>
        <v>0</v>
      </c>
      <c r="J41" s="567">
        <f t="shared" ref="J41" si="11">J39+J40</f>
        <v>0</v>
      </c>
      <c r="K41" s="567">
        <f t="shared" si="10"/>
        <v>0</v>
      </c>
      <c r="L41" s="567">
        <f t="shared" si="10"/>
        <v>0</v>
      </c>
      <c r="M41" s="568">
        <f t="shared" si="10"/>
        <v>0</v>
      </c>
      <c r="N41" s="572">
        <f t="shared" si="10"/>
        <v>0</v>
      </c>
      <c r="O41" s="567">
        <f t="shared" si="10"/>
        <v>0</v>
      </c>
      <c r="P41" s="567">
        <f t="shared" si="10"/>
        <v>0</v>
      </c>
      <c r="Q41" s="567">
        <f t="shared" si="10"/>
        <v>0</v>
      </c>
      <c r="R41" s="616">
        <f t="shared" si="10"/>
        <v>0</v>
      </c>
      <c r="S41"/>
      <c r="T41"/>
      <c r="U41"/>
      <c r="V41"/>
      <c r="W41"/>
      <c r="X41"/>
      <c r="Y41"/>
      <c r="Z41"/>
      <c r="AA41"/>
      <c r="AB41"/>
      <c r="AC41"/>
    </row>
    <row r="42" spans="1:29" s="110" customFormat="1" ht="20.25" customHeight="1" thickBot="1">
      <c r="A42" s="540"/>
      <c r="B42" s="3801" t="s">
        <v>133</v>
      </c>
      <c r="C42" s="3802"/>
      <c r="D42" s="619">
        <f t="shared" ref="D42:R42" si="12">D41+D38+D35+D32+D29+D26</f>
        <v>0</v>
      </c>
      <c r="E42" s="618">
        <f t="shared" si="12"/>
        <v>0</v>
      </c>
      <c r="F42" s="618">
        <f t="shared" si="12"/>
        <v>0</v>
      </c>
      <c r="G42" s="618">
        <f t="shared" si="12"/>
        <v>0</v>
      </c>
      <c r="H42" s="620">
        <f t="shared" si="12"/>
        <v>0</v>
      </c>
      <c r="I42" s="619">
        <f t="shared" si="12"/>
        <v>0</v>
      </c>
      <c r="J42" s="618">
        <f t="shared" si="12"/>
        <v>0</v>
      </c>
      <c r="K42" s="618">
        <f t="shared" si="12"/>
        <v>0</v>
      </c>
      <c r="L42" s="618">
        <f t="shared" si="12"/>
        <v>0</v>
      </c>
      <c r="M42" s="620">
        <f t="shared" si="12"/>
        <v>0</v>
      </c>
      <c r="N42" s="621">
        <f t="shared" si="12"/>
        <v>0</v>
      </c>
      <c r="O42" s="622">
        <f t="shared" si="12"/>
        <v>0</v>
      </c>
      <c r="P42" s="622">
        <f t="shared" si="12"/>
        <v>0</v>
      </c>
      <c r="Q42" s="622">
        <f t="shared" si="12"/>
        <v>0</v>
      </c>
      <c r="R42" s="623">
        <f t="shared" si="12"/>
        <v>0</v>
      </c>
      <c r="S42"/>
      <c r="T42"/>
      <c r="U42"/>
      <c r="V42"/>
      <c r="W42"/>
      <c r="X42"/>
      <c r="Y42"/>
      <c r="Z42"/>
      <c r="AA42"/>
      <c r="AB42"/>
      <c r="AC42"/>
    </row>
    <row r="43" spans="1:29" s="70" customFormat="1" ht="45" customHeight="1" thickBot="1">
      <c r="A43" s="360"/>
      <c r="B43" s="3610" t="s">
        <v>125</v>
      </c>
      <c r="C43" s="3611"/>
      <c r="D43" s="1413"/>
      <c r="E43" s="1414"/>
      <c r="F43" s="1414"/>
      <c r="G43" s="1414"/>
      <c r="H43" s="1414"/>
      <c r="I43" s="1414"/>
      <c r="J43" s="1414"/>
      <c r="K43" s="1414"/>
      <c r="L43" s="1414"/>
      <c r="M43" s="1414"/>
      <c r="N43" s="1414"/>
      <c r="O43" s="1414"/>
      <c r="P43" s="1414"/>
      <c r="Q43" s="1414"/>
      <c r="R43" s="1452"/>
      <c r="S43"/>
      <c r="T43"/>
      <c r="U43"/>
      <c r="V43"/>
      <c r="W43"/>
      <c r="X43"/>
      <c r="Y43"/>
      <c r="Z43"/>
      <c r="AA43"/>
      <c r="AB43"/>
      <c r="AC43"/>
    </row>
    <row r="44" spans="1:29" customFormat="1" ht="42" customHeight="1" thickBot="1">
      <c r="C44" s="1427"/>
      <c r="V44" s="529"/>
      <c r="W44" s="529"/>
      <c r="X44" s="529"/>
      <c r="Y44" s="529"/>
      <c r="Z44" s="529"/>
      <c r="AA44" s="529"/>
      <c r="AB44" s="529"/>
      <c r="AC44" s="529"/>
    </row>
    <row r="45" spans="1:29" s="79" customFormat="1" ht="33" customHeight="1" thickBot="1">
      <c r="A45" s="308"/>
      <c r="B45" s="84"/>
      <c r="C45" s="84"/>
      <c r="D45" s="81"/>
      <c r="E45" s="81"/>
      <c r="F45" s="81"/>
      <c r="G45" s="81"/>
      <c r="H45" s="81"/>
      <c r="I45" s="81"/>
      <c r="J45" s="81"/>
      <c r="K45" s="81"/>
      <c r="L45" s="81"/>
      <c r="M45" s="81"/>
      <c r="N45" s="81"/>
      <c r="S45"/>
      <c r="T45"/>
      <c r="U45"/>
      <c r="V45" s="856" t="s">
        <v>681</v>
      </c>
      <c r="W45" s="856"/>
      <c r="X45" s="856"/>
      <c r="Y45" s="856"/>
      <c r="Z45" s="856"/>
      <c r="AA45" s="856"/>
      <c r="AB45" s="856"/>
      <c r="AC45" s="1465"/>
    </row>
    <row r="46" spans="1:29" s="229" customFormat="1" ht="24.75" customHeight="1" thickBot="1">
      <c r="A46" s="308"/>
      <c r="B46" s="1576" t="s">
        <v>642</v>
      </c>
      <c r="C46" s="1576"/>
      <c r="D46" s="1577"/>
      <c r="E46" s="1577"/>
      <c r="F46" s="1577"/>
      <c r="G46" s="1577"/>
      <c r="H46" s="1577"/>
      <c r="I46" s="1577"/>
      <c r="J46" s="1577"/>
      <c r="K46" s="1577"/>
      <c r="L46" s="1577"/>
      <c r="M46" s="1577"/>
      <c r="N46" s="1577"/>
      <c r="O46" s="1577"/>
      <c r="P46" s="1577"/>
      <c r="Q46" s="1577"/>
      <c r="R46" s="1578"/>
      <c r="S46" s="1427"/>
      <c r="T46" s="1427"/>
      <c r="U46" s="1427"/>
      <c r="V46" s="1576"/>
      <c r="W46" s="1577"/>
      <c r="X46" s="1577"/>
      <c r="Y46" s="1577"/>
      <c r="Z46" s="1577"/>
      <c r="AA46" s="1577"/>
      <c r="AB46" s="1577"/>
      <c r="AC46" s="1578"/>
    </row>
    <row r="47" spans="1:29" ht="15.75" customHeight="1">
      <c r="A47" s="308"/>
      <c r="B47" s="3757"/>
      <c r="C47" s="3758"/>
      <c r="D47" s="3701" t="s">
        <v>36</v>
      </c>
      <c r="E47" s="3702"/>
      <c r="F47" s="3702"/>
      <c r="G47" s="3702"/>
      <c r="H47" s="3702"/>
      <c r="I47" s="3703" t="s">
        <v>37</v>
      </c>
      <c r="J47" s="3704"/>
      <c r="K47" s="3704"/>
      <c r="L47" s="3704"/>
      <c r="M47" s="3704"/>
      <c r="N47" s="3728" t="s">
        <v>73</v>
      </c>
      <c r="O47" s="3728"/>
      <c r="P47" s="3728"/>
      <c r="Q47" s="3728"/>
      <c r="R47" s="3729"/>
      <c r="V47" s="3701" t="s">
        <v>36</v>
      </c>
      <c r="W47" s="3702"/>
      <c r="X47" s="3702"/>
      <c r="Y47" s="3702"/>
      <c r="Z47" s="3702"/>
      <c r="AA47" s="3703" t="s">
        <v>37</v>
      </c>
      <c r="AB47" s="3704"/>
      <c r="AC47" s="3705"/>
    </row>
    <row r="48" spans="1:29" ht="12.75" customHeight="1">
      <c r="A48" s="308"/>
      <c r="B48" s="3759"/>
      <c r="C48" s="3760"/>
      <c r="D48" s="3550" t="s">
        <v>579</v>
      </c>
      <c r="E48" s="3551"/>
      <c r="F48" s="3551"/>
      <c r="G48" s="3551"/>
      <c r="H48" s="3551"/>
      <c r="I48" s="3551"/>
      <c r="J48" s="3551"/>
      <c r="K48" s="3595"/>
      <c r="L48" s="3589" t="str">
        <f>CONCATENATE("$0's, real ",dms_DollarReal)</f>
        <v>$0's, real December 2017</v>
      </c>
      <c r="M48" s="3590"/>
      <c r="N48" s="3590"/>
      <c r="O48" s="3590"/>
      <c r="P48" s="3590"/>
      <c r="Q48" s="3590"/>
      <c r="R48" s="3734"/>
      <c r="V48" s="3550" t="str">
        <f>CONCATENATE("$0's, real ",dms_DollarReal)</f>
        <v>$0's, real December 2017</v>
      </c>
      <c r="W48" s="3551"/>
      <c r="X48" s="3551"/>
      <c r="Y48" s="3551"/>
      <c r="Z48" s="3551"/>
      <c r="AA48" s="3551"/>
      <c r="AB48" s="3551"/>
      <c r="AC48" s="3552"/>
    </row>
    <row r="49" spans="1:29" ht="15" customHeight="1">
      <c r="A49" s="308"/>
      <c r="B49" s="3759"/>
      <c r="C49" s="3760"/>
      <c r="D49" s="3550" t="s">
        <v>54</v>
      </c>
      <c r="E49" s="3551"/>
      <c r="F49" s="3551"/>
      <c r="G49" s="3551"/>
      <c r="H49" s="3551"/>
      <c r="I49" s="3551"/>
      <c r="J49" s="3551"/>
      <c r="K49" s="3595"/>
      <c r="L49" s="3589" t="s">
        <v>55</v>
      </c>
      <c r="M49" s="3590"/>
      <c r="N49" s="3590"/>
      <c r="O49" s="3590"/>
      <c r="P49" s="3590"/>
      <c r="Q49" s="3590"/>
      <c r="R49" s="3734"/>
      <c r="V49" s="3550" t="s">
        <v>54</v>
      </c>
      <c r="W49" s="3551"/>
      <c r="X49" s="3551"/>
      <c r="Y49" s="3551"/>
      <c r="Z49" s="3551"/>
      <c r="AA49" s="3551"/>
      <c r="AB49" s="3551"/>
      <c r="AC49" s="3552"/>
    </row>
    <row r="50" spans="1:29" ht="15.75" thickBot="1">
      <c r="A50" s="308"/>
      <c r="B50" s="3761"/>
      <c r="C50" s="3762"/>
      <c r="D50" s="393">
        <f t="array" ref="D50:H50">PRCP</f>
        <v>2008</v>
      </c>
      <c r="E50" s="394">
        <v>2009</v>
      </c>
      <c r="F50" s="394">
        <v>2010</v>
      </c>
      <c r="G50" s="394">
        <v>2011</v>
      </c>
      <c r="H50" s="394">
        <v>2012</v>
      </c>
      <c r="I50" s="395">
        <f>CRCP_y1</f>
        <v>2013</v>
      </c>
      <c r="J50" s="395">
        <f>CRCP_y2</f>
        <v>2014</v>
      </c>
      <c r="K50" s="395">
        <f>CRCP_y3</f>
        <v>2015</v>
      </c>
      <c r="L50" s="395">
        <f>CRCP_y4</f>
        <v>2016</v>
      </c>
      <c r="M50" s="395">
        <f>CRCP_y5</f>
        <v>2017</v>
      </c>
      <c r="N50" s="394" t="str">
        <f t="array" ref="N50:R50">FRCP</f>
        <v>2018</v>
      </c>
      <c r="O50" s="394">
        <v>2019</v>
      </c>
      <c r="P50" s="394">
        <v>2020</v>
      </c>
      <c r="Q50" s="394">
        <v>2021</v>
      </c>
      <c r="R50" s="615">
        <v>2022</v>
      </c>
      <c r="V50" s="1487">
        <f t="array" ref="V50:Z50">PRCP</f>
        <v>2008</v>
      </c>
      <c r="W50" s="1488">
        <v>2009</v>
      </c>
      <c r="X50" s="1488">
        <v>2010</v>
      </c>
      <c r="Y50" s="1488">
        <v>2011</v>
      </c>
      <c r="Z50" s="1488">
        <v>2012</v>
      </c>
      <c r="AA50" s="395">
        <f>CRCP_y1</f>
        <v>2013</v>
      </c>
      <c r="AB50" s="395">
        <f>CRCP_y2</f>
        <v>2014</v>
      </c>
      <c r="AC50" s="2117">
        <f>CRCP_y3</f>
        <v>2015</v>
      </c>
    </row>
    <row r="51" spans="1:29">
      <c r="A51" s="308"/>
      <c r="B51" s="3787" t="s">
        <v>92</v>
      </c>
      <c r="C51" s="3788"/>
      <c r="D51" s="462"/>
      <c r="E51" s="463"/>
      <c r="F51" s="463"/>
      <c r="G51" s="463"/>
      <c r="H51" s="1419"/>
      <c r="I51" s="462"/>
      <c r="J51" s="463"/>
      <c r="K51" s="463"/>
      <c r="L51" s="463"/>
      <c r="M51" s="562"/>
      <c r="N51" s="462"/>
      <c r="O51" s="463"/>
      <c r="P51" s="463"/>
      <c r="Q51" s="463"/>
      <c r="R51" s="562"/>
      <c r="V51" s="1926"/>
      <c r="W51" s="508"/>
      <c r="X51" s="508"/>
      <c r="Y51" s="508"/>
      <c r="Z51" s="1939"/>
      <c r="AA51" s="1926"/>
      <c r="AB51" s="508"/>
      <c r="AC51" s="587"/>
    </row>
    <row r="52" spans="1:29" s="79" customFormat="1" ht="12.75" customHeight="1" outlineLevel="1">
      <c r="A52" s="308"/>
      <c r="B52" s="3747" t="s">
        <v>595</v>
      </c>
      <c r="C52" s="3748"/>
      <c r="D52" s="514"/>
      <c r="E52" s="513"/>
      <c r="F52" s="513"/>
      <c r="G52" s="513"/>
      <c r="H52" s="702"/>
      <c r="I52" s="514"/>
      <c r="J52" s="513"/>
      <c r="K52" s="513"/>
      <c r="L52" s="513"/>
      <c r="M52" s="515"/>
      <c r="N52" s="514"/>
      <c r="O52" s="513"/>
      <c r="P52" s="513"/>
      <c r="Q52" s="513"/>
      <c r="R52" s="515"/>
      <c r="S52"/>
      <c r="T52"/>
      <c r="U52"/>
      <c r="V52" s="517"/>
      <c r="W52" s="518"/>
      <c r="X52" s="518"/>
      <c r="Y52" s="518"/>
      <c r="Z52" s="1453"/>
      <c r="AA52" s="517"/>
      <c r="AB52" s="518"/>
      <c r="AC52" s="519"/>
    </row>
    <row r="53" spans="1:29" s="79" customFormat="1" ht="12.75" customHeight="1" outlineLevel="1">
      <c r="A53" s="308"/>
      <c r="B53" s="3747" t="s">
        <v>594</v>
      </c>
      <c r="C53" s="3748"/>
      <c r="D53" s="514"/>
      <c r="E53" s="513"/>
      <c r="F53" s="513"/>
      <c r="G53" s="513"/>
      <c r="H53" s="702"/>
      <c r="I53" s="514"/>
      <c r="J53" s="513"/>
      <c r="K53" s="513"/>
      <c r="L53" s="513"/>
      <c r="M53" s="515"/>
      <c r="N53" s="514"/>
      <c r="O53" s="513"/>
      <c r="P53" s="513"/>
      <c r="Q53" s="513"/>
      <c r="R53" s="515"/>
      <c r="S53"/>
      <c r="T53"/>
      <c r="U53"/>
      <c r="V53" s="517"/>
      <c r="W53" s="518"/>
      <c r="X53" s="518"/>
      <c r="Y53" s="518"/>
      <c r="Z53" s="1453"/>
      <c r="AA53" s="517"/>
      <c r="AB53" s="518"/>
      <c r="AC53" s="519"/>
    </row>
    <row r="54" spans="1:29" s="79" customFormat="1" ht="12.75" customHeight="1" outlineLevel="1">
      <c r="A54" s="308"/>
      <c r="B54" s="3747" t="s">
        <v>614</v>
      </c>
      <c r="C54" s="3748"/>
      <c r="D54" s="514"/>
      <c r="E54" s="513"/>
      <c r="F54" s="513"/>
      <c r="G54" s="513"/>
      <c r="H54" s="702"/>
      <c r="I54" s="514"/>
      <c r="J54" s="513"/>
      <c r="K54" s="513"/>
      <c r="L54" s="513"/>
      <c r="M54" s="515"/>
      <c r="N54" s="514"/>
      <c r="O54" s="513"/>
      <c r="P54" s="513"/>
      <c r="Q54" s="513"/>
      <c r="R54" s="515"/>
      <c r="S54"/>
      <c r="T54"/>
      <c r="U54"/>
      <c r="V54" s="517"/>
      <c r="W54" s="518"/>
      <c r="X54" s="518"/>
      <c r="Y54" s="518"/>
      <c r="Z54" s="1453"/>
      <c r="AA54" s="517"/>
      <c r="AB54" s="518"/>
      <c r="AC54" s="519"/>
    </row>
    <row r="55" spans="1:29" s="79" customFormat="1" ht="12.75" customHeight="1" outlineLevel="1">
      <c r="A55" s="308"/>
      <c r="B55" s="3753" t="s">
        <v>615</v>
      </c>
      <c r="C55" s="3754"/>
      <c r="D55" s="517">
        <f t="shared" ref="D55:R55" si="13">SUM(D52:D54)</f>
        <v>0</v>
      </c>
      <c r="E55" s="518">
        <f t="shared" si="13"/>
        <v>0</v>
      </c>
      <c r="F55" s="518">
        <f t="shared" si="13"/>
        <v>0</v>
      </c>
      <c r="G55" s="518">
        <f t="shared" si="13"/>
        <v>0</v>
      </c>
      <c r="H55" s="1453">
        <f t="shared" si="13"/>
        <v>0</v>
      </c>
      <c r="I55" s="517">
        <f t="shared" si="13"/>
        <v>0</v>
      </c>
      <c r="J55" s="518">
        <f t="shared" si="13"/>
        <v>0</v>
      </c>
      <c r="K55" s="518">
        <f t="shared" si="13"/>
        <v>0</v>
      </c>
      <c r="L55" s="518">
        <f t="shared" si="13"/>
        <v>0</v>
      </c>
      <c r="M55" s="519">
        <f t="shared" si="13"/>
        <v>0</v>
      </c>
      <c r="N55" s="517">
        <f t="shared" si="13"/>
        <v>0</v>
      </c>
      <c r="O55" s="518">
        <f t="shared" si="13"/>
        <v>0</v>
      </c>
      <c r="P55" s="518">
        <f t="shared" si="13"/>
        <v>0</v>
      </c>
      <c r="Q55" s="518">
        <f t="shared" si="13"/>
        <v>0</v>
      </c>
      <c r="R55" s="519">
        <f t="shared" si="13"/>
        <v>0</v>
      </c>
      <c r="S55"/>
      <c r="T55"/>
      <c r="U55"/>
      <c r="V55" s="517">
        <f t="shared" ref="V55:AC55" si="14">SUM(V52:V54)</f>
        <v>0</v>
      </c>
      <c r="W55" s="518">
        <f t="shared" si="14"/>
        <v>0</v>
      </c>
      <c r="X55" s="518">
        <f t="shared" si="14"/>
        <v>0</v>
      </c>
      <c r="Y55" s="518">
        <f t="shared" si="14"/>
        <v>0</v>
      </c>
      <c r="Z55" s="1453">
        <f t="shared" si="14"/>
        <v>0</v>
      </c>
      <c r="AA55" s="517">
        <f t="shared" si="14"/>
        <v>0</v>
      </c>
      <c r="AB55" s="518">
        <f t="shared" si="14"/>
        <v>0</v>
      </c>
      <c r="AC55" s="519">
        <f t="shared" si="14"/>
        <v>0</v>
      </c>
    </row>
    <row r="56" spans="1:29" s="79" customFormat="1" ht="12.75" customHeight="1" outlineLevel="1">
      <c r="A56" s="308"/>
      <c r="B56" s="3747" t="s">
        <v>619</v>
      </c>
      <c r="C56" s="3748"/>
      <c r="D56" s="514"/>
      <c r="E56" s="513"/>
      <c r="F56" s="513"/>
      <c r="G56" s="513"/>
      <c r="H56" s="702"/>
      <c r="I56" s="483"/>
      <c r="J56" s="531"/>
      <c r="K56" s="531"/>
      <c r="L56" s="531"/>
      <c r="M56" s="489"/>
      <c r="N56" s="636"/>
      <c r="O56" s="532"/>
      <c r="P56" s="532"/>
      <c r="Q56" s="532"/>
      <c r="R56" s="579"/>
      <c r="S56"/>
      <c r="T56"/>
      <c r="U56"/>
      <c r="V56" s="517"/>
      <c r="W56" s="518"/>
      <c r="X56" s="518"/>
      <c r="Y56" s="518"/>
      <c r="Z56" s="1453"/>
      <c r="AA56" s="569"/>
      <c r="AB56" s="570"/>
      <c r="AC56" s="608"/>
    </row>
    <row r="57" spans="1:29" s="79" customFormat="1" ht="12.75" customHeight="1" outlineLevel="1">
      <c r="A57" s="308"/>
      <c r="B57" s="3747" t="s">
        <v>617</v>
      </c>
      <c r="C57" s="3748"/>
      <c r="D57" s="514"/>
      <c r="E57" s="513"/>
      <c r="F57" s="513"/>
      <c r="G57" s="513"/>
      <c r="H57" s="702"/>
      <c r="I57" s="514"/>
      <c r="J57" s="513"/>
      <c r="K57" s="513"/>
      <c r="L57" s="513"/>
      <c r="M57" s="515"/>
      <c r="N57" s="514"/>
      <c r="O57" s="513"/>
      <c r="P57" s="513"/>
      <c r="Q57" s="513"/>
      <c r="R57" s="515"/>
      <c r="S57"/>
      <c r="T57"/>
      <c r="U57"/>
      <c r="V57" s="517"/>
      <c r="W57" s="518"/>
      <c r="X57" s="518"/>
      <c r="Y57" s="518"/>
      <c r="Z57" s="1453"/>
      <c r="AA57" s="517"/>
      <c r="AB57" s="518"/>
      <c r="AC57" s="519"/>
    </row>
    <row r="58" spans="1:29" s="79" customFormat="1" ht="12.75" customHeight="1" outlineLevel="1">
      <c r="A58" s="308"/>
      <c r="B58" s="3751" t="s">
        <v>620</v>
      </c>
      <c r="C58" s="3752"/>
      <c r="D58" s="401">
        <f>SUM(D55:D57)</f>
        <v>0</v>
      </c>
      <c r="E58" s="402">
        <f t="shared" ref="E58:R58" si="15">SUM(E55:E57)</f>
        <v>0</v>
      </c>
      <c r="F58" s="402">
        <f t="shared" si="15"/>
        <v>0</v>
      </c>
      <c r="G58" s="402">
        <f t="shared" si="15"/>
        <v>0</v>
      </c>
      <c r="H58" s="703">
        <f t="shared" si="15"/>
        <v>0</v>
      </c>
      <c r="I58" s="401">
        <f t="shared" si="15"/>
        <v>0</v>
      </c>
      <c r="J58" s="402">
        <f t="shared" si="15"/>
        <v>0</v>
      </c>
      <c r="K58" s="402">
        <f t="shared" si="15"/>
        <v>0</v>
      </c>
      <c r="L58" s="402">
        <f t="shared" si="15"/>
        <v>0</v>
      </c>
      <c r="M58" s="505">
        <f t="shared" si="15"/>
        <v>0</v>
      </c>
      <c r="N58" s="624">
        <f t="shared" si="15"/>
        <v>0</v>
      </c>
      <c r="O58" s="617">
        <f t="shared" si="15"/>
        <v>0</v>
      </c>
      <c r="P58" s="617">
        <f t="shared" si="15"/>
        <v>0</v>
      </c>
      <c r="Q58" s="617">
        <f t="shared" si="15"/>
        <v>0</v>
      </c>
      <c r="R58" s="625">
        <f t="shared" si="15"/>
        <v>0</v>
      </c>
      <c r="S58"/>
      <c r="T58"/>
      <c r="U58"/>
      <c r="V58" s="401">
        <f>SUM(V55:V57)</f>
        <v>0</v>
      </c>
      <c r="W58" s="402">
        <f t="shared" ref="W58:AC58" si="16">SUM(W55:W57)</f>
        <v>0</v>
      </c>
      <c r="X58" s="402">
        <f t="shared" si="16"/>
        <v>0</v>
      </c>
      <c r="Y58" s="402">
        <f t="shared" si="16"/>
        <v>0</v>
      </c>
      <c r="Z58" s="703">
        <f t="shared" si="16"/>
        <v>0</v>
      </c>
      <c r="AA58" s="401">
        <f t="shared" si="16"/>
        <v>0</v>
      </c>
      <c r="AB58" s="402">
        <f t="shared" si="16"/>
        <v>0</v>
      </c>
      <c r="AC58" s="505">
        <f t="shared" si="16"/>
        <v>0</v>
      </c>
    </row>
    <row r="59" spans="1:29" s="79" customFormat="1" ht="12.75" customHeight="1" outlineLevel="1">
      <c r="A59" s="308"/>
      <c r="B59" s="3747" t="s">
        <v>641</v>
      </c>
      <c r="C59" s="3748"/>
      <c r="D59" s="514"/>
      <c r="E59" s="513"/>
      <c r="F59" s="513"/>
      <c r="G59" s="513"/>
      <c r="H59" s="702"/>
      <c r="I59" s="514"/>
      <c r="J59" s="513"/>
      <c r="K59" s="513"/>
      <c r="L59" s="513"/>
      <c r="M59" s="515"/>
      <c r="N59" s="514"/>
      <c r="O59" s="513"/>
      <c r="P59" s="513"/>
      <c r="Q59" s="513"/>
      <c r="R59" s="515"/>
      <c r="S59"/>
      <c r="T59"/>
      <c r="U59"/>
      <c r="V59" s="533"/>
      <c r="W59" s="518"/>
      <c r="X59" s="518"/>
      <c r="Y59" s="518"/>
      <c r="Z59" s="1453"/>
      <c r="AA59" s="517"/>
      <c r="AB59" s="518"/>
      <c r="AC59" s="519"/>
    </row>
    <row r="60" spans="1:29" s="79" customFormat="1" ht="15.75" customHeight="1" thickBot="1">
      <c r="A60" s="308"/>
      <c r="B60" s="3755" t="s">
        <v>621</v>
      </c>
      <c r="C60" s="3756"/>
      <c r="D60" s="404">
        <f t="shared" ref="D60:M60" si="17">D58-D59</f>
        <v>0</v>
      </c>
      <c r="E60" s="405">
        <f t="shared" si="17"/>
        <v>0</v>
      </c>
      <c r="F60" s="405">
        <f t="shared" si="17"/>
        <v>0</v>
      </c>
      <c r="G60" s="405">
        <f t="shared" si="17"/>
        <v>0</v>
      </c>
      <c r="H60" s="706">
        <f t="shared" si="17"/>
        <v>0</v>
      </c>
      <c r="I60" s="404">
        <f t="shared" si="17"/>
        <v>0</v>
      </c>
      <c r="J60" s="405">
        <f t="shared" ref="J60" si="18">J58-J59</f>
        <v>0</v>
      </c>
      <c r="K60" s="405">
        <f t="shared" si="17"/>
        <v>0</v>
      </c>
      <c r="L60" s="405">
        <f t="shared" si="17"/>
        <v>0</v>
      </c>
      <c r="M60" s="560">
        <f t="shared" si="17"/>
        <v>0</v>
      </c>
      <c r="N60" s="619">
        <f>N58-N59</f>
        <v>0</v>
      </c>
      <c r="O60" s="618">
        <f>O58-O59</f>
        <v>0</v>
      </c>
      <c r="P60" s="618">
        <f>P58-P59</f>
        <v>0</v>
      </c>
      <c r="Q60" s="618">
        <f>Q58-Q59</f>
        <v>0</v>
      </c>
      <c r="R60" s="620">
        <f>R58-R59</f>
        <v>0</v>
      </c>
      <c r="S60"/>
      <c r="T60"/>
      <c r="U60"/>
      <c r="V60" s="1710">
        <f t="shared" ref="V60:AC60" si="19">V58-V59</f>
        <v>0</v>
      </c>
      <c r="W60" s="405">
        <f t="shared" si="19"/>
        <v>0</v>
      </c>
      <c r="X60" s="405">
        <f t="shared" si="19"/>
        <v>0</v>
      </c>
      <c r="Y60" s="405">
        <f t="shared" si="19"/>
        <v>0</v>
      </c>
      <c r="Z60" s="706">
        <f t="shared" si="19"/>
        <v>0</v>
      </c>
      <c r="AA60" s="1710">
        <f t="shared" si="19"/>
        <v>0</v>
      </c>
      <c r="AB60" s="405">
        <f t="shared" si="19"/>
        <v>0</v>
      </c>
      <c r="AC60" s="560">
        <f t="shared" si="19"/>
        <v>0</v>
      </c>
    </row>
    <row r="61" spans="1:29" s="70" customFormat="1" ht="45" customHeight="1" thickBot="1">
      <c r="A61" s="360"/>
      <c r="B61" s="3610" t="s">
        <v>125</v>
      </c>
      <c r="C61" s="3611"/>
      <c r="D61" s="1413"/>
      <c r="E61" s="1414"/>
      <c r="F61" s="1414"/>
      <c r="G61" s="1414"/>
      <c r="H61" s="1414"/>
      <c r="I61" s="1414"/>
      <c r="J61" s="1414"/>
      <c r="K61" s="1414"/>
      <c r="L61" s="1414"/>
      <c r="M61" s="1414"/>
      <c r="N61" s="1414"/>
      <c r="O61" s="1414"/>
      <c r="P61" s="1414"/>
      <c r="Q61" s="1414"/>
      <c r="R61" s="1452"/>
      <c r="S61"/>
      <c r="T61"/>
      <c r="U61"/>
      <c r="V61" s="2135"/>
      <c r="W61" s="2116"/>
      <c r="X61" s="2116"/>
      <c r="Y61" s="2116"/>
      <c r="Z61" s="2116"/>
      <c r="AA61" s="2116"/>
      <c r="AB61" s="2116"/>
      <c r="AC61" s="2119"/>
    </row>
    <row r="62" spans="1:29" s="79" customFormat="1" ht="30" customHeight="1" thickBot="1">
      <c r="A62" s="308"/>
      <c r="B62" s="84"/>
      <c r="C62" s="84"/>
      <c r="D62" s="81"/>
      <c r="E62" s="81"/>
      <c r="F62" s="81"/>
      <c r="G62" s="81"/>
      <c r="H62" s="81"/>
      <c r="I62" s="81"/>
      <c r="J62" s="81"/>
      <c r="K62" s="81"/>
      <c r="L62" s="81"/>
      <c r="M62" s="81"/>
      <c r="N62" s="81"/>
      <c r="S62"/>
      <c r="T62"/>
      <c r="U62"/>
      <c r="V62" s="231"/>
      <c r="W62" s="231"/>
      <c r="X62" s="231"/>
      <c r="Y62" s="231"/>
      <c r="Z62" s="231"/>
      <c r="AA62" s="231"/>
      <c r="AB62" s="231"/>
      <c r="AC62" s="231"/>
    </row>
    <row r="63" spans="1:29" s="229" customFormat="1" ht="24.75" customHeight="1" thickBot="1">
      <c r="A63" s="308"/>
      <c r="B63" s="1576" t="s">
        <v>643</v>
      </c>
      <c r="C63" s="1576"/>
      <c r="D63" s="1577"/>
      <c r="E63" s="1577"/>
      <c r="F63" s="1577"/>
      <c r="G63" s="1577"/>
      <c r="H63" s="1577"/>
      <c r="I63" s="1577"/>
      <c r="J63" s="1577"/>
      <c r="K63" s="1577"/>
      <c r="L63" s="1577"/>
      <c r="M63" s="1577"/>
      <c r="N63" s="1577"/>
      <c r="O63" s="1577"/>
      <c r="P63" s="1577"/>
      <c r="Q63" s="1577"/>
      <c r="R63" s="1578"/>
      <c r="S63" s="1427"/>
      <c r="T63" s="1427"/>
      <c r="U63" s="1427"/>
      <c r="V63" s="1576"/>
      <c r="W63" s="1577"/>
      <c r="X63" s="1577"/>
      <c r="Y63" s="1577"/>
      <c r="Z63" s="1577"/>
      <c r="AA63" s="1577"/>
      <c r="AB63" s="1577"/>
      <c r="AC63" s="1578"/>
    </row>
    <row r="64" spans="1:29" ht="15.75" customHeight="1">
      <c r="A64" s="308"/>
      <c r="B64" s="3757"/>
      <c r="C64" s="3758"/>
      <c r="D64" s="3701" t="s">
        <v>36</v>
      </c>
      <c r="E64" s="3702"/>
      <c r="F64" s="3702"/>
      <c r="G64" s="3702"/>
      <c r="H64" s="3702"/>
      <c r="I64" s="3703" t="s">
        <v>37</v>
      </c>
      <c r="J64" s="3704"/>
      <c r="K64" s="3704"/>
      <c r="L64" s="3704"/>
      <c r="M64" s="3704"/>
      <c r="N64" s="3728" t="s">
        <v>73</v>
      </c>
      <c r="O64" s="3728"/>
      <c r="P64" s="3728"/>
      <c r="Q64" s="3728"/>
      <c r="R64" s="3729"/>
      <c r="V64" s="3701" t="s">
        <v>36</v>
      </c>
      <c r="W64" s="3702"/>
      <c r="X64" s="3702"/>
      <c r="Y64" s="3702"/>
      <c r="Z64" s="3702"/>
      <c r="AA64" s="3703" t="s">
        <v>37</v>
      </c>
      <c r="AB64" s="3704"/>
      <c r="AC64" s="3705"/>
    </row>
    <row r="65" spans="1:29" ht="12.75" customHeight="1">
      <c r="A65" s="308"/>
      <c r="B65" s="3759"/>
      <c r="C65" s="3760"/>
      <c r="D65" s="3550" t="s">
        <v>579</v>
      </c>
      <c r="E65" s="3551"/>
      <c r="F65" s="3551"/>
      <c r="G65" s="3551"/>
      <c r="H65" s="3551"/>
      <c r="I65" s="3551"/>
      <c r="J65" s="3551"/>
      <c r="K65" s="3595"/>
      <c r="L65" s="3589" t="str">
        <f>CONCATENATE("$0's, real ",dms_DollarReal)</f>
        <v>$0's, real December 2017</v>
      </c>
      <c r="M65" s="3590"/>
      <c r="N65" s="3590"/>
      <c r="O65" s="3590"/>
      <c r="P65" s="3590"/>
      <c r="Q65" s="3590"/>
      <c r="R65" s="3734"/>
      <c r="V65" s="3550" t="str">
        <f>CONCATENATE("$0's, real ",dms_DollarReal)</f>
        <v>$0's, real December 2017</v>
      </c>
      <c r="W65" s="3551"/>
      <c r="X65" s="3551"/>
      <c r="Y65" s="3551"/>
      <c r="Z65" s="3551"/>
      <c r="AA65" s="3551"/>
      <c r="AB65" s="3551"/>
      <c r="AC65" s="3552"/>
    </row>
    <row r="66" spans="1:29" ht="15" customHeight="1">
      <c r="A66" s="308"/>
      <c r="B66" s="3759"/>
      <c r="C66" s="3760"/>
      <c r="D66" s="3550" t="s">
        <v>54</v>
      </c>
      <c r="E66" s="3551"/>
      <c r="F66" s="3551"/>
      <c r="G66" s="3551"/>
      <c r="H66" s="3551"/>
      <c r="I66" s="3551"/>
      <c r="J66" s="3551"/>
      <c r="K66" s="3595"/>
      <c r="L66" s="3589" t="s">
        <v>55</v>
      </c>
      <c r="M66" s="3590"/>
      <c r="N66" s="3590"/>
      <c r="O66" s="3590"/>
      <c r="P66" s="3590"/>
      <c r="Q66" s="3590"/>
      <c r="R66" s="3734"/>
      <c r="V66" s="3550" t="s">
        <v>54</v>
      </c>
      <c r="W66" s="3551"/>
      <c r="X66" s="3551"/>
      <c r="Y66" s="3551"/>
      <c r="Z66" s="3551"/>
      <c r="AA66" s="3551"/>
      <c r="AB66" s="3551"/>
      <c r="AC66" s="3552"/>
    </row>
    <row r="67" spans="1:29" ht="15.75" thickBot="1">
      <c r="A67" s="308"/>
      <c r="B67" s="3761"/>
      <c r="C67" s="3762"/>
      <c r="D67" s="391">
        <f t="array" ref="D67:H67">PRCP</f>
        <v>2008</v>
      </c>
      <c r="E67" s="390">
        <v>2009</v>
      </c>
      <c r="F67" s="390">
        <v>2010</v>
      </c>
      <c r="G67" s="390">
        <v>2011</v>
      </c>
      <c r="H67" s="390">
        <v>2012</v>
      </c>
      <c r="I67" s="392">
        <f>CRCP_y1</f>
        <v>2013</v>
      </c>
      <c r="J67" s="392">
        <f>CRCP_y2</f>
        <v>2014</v>
      </c>
      <c r="K67" s="392">
        <f>CRCP_y3</f>
        <v>2015</v>
      </c>
      <c r="L67" s="392">
        <f>CRCP_y4</f>
        <v>2016</v>
      </c>
      <c r="M67" s="392">
        <f>CRCP_y5</f>
        <v>2017</v>
      </c>
      <c r="N67" s="390" t="str">
        <f t="array" ref="N67:R67">FRCP</f>
        <v>2018</v>
      </c>
      <c r="O67" s="390">
        <v>2019</v>
      </c>
      <c r="P67" s="390">
        <v>2020</v>
      </c>
      <c r="Q67" s="390">
        <v>2021</v>
      </c>
      <c r="R67" s="498">
        <v>2022</v>
      </c>
      <c r="V67" s="1789">
        <f t="array" ref="V67:Z67">PRCP</f>
        <v>2008</v>
      </c>
      <c r="W67" s="390">
        <v>2009</v>
      </c>
      <c r="X67" s="390">
        <v>2010</v>
      </c>
      <c r="Y67" s="390">
        <v>2011</v>
      </c>
      <c r="Z67" s="390">
        <v>2012</v>
      </c>
      <c r="AA67" s="392">
        <f>CRCP_y1</f>
        <v>2013</v>
      </c>
      <c r="AB67" s="392">
        <f>CRCP_y2</f>
        <v>2014</v>
      </c>
      <c r="AC67" s="603">
        <f>CRCP_y3</f>
        <v>2015</v>
      </c>
    </row>
    <row r="68" spans="1:29" ht="20.25" customHeight="1" thickBot="1">
      <c r="A68" s="308"/>
      <c r="B68" s="858" t="s">
        <v>644</v>
      </c>
      <c r="C68" s="859"/>
      <c r="D68" s="1572"/>
      <c r="E68" s="1572"/>
      <c r="F68" s="1572"/>
      <c r="G68" s="1572"/>
      <c r="H68" s="1572"/>
      <c r="I68" s="1572"/>
      <c r="J68" s="1572"/>
      <c r="K68" s="1572"/>
      <c r="L68" s="1572"/>
      <c r="M68" s="1572"/>
      <c r="N68" s="1572"/>
      <c r="O68" s="1572"/>
      <c r="P68" s="1572"/>
      <c r="Q68" s="1572"/>
      <c r="R68" s="1573"/>
      <c r="V68" s="1571"/>
      <c r="W68" s="1572"/>
      <c r="X68" s="1572"/>
      <c r="Y68" s="1572"/>
      <c r="Z68" s="1572"/>
      <c r="AA68" s="1572"/>
      <c r="AB68" s="1572"/>
      <c r="AC68" s="1573"/>
    </row>
    <row r="69" spans="1:29" s="79" customFormat="1" ht="12.75" customHeight="1" outlineLevel="1">
      <c r="A69" s="308"/>
      <c r="B69" s="3749" t="s">
        <v>207</v>
      </c>
      <c r="C69" s="3750"/>
      <c r="D69" s="462"/>
      <c r="E69" s="463"/>
      <c r="F69" s="463"/>
      <c r="G69" s="463"/>
      <c r="H69" s="562"/>
      <c r="I69" s="462"/>
      <c r="J69" s="463"/>
      <c r="K69" s="463"/>
      <c r="L69" s="463"/>
      <c r="M69" s="1419"/>
      <c r="N69" s="462"/>
      <c r="O69" s="463"/>
      <c r="P69" s="463"/>
      <c r="Q69" s="463"/>
      <c r="R69" s="562"/>
      <c r="S69"/>
      <c r="T69"/>
      <c r="U69"/>
      <c r="V69" s="1926"/>
      <c r="W69" s="508"/>
      <c r="X69" s="508"/>
      <c r="Y69" s="508"/>
      <c r="Z69" s="587"/>
      <c r="AA69" s="1926"/>
      <c r="AB69" s="508"/>
      <c r="AC69" s="587"/>
    </row>
    <row r="70" spans="1:29" outlineLevel="1">
      <c r="A70" s="308"/>
      <c r="B70" s="3747" t="s">
        <v>595</v>
      </c>
      <c r="C70" s="3748"/>
      <c r="D70" s="514"/>
      <c r="E70" s="513"/>
      <c r="F70" s="513"/>
      <c r="G70" s="513"/>
      <c r="H70" s="515"/>
      <c r="I70" s="514"/>
      <c r="J70" s="513"/>
      <c r="K70" s="513"/>
      <c r="L70" s="513"/>
      <c r="M70" s="702"/>
      <c r="N70" s="514"/>
      <c r="O70" s="513"/>
      <c r="P70" s="513"/>
      <c r="Q70" s="513"/>
      <c r="R70" s="515"/>
      <c r="V70" s="517"/>
      <c r="W70" s="518"/>
      <c r="X70" s="518"/>
      <c r="Y70" s="518"/>
      <c r="Z70" s="519"/>
      <c r="AA70" s="517"/>
      <c r="AB70" s="518"/>
      <c r="AC70" s="519"/>
    </row>
    <row r="71" spans="1:29" outlineLevel="1">
      <c r="A71" s="308"/>
      <c r="B71" s="3747" t="s">
        <v>637</v>
      </c>
      <c r="C71" s="3748"/>
      <c r="D71" s="514"/>
      <c r="E71" s="513"/>
      <c r="F71" s="513"/>
      <c r="G71" s="513"/>
      <c r="H71" s="515"/>
      <c r="I71" s="514"/>
      <c r="J71" s="513"/>
      <c r="K71" s="513"/>
      <c r="L71" s="513"/>
      <c r="M71" s="702"/>
      <c r="N71" s="514"/>
      <c r="O71" s="513"/>
      <c r="P71" s="513"/>
      <c r="Q71" s="513"/>
      <c r="R71" s="515"/>
      <c r="V71" s="517"/>
      <c r="W71" s="518"/>
      <c r="X71" s="518"/>
      <c r="Y71" s="518"/>
      <c r="Z71" s="519"/>
      <c r="AA71" s="517"/>
      <c r="AB71" s="518"/>
      <c r="AC71" s="519"/>
    </row>
    <row r="72" spans="1:29" outlineLevel="1">
      <c r="A72" s="308"/>
      <c r="B72" s="3747" t="s">
        <v>638</v>
      </c>
      <c r="C72" s="3748"/>
      <c r="D72" s="514"/>
      <c r="E72" s="513"/>
      <c r="F72" s="513"/>
      <c r="G72" s="513"/>
      <c r="H72" s="515"/>
      <c r="I72" s="514"/>
      <c r="J72" s="513"/>
      <c r="K72" s="513"/>
      <c r="L72" s="513"/>
      <c r="M72" s="702"/>
      <c r="N72" s="514"/>
      <c r="O72" s="513"/>
      <c r="P72" s="513"/>
      <c r="Q72" s="513"/>
      <c r="R72" s="515"/>
      <c r="V72" s="517"/>
      <c r="W72" s="518"/>
      <c r="X72" s="518"/>
      <c r="Y72" s="518"/>
      <c r="Z72" s="519"/>
      <c r="AA72" s="517"/>
      <c r="AB72" s="518"/>
      <c r="AC72" s="519"/>
    </row>
    <row r="73" spans="1:29" s="79" customFormat="1" ht="12.75" customHeight="1" outlineLevel="1">
      <c r="A73" s="308"/>
      <c r="B73" s="3753" t="s">
        <v>615</v>
      </c>
      <c r="C73" s="3754"/>
      <c r="D73" s="517">
        <f>D70+D71+D72</f>
        <v>0</v>
      </c>
      <c r="E73" s="518">
        <f t="shared" ref="E73:R73" si="20">E70+E71+E72</f>
        <v>0</v>
      </c>
      <c r="F73" s="518">
        <f t="shared" si="20"/>
        <v>0</v>
      </c>
      <c r="G73" s="518">
        <f t="shared" si="20"/>
        <v>0</v>
      </c>
      <c r="H73" s="519">
        <f t="shared" si="20"/>
        <v>0</v>
      </c>
      <c r="I73" s="517">
        <f t="shared" si="20"/>
        <v>0</v>
      </c>
      <c r="J73" s="518">
        <f t="shared" ref="J73" si="21">J70+J71+J72</f>
        <v>0</v>
      </c>
      <c r="K73" s="518">
        <f t="shared" si="20"/>
        <v>0</v>
      </c>
      <c r="L73" s="518">
        <f t="shared" si="20"/>
        <v>0</v>
      </c>
      <c r="M73" s="1453">
        <f t="shared" si="20"/>
        <v>0</v>
      </c>
      <c r="N73" s="517">
        <f t="shared" si="20"/>
        <v>0</v>
      </c>
      <c r="O73" s="518">
        <f t="shared" si="20"/>
        <v>0</v>
      </c>
      <c r="P73" s="518">
        <f t="shared" si="20"/>
        <v>0</v>
      </c>
      <c r="Q73" s="518">
        <f t="shared" si="20"/>
        <v>0</v>
      </c>
      <c r="R73" s="519">
        <f t="shared" si="20"/>
        <v>0</v>
      </c>
      <c r="S73"/>
      <c r="T73"/>
      <c r="U73"/>
      <c r="V73" s="517">
        <f>V70+V71+V72</f>
        <v>0</v>
      </c>
      <c r="W73" s="518">
        <f t="shared" ref="W73:AC73" si="22">W70+W71+W72</f>
        <v>0</v>
      </c>
      <c r="X73" s="518">
        <f t="shared" si="22"/>
        <v>0</v>
      </c>
      <c r="Y73" s="518">
        <f t="shared" si="22"/>
        <v>0</v>
      </c>
      <c r="Z73" s="519">
        <f t="shared" si="22"/>
        <v>0</v>
      </c>
      <c r="AA73" s="517">
        <f t="shared" si="22"/>
        <v>0</v>
      </c>
      <c r="AB73" s="518">
        <f t="shared" si="22"/>
        <v>0</v>
      </c>
      <c r="AC73" s="519">
        <f t="shared" si="22"/>
        <v>0</v>
      </c>
    </row>
    <row r="74" spans="1:29" s="79" customFormat="1" ht="12.75" customHeight="1" outlineLevel="1">
      <c r="A74" s="308"/>
      <c r="B74" s="3747" t="s">
        <v>619</v>
      </c>
      <c r="C74" s="3748"/>
      <c r="D74" s="514"/>
      <c r="E74" s="513"/>
      <c r="F74" s="513"/>
      <c r="G74" s="513"/>
      <c r="H74" s="515"/>
      <c r="I74" s="483"/>
      <c r="J74" s="531"/>
      <c r="K74" s="531"/>
      <c r="L74" s="531"/>
      <c r="M74" s="704"/>
      <c r="N74" s="636"/>
      <c r="O74" s="532"/>
      <c r="P74" s="532"/>
      <c r="Q74" s="532"/>
      <c r="R74" s="579"/>
      <c r="S74"/>
      <c r="T74"/>
      <c r="U74"/>
      <c r="V74" s="517"/>
      <c r="W74" s="518"/>
      <c r="X74" s="518"/>
      <c r="Y74" s="518"/>
      <c r="Z74" s="519"/>
      <c r="AA74" s="569"/>
      <c r="AB74" s="570"/>
      <c r="AC74" s="608"/>
    </row>
    <row r="75" spans="1:29" s="79" customFormat="1" ht="12.75" customHeight="1" outlineLevel="1">
      <c r="A75" s="308"/>
      <c r="B75" s="3747" t="s">
        <v>617</v>
      </c>
      <c r="C75" s="3748"/>
      <c r="D75" s="514"/>
      <c r="E75" s="513"/>
      <c r="F75" s="513"/>
      <c r="G75" s="513"/>
      <c r="H75" s="515"/>
      <c r="I75" s="514"/>
      <c r="J75" s="513"/>
      <c r="K75" s="513"/>
      <c r="L75" s="513"/>
      <c r="M75" s="702"/>
      <c r="N75" s="514"/>
      <c r="O75" s="513"/>
      <c r="P75" s="513"/>
      <c r="Q75" s="513"/>
      <c r="R75" s="515"/>
      <c r="S75"/>
      <c r="T75"/>
      <c r="U75"/>
      <c r="V75" s="517"/>
      <c r="W75" s="518"/>
      <c r="X75" s="518"/>
      <c r="Y75" s="518"/>
      <c r="Z75" s="519"/>
      <c r="AA75" s="517"/>
      <c r="AB75" s="518"/>
      <c r="AC75" s="519"/>
    </row>
    <row r="76" spans="1:29" s="79" customFormat="1" ht="12.75" customHeight="1" outlineLevel="1">
      <c r="A76" s="308"/>
      <c r="B76" s="3751" t="s">
        <v>620</v>
      </c>
      <c r="C76" s="3752"/>
      <c r="D76" s="624">
        <f>D73+D74+D75</f>
        <v>0</v>
      </c>
      <c r="E76" s="617">
        <f t="shared" ref="E76:R76" si="23">E73+E74+E75</f>
        <v>0</v>
      </c>
      <c r="F76" s="617">
        <f t="shared" si="23"/>
        <v>0</v>
      </c>
      <c r="G76" s="617">
        <f t="shared" si="23"/>
        <v>0</v>
      </c>
      <c r="H76" s="625">
        <f t="shared" si="23"/>
        <v>0</v>
      </c>
      <c r="I76" s="624">
        <f t="shared" si="23"/>
        <v>0</v>
      </c>
      <c r="J76" s="617">
        <f t="shared" si="23"/>
        <v>0</v>
      </c>
      <c r="K76" s="617">
        <f t="shared" si="23"/>
        <v>0</v>
      </c>
      <c r="L76" s="617">
        <f t="shared" si="23"/>
        <v>0</v>
      </c>
      <c r="M76" s="1454">
        <f t="shared" si="23"/>
        <v>0</v>
      </c>
      <c r="N76" s="624">
        <f t="shared" si="23"/>
        <v>0</v>
      </c>
      <c r="O76" s="617">
        <f t="shared" si="23"/>
        <v>0</v>
      </c>
      <c r="P76" s="617">
        <f t="shared" si="23"/>
        <v>0</v>
      </c>
      <c r="Q76" s="617">
        <f t="shared" si="23"/>
        <v>0</v>
      </c>
      <c r="R76" s="625">
        <f t="shared" si="23"/>
        <v>0</v>
      </c>
      <c r="S76"/>
      <c r="T76"/>
      <c r="U76"/>
      <c r="V76" s="624">
        <f>V73+V74+V75</f>
        <v>0</v>
      </c>
      <c r="W76" s="617">
        <f t="shared" ref="W76:AC76" si="24">W73+W74+W75</f>
        <v>0</v>
      </c>
      <c r="X76" s="617">
        <f t="shared" si="24"/>
        <v>0</v>
      </c>
      <c r="Y76" s="617">
        <f t="shared" si="24"/>
        <v>0</v>
      </c>
      <c r="Z76" s="625">
        <f t="shared" si="24"/>
        <v>0</v>
      </c>
      <c r="AA76" s="624">
        <f t="shared" si="24"/>
        <v>0</v>
      </c>
      <c r="AB76" s="617">
        <f t="shared" si="24"/>
        <v>0</v>
      </c>
      <c r="AC76" s="625">
        <f t="shared" si="24"/>
        <v>0</v>
      </c>
    </row>
    <row r="77" spans="1:29" s="79" customFormat="1" ht="12.75" customHeight="1" outlineLevel="1">
      <c r="A77" s="308"/>
      <c r="B77" s="3747" t="s">
        <v>641</v>
      </c>
      <c r="C77" s="3748"/>
      <c r="D77" s="514"/>
      <c r="E77" s="513"/>
      <c r="F77" s="513"/>
      <c r="G77" s="513"/>
      <c r="H77" s="515"/>
      <c r="I77" s="514"/>
      <c r="J77" s="513"/>
      <c r="K77" s="513"/>
      <c r="L77" s="513"/>
      <c r="M77" s="702"/>
      <c r="N77" s="514"/>
      <c r="O77" s="513"/>
      <c r="P77" s="513"/>
      <c r="Q77" s="513"/>
      <c r="R77" s="515"/>
      <c r="S77"/>
      <c r="T77"/>
      <c r="U77"/>
      <c r="V77" s="517"/>
      <c r="W77" s="518"/>
      <c r="X77" s="518"/>
      <c r="Y77" s="518"/>
      <c r="Z77" s="519"/>
      <c r="AA77" s="517"/>
      <c r="AB77" s="518"/>
      <c r="AC77" s="519"/>
    </row>
    <row r="78" spans="1:29" s="79" customFormat="1" ht="12.75" customHeight="1" thickBot="1">
      <c r="A78" s="308"/>
      <c r="B78" s="3755" t="s">
        <v>621</v>
      </c>
      <c r="C78" s="3756"/>
      <c r="D78" s="619">
        <f>D76-D77</f>
        <v>0</v>
      </c>
      <c r="E78" s="618">
        <f t="shared" ref="E78:R78" si="25">E76-E77</f>
        <v>0</v>
      </c>
      <c r="F78" s="618">
        <f t="shared" si="25"/>
        <v>0</v>
      </c>
      <c r="G78" s="618">
        <f t="shared" si="25"/>
        <v>0</v>
      </c>
      <c r="H78" s="620">
        <f t="shared" si="25"/>
        <v>0</v>
      </c>
      <c r="I78" s="619">
        <f t="shared" si="25"/>
        <v>0</v>
      </c>
      <c r="J78" s="618">
        <f t="shared" ref="J78" si="26">J76-J77</f>
        <v>0</v>
      </c>
      <c r="K78" s="618">
        <f t="shared" si="25"/>
        <v>0</v>
      </c>
      <c r="L78" s="618">
        <f t="shared" si="25"/>
        <v>0</v>
      </c>
      <c r="M78" s="1455">
        <f t="shared" si="25"/>
        <v>0</v>
      </c>
      <c r="N78" s="619">
        <f t="shared" si="25"/>
        <v>0</v>
      </c>
      <c r="O78" s="618">
        <f t="shared" si="25"/>
        <v>0</v>
      </c>
      <c r="P78" s="618">
        <f t="shared" si="25"/>
        <v>0</v>
      </c>
      <c r="Q78" s="618">
        <f t="shared" si="25"/>
        <v>0</v>
      </c>
      <c r="R78" s="620">
        <f t="shared" si="25"/>
        <v>0</v>
      </c>
      <c r="S78"/>
      <c r="T78"/>
      <c r="U78"/>
      <c r="V78" s="2167">
        <f>V76-V77</f>
        <v>0</v>
      </c>
      <c r="W78" s="618">
        <f t="shared" ref="W78:AC78" si="27">W76-W77</f>
        <v>0</v>
      </c>
      <c r="X78" s="618">
        <f t="shared" si="27"/>
        <v>0</v>
      </c>
      <c r="Y78" s="618">
        <f t="shared" si="27"/>
        <v>0</v>
      </c>
      <c r="Z78" s="620">
        <f t="shared" si="27"/>
        <v>0</v>
      </c>
      <c r="AA78" s="2167">
        <f t="shared" si="27"/>
        <v>0</v>
      </c>
      <c r="AB78" s="618">
        <f t="shared" si="27"/>
        <v>0</v>
      </c>
      <c r="AC78" s="620">
        <f t="shared" si="27"/>
        <v>0</v>
      </c>
    </row>
    <row r="79" spans="1:29" s="529" customFormat="1" ht="20.25" customHeight="1" thickBot="1">
      <c r="A79" s="308"/>
      <c r="B79" s="858" t="s">
        <v>645</v>
      </c>
      <c r="C79" s="859"/>
      <c r="D79" s="1572"/>
      <c r="E79" s="1572"/>
      <c r="F79" s="1572"/>
      <c r="G79" s="1572"/>
      <c r="H79" s="1572"/>
      <c r="I79" s="1572"/>
      <c r="J79" s="1572"/>
      <c r="K79" s="1572"/>
      <c r="L79" s="1572"/>
      <c r="M79" s="1572"/>
      <c r="N79" s="1572"/>
      <c r="O79" s="1572"/>
      <c r="P79" s="1572"/>
      <c r="Q79" s="1572"/>
      <c r="R79" s="1573"/>
      <c r="S79" s="1427"/>
      <c r="T79" s="1427"/>
      <c r="U79" s="1427"/>
      <c r="V79" s="1571"/>
      <c r="W79" s="1572"/>
      <c r="X79" s="1572"/>
      <c r="Y79" s="1572"/>
      <c r="Z79" s="1572"/>
      <c r="AA79" s="1572"/>
      <c r="AB79" s="1572"/>
      <c r="AC79" s="1573"/>
    </row>
    <row r="80" spans="1:29" s="79" customFormat="1" ht="12.75" customHeight="1" outlineLevel="1">
      <c r="A80" s="308"/>
      <c r="B80" s="3749" t="s">
        <v>207</v>
      </c>
      <c r="C80" s="3750"/>
      <c r="D80" s="462"/>
      <c r="E80" s="463"/>
      <c r="F80" s="463"/>
      <c r="G80" s="463"/>
      <c r="H80" s="1419"/>
      <c r="I80" s="462"/>
      <c r="J80" s="463"/>
      <c r="K80" s="463"/>
      <c r="L80" s="463"/>
      <c r="M80" s="562"/>
      <c r="N80" s="462"/>
      <c r="O80" s="463"/>
      <c r="P80" s="463"/>
      <c r="Q80" s="463"/>
      <c r="R80" s="562"/>
      <c r="S80"/>
      <c r="T80"/>
      <c r="U80"/>
      <c r="V80" s="1926"/>
      <c r="W80" s="508"/>
      <c r="X80" s="508"/>
      <c r="Y80" s="508"/>
      <c r="Z80" s="1939"/>
      <c r="AA80" s="1926"/>
      <c r="AB80" s="508"/>
      <c r="AC80" s="587"/>
    </row>
    <row r="81" spans="1:29" outlineLevel="1">
      <c r="A81" s="308"/>
      <c r="B81" s="3747" t="s">
        <v>595</v>
      </c>
      <c r="C81" s="3748"/>
      <c r="D81" s="514"/>
      <c r="E81" s="513"/>
      <c r="F81" s="513"/>
      <c r="G81" s="513"/>
      <c r="H81" s="702"/>
      <c r="I81" s="514"/>
      <c r="J81" s="513"/>
      <c r="K81" s="513"/>
      <c r="L81" s="513"/>
      <c r="M81" s="515"/>
      <c r="N81" s="514"/>
      <c r="O81" s="513"/>
      <c r="P81" s="513"/>
      <c r="Q81" s="513"/>
      <c r="R81" s="515"/>
      <c r="V81" s="517"/>
      <c r="W81" s="518"/>
      <c r="X81" s="518"/>
      <c r="Y81" s="518"/>
      <c r="Z81" s="1453"/>
      <c r="AA81" s="517"/>
      <c r="AB81" s="518"/>
      <c r="AC81" s="519"/>
    </row>
    <row r="82" spans="1:29" outlineLevel="1">
      <c r="A82" s="308"/>
      <c r="B82" s="3747" t="s">
        <v>637</v>
      </c>
      <c r="C82" s="3748"/>
      <c r="D82" s="514"/>
      <c r="E82" s="513"/>
      <c r="F82" s="513"/>
      <c r="G82" s="513"/>
      <c r="H82" s="702"/>
      <c r="I82" s="514"/>
      <c r="J82" s="513"/>
      <c r="K82" s="513"/>
      <c r="L82" s="513"/>
      <c r="M82" s="515"/>
      <c r="N82" s="514"/>
      <c r="O82" s="513"/>
      <c r="P82" s="513"/>
      <c r="Q82" s="513"/>
      <c r="R82" s="515"/>
      <c r="V82" s="517"/>
      <c r="W82" s="518"/>
      <c r="X82" s="518"/>
      <c r="Y82" s="518"/>
      <c r="Z82" s="1453"/>
      <c r="AA82" s="517"/>
      <c r="AB82" s="518"/>
      <c r="AC82" s="519"/>
    </row>
    <row r="83" spans="1:29" outlineLevel="1">
      <c r="A83" s="308"/>
      <c r="B83" s="3747" t="s">
        <v>638</v>
      </c>
      <c r="C83" s="3748"/>
      <c r="D83" s="514"/>
      <c r="E83" s="513"/>
      <c r="F83" s="513"/>
      <c r="G83" s="513"/>
      <c r="H83" s="702"/>
      <c r="I83" s="514"/>
      <c r="J83" s="513"/>
      <c r="K83" s="513"/>
      <c r="L83" s="513"/>
      <c r="M83" s="515"/>
      <c r="N83" s="514"/>
      <c r="O83" s="513"/>
      <c r="P83" s="513"/>
      <c r="Q83" s="513"/>
      <c r="R83" s="515"/>
      <c r="V83" s="517"/>
      <c r="W83" s="518"/>
      <c r="X83" s="518"/>
      <c r="Y83" s="518"/>
      <c r="Z83" s="1453"/>
      <c r="AA83" s="517"/>
      <c r="AB83" s="518"/>
      <c r="AC83" s="519"/>
    </row>
    <row r="84" spans="1:29" s="79" customFormat="1" ht="12.75" customHeight="1" outlineLevel="1">
      <c r="A84" s="308"/>
      <c r="B84" s="3753" t="s">
        <v>615</v>
      </c>
      <c r="C84" s="3754"/>
      <c r="D84" s="517">
        <f>D81+D82+D83</f>
        <v>0</v>
      </c>
      <c r="E84" s="518">
        <f t="shared" ref="E84:R84" si="28">E81+E82+E83</f>
        <v>0</v>
      </c>
      <c r="F84" s="518">
        <f t="shared" si="28"/>
        <v>0</v>
      </c>
      <c r="G84" s="518">
        <f t="shared" si="28"/>
        <v>0</v>
      </c>
      <c r="H84" s="1453">
        <f t="shared" si="28"/>
        <v>0</v>
      </c>
      <c r="I84" s="517">
        <f t="shared" si="28"/>
        <v>0</v>
      </c>
      <c r="J84" s="518">
        <f t="shared" ref="J84" si="29">J81+J82+J83</f>
        <v>0</v>
      </c>
      <c r="K84" s="518">
        <f t="shared" si="28"/>
        <v>0</v>
      </c>
      <c r="L84" s="518">
        <f t="shared" si="28"/>
        <v>0</v>
      </c>
      <c r="M84" s="519">
        <f t="shared" si="28"/>
        <v>0</v>
      </c>
      <c r="N84" s="517">
        <f t="shared" si="28"/>
        <v>0</v>
      </c>
      <c r="O84" s="518">
        <f t="shared" si="28"/>
        <v>0</v>
      </c>
      <c r="P84" s="518">
        <f t="shared" si="28"/>
        <v>0</v>
      </c>
      <c r="Q84" s="518">
        <f t="shared" si="28"/>
        <v>0</v>
      </c>
      <c r="R84" s="519">
        <f t="shared" si="28"/>
        <v>0</v>
      </c>
      <c r="S84"/>
      <c r="T84"/>
      <c r="U84"/>
      <c r="V84" s="517">
        <f>V81+V82+V83</f>
        <v>0</v>
      </c>
      <c r="W84" s="518">
        <f t="shared" ref="W84:AC84" si="30">W81+W82+W83</f>
        <v>0</v>
      </c>
      <c r="X84" s="518">
        <f t="shared" si="30"/>
        <v>0</v>
      </c>
      <c r="Y84" s="518">
        <f t="shared" si="30"/>
        <v>0</v>
      </c>
      <c r="Z84" s="1453">
        <f t="shared" si="30"/>
        <v>0</v>
      </c>
      <c r="AA84" s="517">
        <f t="shared" si="30"/>
        <v>0</v>
      </c>
      <c r="AB84" s="518">
        <f t="shared" si="30"/>
        <v>0</v>
      </c>
      <c r="AC84" s="519">
        <f t="shared" si="30"/>
        <v>0</v>
      </c>
    </row>
    <row r="85" spans="1:29" s="79" customFormat="1" ht="12.75" customHeight="1" outlineLevel="1">
      <c r="A85" s="308"/>
      <c r="B85" s="3747" t="s">
        <v>619</v>
      </c>
      <c r="C85" s="3748"/>
      <c r="D85" s="514"/>
      <c r="E85" s="513"/>
      <c r="F85" s="513"/>
      <c r="G85" s="513"/>
      <c r="H85" s="702"/>
      <c r="I85" s="483"/>
      <c r="J85" s="531"/>
      <c r="K85" s="531"/>
      <c r="L85" s="531"/>
      <c r="M85" s="489"/>
      <c r="N85" s="636"/>
      <c r="O85" s="532"/>
      <c r="P85" s="532"/>
      <c r="Q85" s="532"/>
      <c r="R85" s="579"/>
      <c r="S85"/>
      <c r="T85"/>
      <c r="U85"/>
      <c r="V85" s="517"/>
      <c r="W85" s="518"/>
      <c r="X85" s="518"/>
      <c r="Y85" s="518"/>
      <c r="Z85" s="1453"/>
      <c r="AA85" s="569"/>
      <c r="AB85" s="570"/>
      <c r="AC85" s="608"/>
    </row>
    <row r="86" spans="1:29" s="79" customFormat="1" ht="12.75" customHeight="1" outlineLevel="1">
      <c r="A86" s="308"/>
      <c r="B86" s="3747" t="s">
        <v>617</v>
      </c>
      <c r="C86" s="3748"/>
      <c r="D86" s="514"/>
      <c r="E86" s="513"/>
      <c r="F86" s="513"/>
      <c r="G86" s="513"/>
      <c r="H86" s="702"/>
      <c r="I86" s="514"/>
      <c r="J86" s="513"/>
      <c r="K86" s="513"/>
      <c r="L86" s="513"/>
      <c r="M86" s="515"/>
      <c r="N86" s="514"/>
      <c r="O86" s="513"/>
      <c r="P86" s="513"/>
      <c r="Q86" s="513"/>
      <c r="R86" s="515"/>
      <c r="S86"/>
      <c r="T86"/>
      <c r="U86"/>
      <c r="V86" s="517"/>
      <c r="W86" s="518"/>
      <c r="X86" s="518"/>
      <c r="Y86" s="518"/>
      <c r="Z86" s="1453"/>
      <c r="AA86" s="517"/>
      <c r="AB86" s="518"/>
      <c r="AC86" s="519"/>
    </row>
    <row r="87" spans="1:29" s="229" customFormat="1" ht="12.75" customHeight="1" outlineLevel="1">
      <c r="A87" s="308"/>
      <c r="B87" s="3751" t="s">
        <v>620</v>
      </c>
      <c r="C87" s="3752"/>
      <c r="D87" s="624">
        <f>D84+D85+D86</f>
        <v>0</v>
      </c>
      <c r="E87" s="617">
        <f t="shared" ref="E87" si="31">E84+E85+E86</f>
        <v>0</v>
      </c>
      <c r="F87" s="617">
        <f t="shared" ref="F87" si="32">F84+F85+F86</f>
        <v>0</v>
      </c>
      <c r="G87" s="617">
        <f t="shared" ref="G87" si="33">G84+G85+G86</f>
        <v>0</v>
      </c>
      <c r="H87" s="625">
        <f t="shared" ref="H87" si="34">H84+H85+H86</f>
        <v>0</v>
      </c>
      <c r="I87" s="624">
        <f t="shared" ref="I87" si="35">I84+I85+I86</f>
        <v>0</v>
      </c>
      <c r="J87" s="617">
        <f t="shared" ref="J87" si="36">J84+J85+J86</f>
        <v>0</v>
      </c>
      <c r="K87" s="617">
        <f t="shared" ref="K87" si="37">K84+K85+K86</f>
        <v>0</v>
      </c>
      <c r="L87" s="617">
        <f t="shared" ref="L87" si="38">L84+L85+L86</f>
        <v>0</v>
      </c>
      <c r="M87" s="1454">
        <f t="shared" ref="M87" si="39">M84+M85+M86</f>
        <v>0</v>
      </c>
      <c r="N87" s="624">
        <f t="shared" ref="N87" si="40">N84+N85+N86</f>
        <v>0</v>
      </c>
      <c r="O87" s="617">
        <f t="shared" ref="O87" si="41">O84+O85+O86</f>
        <v>0</v>
      </c>
      <c r="P87" s="617">
        <f t="shared" ref="P87" si="42">P84+P85+P86</f>
        <v>0</v>
      </c>
      <c r="Q87" s="617">
        <f t="shared" ref="Q87" si="43">Q84+Q85+Q86</f>
        <v>0</v>
      </c>
      <c r="R87" s="625">
        <f t="shared" ref="R87" si="44">R84+R85+R86</f>
        <v>0</v>
      </c>
      <c r="S87" s="1427"/>
      <c r="T87" s="1427"/>
      <c r="U87" s="1427"/>
      <c r="V87" s="624">
        <f>V84+V85+V86</f>
        <v>0</v>
      </c>
      <c r="W87" s="617">
        <f t="shared" ref="W87:AC87" si="45">W84+W85+W86</f>
        <v>0</v>
      </c>
      <c r="X87" s="617">
        <f t="shared" si="45"/>
        <v>0</v>
      </c>
      <c r="Y87" s="617">
        <f t="shared" si="45"/>
        <v>0</v>
      </c>
      <c r="Z87" s="625">
        <f t="shared" si="45"/>
        <v>0</v>
      </c>
      <c r="AA87" s="624">
        <f t="shared" si="45"/>
        <v>0</v>
      </c>
      <c r="AB87" s="617">
        <f t="shared" si="45"/>
        <v>0</v>
      </c>
      <c r="AC87" s="625">
        <f t="shared" si="45"/>
        <v>0</v>
      </c>
    </row>
    <row r="88" spans="1:29" s="79" customFormat="1" ht="12.75" customHeight="1" outlineLevel="1">
      <c r="A88" s="308"/>
      <c r="B88" s="3747" t="s">
        <v>641</v>
      </c>
      <c r="C88" s="3748"/>
      <c r="D88" s="514"/>
      <c r="E88" s="513"/>
      <c r="F88" s="513"/>
      <c r="G88" s="513"/>
      <c r="H88" s="702"/>
      <c r="I88" s="514"/>
      <c r="J88" s="513"/>
      <c r="K88" s="513"/>
      <c r="L88" s="513"/>
      <c r="M88" s="515"/>
      <c r="N88" s="514"/>
      <c r="O88" s="513"/>
      <c r="P88" s="513"/>
      <c r="Q88" s="513"/>
      <c r="R88" s="515"/>
      <c r="S88"/>
      <c r="T88"/>
      <c r="U88"/>
      <c r="V88" s="517"/>
      <c r="W88" s="518"/>
      <c r="X88" s="518"/>
      <c r="Y88" s="518"/>
      <c r="Z88" s="1453"/>
      <c r="AA88" s="517"/>
      <c r="AB88" s="518"/>
      <c r="AC88" s="519"/>
    </row>
    <row r="89" spans="1:29" s="79" customFormat="1" ht="12.75" customHeight="1" thickBot="1">
      <c r="A89" s="308"/>
      <c r="B89" s="3755" t="s">
        <v>621</v>
      </c>
      <c r="C89" s="3756"/>
      <c r="D89" s="619">
        <f>D87-D88</f>
        <v>0</v>
      </c>
      <c r="E89" s="618">
        <f t="shared" ref="E89:R89" si="46">E87-E88</f>
        <v>0</v>
      </c>
      <c r="F89" s="618">
        <f t="shared" si="46"/>
        <v>0</v>
      </c>
      <c r="G89" s="618">
        <f t="shared" si="46"/>
        <v>0</v>
      </c>
      <c r="H89" s="1455">
        <f t="shared" si="46"/>
        <v>0</v>
      </c>
      <c r="I89" s="619">
        <f t="shared" si="46"/>
        <v>0</v>
      </c>
      <c r="J89" s="618">
        <f t="shared" ref="J89" si="47">J87-J88</f>
        <v>0</v>
      </c>
      <c r="K89" s="618">
        <f t="shared" si="46"/>
        <v>0</v>
      </c>
      <c r="L89" s="618">
        <f t="shared" si="46"/>
        <v>0</v>
      </c>
      <c r="M89" s="620">
        <f t="shared" si="46"/>
        <v>0</v>
      </c>
      <c r="N89" s="619">
        <f t="shared" si="46"/>
        <v>0</v>
      </c>
      <c r="O89" s="618">
        <f t="shared" si="46"/>
        <v>0</v>
      </c>
      <c r="P89" s="618">
        <f t="shared" si="46"/>
        <v>0</v>
      </c>
      <c r="Q89" s="618">
        <f t="shared" si="46"/>
        <v>0</v>
      </c>
      <c r="R89" s="620">
        <f t="shared" si="46"/>
        <v>0</v>
      </c>
      <c r="S89"/>
      <c r="T89"/>
      <c r="U89"/>
      <c r="V89" s="2167">
        <f>V87-V88</f>
        <v>0</v>
      </c>
      <c r="W89" s="618">
        <f t="shared" ref="W89:AC89" si="48">W87-W88</f>
        <v>0</v>
      </c>
      <c r="X89" s="618">
        <f t="shared" si="48"/>
        <v>0</v>
      </c>
      <c r="Y89" s="618">
        <f t="shared" si="48"/>
        <v>0</v>
      </c>
      <c r="Z89" s="1455">
        <f t="shared" si="48"/>
        <v>0</v>
      </c>
      <c r="AA89" s="2167">
        <f t="shared" si="48"/>
        <v>0</v>
      </c>
      <c r="AB89" s="618">
        <f t="shared" si="48"/>
        <v>0</v>
      </c>
      <c r="AC89" s="620">
        <f t="shared" si="48"/>
        <v>0</v>
      </c>
    </row>
    <row r="90" spans="1:29" s="529" customFormat="1" ht="20.25" customHeight="1" thickBot="1">
      <c r="A90" s="308"/>
      <c r="B90" s="858" t="s">
        <v>646</v>
      </c>
      <c r="C90" s="859"/>
      <c r="D90" s="1572"/>
      <c r="E90" s="1572"/>
      <c r="F90" s="1572"/>
      <c r="G90" s="1572"/>
      <c r="H90" s="1572"/>
      <c r="I90" s="1572"/>
      <c r="J90" s="1572"/>
      <c r="K90" s="1572"/>
      <c r="L90" s="1572"/>
      <c r="M90" s="1572"/>
      <c r="N90" s="1572"/>
      <c r="O90" s="1572"/>
      <c r="P90" s="1572"/>
      <c r="Q90" s="1572"/>
      <c r="R90" s="1573"/>
      <c r="S90" s="1427"/>
      <c r="T90" s="1427"/>
      <c r="U90" s="1427"/>
      <c r="V90" s="1571"/>
      <c r="W90" s="1572"/>
      <c r="X90" s="1572"/>
      <c r="Y90" s="1572"/>
      <c r="Z90" s="1572"/>
      <c r="AA90" s="1572"/>
      <c r="AB90" s="1572"/>
      <c r="AC90" s="1573"/>
    </row>
    <row r="91" spans="1:29" s="79" customFormat="1" ht="12.75" customHeight="1" outlineLevel="1">
      <c r="A91" s="308"/>
      <c r="B91" s="3749" t="s">
        <v>207</v>
      </c>
      <c r="C91" s="3750"/>
      <c r="D91" s="462"/>
      <c r="E91" s="463"/>
      <c r="F91" s="463"/>
      <c r="G91" s="463"/>
      <c r="H91" s="1419"/>
      <c r="I91" s="462"/>
      <c r="J91" s="463"/>
      <c r="K91" s="463"/>
      <c r="L91" s="463"/>
      <c r="M91" s="562"/>
      <c r="N91" s="462"/>
      <c r="O91" s="463"/>
      <c r="P91" s="463"/>
      <c r="Q91" s="463"/>
      <c r="R91" s="562"/>
      <c r="S91"/>
      <c r="T91"/>
      <c r="U91"/>
      <c r="V91" s="1926"/>
      <c r="W91" s="508"/>
      <c r="X91" s="508"/>
      <c r="Y91" s="508"/>
      <c r="Z91" s="1939"/>
      <c r="AA91" s="1926"/>
      <c r="AB91" s="508"/>
      <c r="AC91" s="587"/>
    </row>
    <row r="92" spans="1:29" outlineLevel="1">
      <c r="A92" s="308"/>
      <c r="B92" s="3747" t="s">
        <v>595</v>
      </c>
      <c r="C92" s="3748"/>
      <c r="D92" s="514"/>
      <c r="E92" s="513"/>
      <c r="F92" s="513"/>
      <c r="G92" s="513"/>
      <c r="H92" s="702"/>
      <c r="I92" s="514"/>
      <c r="J92" s="513"/>
      <c r="K92" s="513"/>
      <c r="L92" s="513"/>
      <c r="M92" s="515"/>
      <c r="N92" s="514"/>
      <c r="O92" s="513"/>
      <c r="P92" s="513"/>
      <c r="Q92" s="513"/>
      <c r="R92" s="515"/>
      <c r="V92" s="517"/>
      <c r="W92" s="518"/>
      <c r="X92" s="518"/>
      <c r="Y92" s="518"/>
      <c r="Z92" s="1453"/>
      <c r="AA92" s="517"/>
      <c r="AB92" s="518"/>
      <c r="AC92" s="519"/>
    </row>
    <row r="93" spans="1:29" outlineLevel="1">
      <c r="A93" s="308"/>
      <c r="B93" s="3747" t="s">
        <v>637</v>
      </c>
      <c r="C93" s="3748"/>
      <c r="D93" s="514"/>
      <c r="E93" s="513"/>
      <c r="F93" s="513"/>
      <c r="G93" s="513"/>
      <c r="H93" s="702"/>
      <c r="I93" s="514"/>
      <c r="J93" s="513"/>
      <c r="K93" s="513"/>
      <c r="L93" s="513"/>
      <c r="M93" s="515"/>
      <c r="N93" s="514"/>
      <c r="O93" s="513"/>
      <c r="P93" s="513"/>
      <c r="Q93" s="513"/>
      <c r="R93" s="515"/>
      <c r="V93" s="517"/>
      <c r="W93" s="518"/>
      <c r="X93" s="518"/>
      <c r="Y93" s="518"/>
      <c r="Z93" s="1453"/>
      <c r="AA93" s="517"/>
      <c r="AB93" s="518"/>
      <c r="AC93" s="519"/>
    </row>
    <row r="94" spans="1:29" outlineLevel="1">
      <c r="A94" s="308"/>
      <c r="B94" s="3747" t="s">
        <v>638</v>
      </c>
      <c r="C94" s="3748"/>
      <c r="D94" s="514"/>
      <c r="E94" s="513"/>
      <c r="F94" s="513"/>
      <c r="G94" s="513"/>
      <c r="H94" s="702"/>
      <c r="I94" s="514"/>
      <c r="J94" s="513"/>
      <c r="K94" s="513"/>
      <c r="L94" s="513"/>
      <c r="M94" s="515"/>
      <c r="N94" s="514"/>
      <c r="O94" s="513"/>
      <c r="P94" s="513"/>
      <c r="Q94" s="513"/>
      <c r="R94" s="515"/>
      <c r="V94" s="517"/>
      <c r="W94" s="518"/>
      <c r="X94" s="518"/>
      <c r="Y94" s="518"/>
      <c r="Z94" s="1453"/>
      <c r="AA94" s="517"/>
      <c r="AB94" s="518"/>
      <c r="AC94" s="519"/>
    </row>
    <row r="95" spans="1:29" s="79" customFormat="1" ht="12.75" customHeight="1" outlineLevel="1">
      <c r="A95" s="308"/>
      <c r="B95" s="3753" t="s">
        <v>615</v>
      </c>
      <c r="C95" s="3754"/>
      <c r="D95" s="517">
        <f>D92+D93+D94</f>
        <v>0</v>
      </c>
      <c r="E95" s="518">
        <f t="shared" ref="E95:R95" si="49">E92+E93+E94</f>
        <v>0</v>
      </c>
      <c r="F95" s="518">
        <f t="shared" si="49"/>
        <v>0</v>
      </c>
      <c r="G95" s="518">
        <f t="shared" si="49"/>
        <v>0</v>
      </c>
      <c r="H95" s="1453">
        <f t="shared" si="49"/>
        <v>0</v>
      </c>
      <c r="I95" s="517">
        <f t="shared" si="49"/>
        <v>0</v>
      </c>
      <c r="J95" s="518">
        <f t="shared" ref="J95" si="50">J92+J93+J94</f>
        <v>0</v>
      </c>
      <c r="K95" s="518">
        <f t="shared" si="49"/>
        <v>0</v>
      </c>
      <c r="L95" s="518">
        <f t="shared" si="49"/>
        <v>0</v>
      </c>
      <c r="M95" s="519">
        <f t="shared" si="49"/>
        <v>0</v>
      </c>
      <c r="N95" s="517">
        <f t="shared" si="49"/>
        <v>0</v>
      </c>
      <c r="O95" s="518">
        <f t="shared" si="49"/>
        <v>0</v>
      </c>
      <c r="P95" s="518">
        <f t="shared" si="49"/>
        <v>0</v>
      </c>
      <c r="Q95" s="518">
        <f t="shared" si="49"/>
        <v>0</v>
      </c>
      <c r="R95" s="519">
        <f t="shared" si="49"/>
        <v>0</v>
      </c>
      <c r="S95"/>
      <c r="T95"/>
      <c r="U95"/>
      <c r="V95" s="517">
        <f>V92+V93+V94</f>
        <v>0</v>
      </c>
      <c r="W95" s="518">
        <f t="shared" ref="W95:AC95" si="51">W92+W93+W94</f>
        <v>0</v>
      </c>
      <c r="X95" s="518">
        <f t="shared" si="51"/>
        <v>0</v>
      </c>
      <c r="Y95" s="518">
        <f t="shared" si="51"/>
        <v>0</v>
      </c>
      <c r="Z95" s="1453">
        <f t="shared" si="51"/>
        <v>0</v>
      </c>
      <c r="AA95" s="517">
        <f t="shared" si="51"/>
        <v>0</v>
      </c>
      <c r="AB95" s="518">
        <f t="shared" si="51"/>
        <v>0</v>
      </c>
      <c r="AC95" s="519">
        <f t="shared" si="51"/>
        <v>0</v>
      </c>
    </row>
    <row r="96" spans="1:29" s="79" customFormat="1" ht="12.75" customHeight="1" outlineLevel="1">
      <c r="A96" s="308"/>
      <c r="B96" s="3747" t="s">
        <v>619</v>
      </c>
      <c r="C96" s="3748"/>
      <c r="D96" s="514"/>
      <c r="E96" s="513"/>
      <c r="F96" s="513"/>
      <c r="G96" s="513"/>
      <c r="H96" s="702"/>
      <c r="I96" s="483"/>
      <c r="J96" s="531"/>
      <c r="K96" s="531"/>
      <c r="L96" s="531"/>
      <c r="M96" s="489"/>
      <c r="N96" s="636"/>
      <c r="O96" s="532"/>
      <c r="P96" s="532"/>
      <c r="Q96" s="532"/>
      <c r="R96" s="579"/>
      <c r="S96"/>
      <c r="T96"/>
      <c r="U96"/>
      <c r="V96" s="517"/>
      <c r="W96" s="518"/>
      <c r="X96" s="518"/>
      <c r="Y96" s="518"/>
      <c r="Z96" s="1453"/>
      <c r="AA96" s="569"/>
      <c r="AB96" s="570"/>
      <c r="AC96" s="608"/>
    </row>
    <row r="97" spans="1:29" s="79" customFormat="1" ht="12.75" customHeight="1" outlineLevel="1">
      <c r="A97" s="308"/>
      <c r="B97" s="3747" t="s">
        <v>617</v>
      </c>
      <c r="C97" s="3748"/>
      <c r="D97" s="514"/>
      <c r="E97" s="513"/>
      <c r="F97" s="513"/>
      <c r="G97" s="513"/>
      <c r="H97" s="702"/>
      <c r="I97" s="514"/>
      <c r="J97" s="513"/>
      <c r="K97" s="513"/>
      <c r="L97" s="513"/>
      <c r="M97" s="515"/>
      <c r="N97" s="514"/>
      <c r="O97" s="513"/>
      <c r="P97" s="513"/>
      <c r="Q97" s="513"/>
      <c r="R97" s="515"/>
      <c r="S97"/>
      <c r="T97"/>
      <c r="U97"/>
      <c r="V97" s="517"/>
      <c r="W97" s="518"/>
      <c r="X97" s="518"/>
      <c r="Y97" s="518"/>
      <c r="Z97" s="1453"/>
      <c r="AA97" s="517"/>
      <c r="AB97" s="518"/>
      <c r="AC97" s="519"/>
    </row>
    <row r="98" spans="1:29" s="229" customFormat="1" ht="12.75" customHeight="1" outlineLevel="1">
      <c r="A98" s="308"/>
      <c r="B98" s="3751" t="s">
        <v>620</v>
      </c>
      <c r="C98" s="3752"/>
      <c r="D98" s="624">
        <f>D95+D96+D97</f>
        <v>0</v>
      </c>
      <c r="E98" s="617">
        <f t="shared" ref="E98" si="52">E95+E96+E97</f>
        <v>0</v>
      </c>
      <c r="F98" s="617">
        <f t="shared" ref="F98" si="53">F95+F96+F97</f>
        <v>0</v>
      </c>
      <c r="G98" s="617">
        <f t="shared" ref="G98" si="54">G95+G96+G97</f>
        <v>0</v>
      </c>
      <c r="H98" s="625">
        <f t="shared" ref="H98" si="55">H95+H96+H97</f>
        <v>0</v>
      </c>
      <c r="I98" s="624">
        <f t="shared" ref="I98" si="56">I95+I96+I97</f>
        <v>0</v>
      </c>
      <c r="J98" s="617">
        <f t="shared" ref="J98" si="57">J95+J96+J97</f>
        <v>0</v>
      </c>
      <c r="K98" s="617">
        <f t="shared" ref="K98" si="58">K95+K96+K97</f>
        <v>0</v>
      </c>
      <c r="L98" s="617">
        <f t="shared" ref="L98" si="59">L95+L96+L97</f>
        <v>0</v>
      </c>
      <c r="M98" s="1454">
        <f t="shared" ref="M98" si="60">M95+M96+M97</f>
        <v>0</v>
      </c>
      <c r="N98" s="624">
        <f t="shared" ref="N98" si="61">N95+N96+N97</f>
        <v>0</v>
      </c>
      <c r="O98" s="617">
        <f t="shared" ref="O98" si="62">O95+O96+O97</f>
        <v>0</v>
      </c>
      <c r="P98" s="617">
        <f t="shared" ref="P98" si="63">P95+P96+P97</f>
        <v>0</v>
      </c>
      <c r="Q98" s="617">
        <f t="shared" ref="Q98" si="64">Q95+Q96+Q97</f>
        <v>0</v>
      </c>
      <c r="R98" s="625">
        <f t="shared" ref="R98" si="65">R95+R96+R97</f>
        <v>0</v>
      </c>
      <c r="S98" s="1427"/>
      <c r="T98" s="1427"/>
      <c r="U98" s="1427"/>
      <c r="V98" s="624">
        <f>V95+V96+V97</f>
        <v>0</v>
      </c>
      <c r="W98" s="617">
        <f t="shared" ref="W98:AC98" si="66">W95+W96+W97</f>
        <v>0</v>
      </c>
      <c r="X98" s="617">
        <f t="shared" si="66"/>
        <v>0</v>
      </c>
      <c r="Y98" s="617">
        <f t="shared" si="66"/>
        <v>0</v>
      </c>
      <c r="Z98" s="625">
        <f t="shared" si="66"/>
        <v>0</v>
      </c>
      <c r="AA98" s="624">
        <f t="shared" si="66"/>
        <v>0</v>
      </c>
      <c r="AB98" s="617">
        <f t="shared" si="66"/>
        <v>0</v>
      </c>
      <c r="AC98" s="625">
        <f t="shared" si="66"/>
        <v>0</v>
      </c>
    </row>
    <row r="99" spans="1:29" s="79" customFormat="1" ht="12.75" customHeight="1" outlineLevel="1">
      <c r="A99" s="308"/>
      <c r="B99" s="3747" t="s">
        <v>641</v>
      </c>
      <c r="C99" s="3748"/>
      <c r="D99" s="514"/>
      <c r="E99" s="513"/>
      <c r="F99" s="513"/>
      <c r="G99" s="513"/>
      <c r="H99" s="702"/>
      <c r="I99" s="514"/>
      <c r="J99" s="513"/>
      <c r="K99" s="513"/>
      <c r="L99" s="513"/>
      <c r="M99" s="515"/>
      <c r="N99" s="514"/>
      <c r="O99" s="513"/>
      <c r="P99" s="513"/>
      <c r="Q99" s="513"/>
      <c r="R99" s="515"/>
      <c r="S99"/>
      <c r="T99"/>
      <c r="U99"/>
      <c r="V99" s="517"/>
      <c r="W99" s="518"/>
      <c r="X99" s="518"/>
      <c r="Y99" s="518"/>
      <c r="Z99" s="1453"/>
      <c r="AA99" s="517"/>
      <c r="AB99" s="518"/>
      <c r="AC99" s="519"/>
    </row>
    <row r="100" spans="1:29" s="79" customFormat="1" ht="12.75" customHeight="1" thickBot="1">
      <c r="A100" s="308"/>
      <c r="B100" s="3755" t="s">
        <v>621</v>
      </c>
      <c r="C100" s="3756"/>
      <c r="D100" s="619">
        <f>D98-D99</f>
        <v>0</v>
      </c>
      <c r="E100" s="618">
        <f t="shared" ref="E100:R100" si="67">E98-E99</f>
        <v>0</v>
      </c>
      <c r="F100" s="618">
        <f t="shared" si="67"/>
        <v>0</v>
      </c>
      <c r="G100" s="618">
        <f t="shared" si="67"/>
        <v>0</v>
      </c>
      <c r="H100" s="1455">
        <f t="shared" si="67"/>
        <v>0</v>
      </c>
      <c r="I100" s="619">
        <f t="shared" si="67"/>
        <v>0</v>
      </c>
      <c r="J100" s="618">
        <f t="shared" ref="J100" si="68">J98-J99</f>
        <v>0</v>
      </c>
      <c r="K100" s="618">
        <f t="shared" si="67"/>
        <v>0</v>
      </c>
      <c r="L100" s="618">
        <f t="shared" si="67"/>
        <v>0</v>
      </c>
      <c r="M100" s="620">
        <f t="shared" si="67"/>
        <v>0</v>
      </c>
      <c r="N100" s="619">
        <f t="shared" si="67"/>
        <v>0</v>
      </c>
      <c r="O100" s="618">
        <f t="shared" si="67"/>
        <v>0</v>
      </c>
      <c r="P100" s="618">
        <f t="shared" si="67"/>
        <v>0</v>
      </c>
      <c r="Q100" s="618">
        <f t="shared" si="67"/>
        <v>0</v>
      </c>
      <c r="R100" s="620">
        <f t="shared" si="67"/>
        <v>0</v>
      </c>
      <c r="S100"/>
      <c r="T100"/>
      <c r="U100"/>
      <c r="V100" s="2167">
        <f>V98-V99</f>
        <v>0</v>
      </c>
      <c r="W100" s="618">
        <f t="shared" ref="W100:AC100" si="69">W98-W99</f>
        <v>0</v>
      </c>
      <c r="X100" s="618">
        <f t="shared" si="69"/>
        <v>0</v>
      </c>
      <c r="Y100" s="618">
        <f t="shared" si="69"/>
        <v>0</v>
      </c>
      <c r="Z100" s="1455">
        <f t="shared" si="69"/>
        <v>0</v>
      </c>
      <c r="AA100" s="2167">
        <f t="shared" si="69"/>
        <v>0</v>
      </c>
      <c r="AB100" s="618">
        <f t="shared" si="69"/>
        <v>0</v>
      </c>
      <c r="AC100" s="620">
        <f t="shared" si="69"/>
        <v>0</v>
      </c>
    </row>
    <row r="101" spans="1:29" s="529" customFormat="1" ht="20.25" customHeight="1" thickBot="1">
      <c r="A101" s="308"/>
      <c r="B101" s="858" t="s">
        <v>647</v>
      </c>
      <c r="C101" s="859"/>
      <c r="D101" s="1572"/>
      <c r="E101" s="1572"/>
      <c r="F101" s="1572"/>
      <c r="G101" s="1572"/>
      <c r="H101" s="1572"/>
      <c r="I101" s="1572"/>
      <c r="J101" s="1572"/>
      <c r="K101" s="1572"/>
      <c r="L101" s="1572"/>
      <c r="M101" s="1572"/>
      <c r="N101" s="1572"/>
      <c r="O101" s="1572"/>
      <c r="P101" s="1572"/>
      <c r="Q101" s="1572"/>
      <c r="R101" s="1573"/>
      <c r="S101" s="1427"/>
      <c r="T101" s="1427"/>
      <c r="U101" s="1427"/>
      <c r="V101" s="1571"/>
      <c r="W101" s="1572"/>
      <c r="X101" s="1572"/>
      <c r="Y101" s="1572"/>
      <c r="Z101" s="1572"/>
      <c r="AA101" s="1572"/>
      <c r="AB101" s="1572"/>
      <c r="AC101" s="1573"/>
    </row>
    <row r="102" spans="1:29" s="79" customFormat="1" ht="12.75" customHeight="1" outlineLevel="1">
      <c r="A102" s="308"/>
      <c r="B102" s="3810" t="s">
        <v>207</v>
      </c>
      <c r="C102" s="3811"/>
      <c r="D102" s="1761">
        <f t="shared" ref="D102:R102" si="70">D69+D80+D91</f>
        <v>0</v>
      </c>
      <c r="E102" s="1762">
        <f t="shared" si="70"/>
        <v>0</v>
      </c>
      <c r="F102" s="1762">
        <f t="shared" si="70"/>
        <v>0</v>
      </c>
      <c r="G102" s="1762">
        <f t="shared" si="70"/>
        <v>0</v>
      </c>
      <c r="H102" s="1763">
        <f t="shared" si="70"/>
        <v>0</v>
      </c>
      <c r="I102" s="1761">
        <f t="shared" si="70"/>
        <v>0</v>
      </c>
      <c r="J102" s="1762">
        <f t="shared" si="70"/>
        <v>0</v>
      </c>
      <c r="K102" s="1762">
        <f t="shared" si="70"/>
        <v>0</v>
      </c>
      <c r="L102" s="1762">
        <f t="shared" si="70"/>
        <v>0</v>
      </c>
      <c r="M102" s="1763">
        <f t="shared" si="70"/>
        <v>0</v>
      </c>
      <c r="N102" s="1761">
        <f t="shared" si="70"/>
        <v>0</v>
      </c>
      <c r="O102" s="1762">
        <f t="shared" si="70"/>
        <v>0</v>
      </c>
      <c r="P102" s="1762">
        <f t="shared" si="70"/>
        <v>0</v>
      </c>
      <c r="Q102" s="1762">
        <f t="shared" si="70"/>
        <v>0</v>
      </c>
      <c r="R102" s="1763">
        <f t="shared" si="70"/>
        <v>0</v>
      </c>
      <c r="S102"/>
      <c r="T102"/>
      <c r="U102"/>
      <c r="V102" s="1761">
        <f t="shared" ref="V102:AC102" si="71">V69+V80+V91</f>
        <v>0</v>
      </c>
      <c r="W102" s="1762">
        <f t="shared" si="71"/>
        <v>0</v>
      </c>
      <c r="X102" s="1762">
        <f t="shared" si="71"/>
        <v>0</v>
      </c>
      <c r="Y102" s="1762">
        <f t="shared" si="71"/>
        <v>0</v>
      </c>
      <c r="Z102" s="1763">
        <f t="shared" si="71"/>
        <v>0</v>
      </c>
      <c r="AA102" s="1761">
        <f t="shared" si="71"/>
        <v>0</v>
      </c>
      <c r="AB102" s="1762">
        <f t="shared" si="71"/>
        <v>0</v>
      </c>
      <c r="AC102" s="1763">
        <f t="shared" si="71"/>
        <v>0</v>
      </c>
    </row>
    <row r="103" spans="1:29" outlineLevel="1">
      <c r="A103" s="308"/>
      <c r="B103" s="3789" t="s">
        <v>595</v>
      </c>
      <c r="C103" s="3790"/>
      <c r="D103" s="305">
        <f t="shared" ref="D103:R103" si="72">D70+D81+D92</f>
        <v>0</v>
      </c>
      <c r="E103" s="521">
        <f t="shared" si="72"/>
        <v>0</v>
      </c>
      <c r="F103" s="521">
        <f t="shared" si="72"/>
        <v>0</v>
      </c>
      <c r="G103" s="521">
        <f t="shared" si="72"/>
        <v>0</v>
      </c>
      <c r="H103" s="329">
        <f t="shared" si="72"/>
        <v>0</v>
      </c>
      <c r="I103" s="305">
        <f t="shared" si="72"/>
        <v>0</v>
      </c>
      <c r="J103" s="521">
        <f t="shared" si="72"/>
        <v>0</v>
      </c>
      <c r="K103" s="521">
        <f t="shared" si="72"/>
        <v>0</v>
      </c>
      <c r="L103" s="521">
        <f t="shared" si="72"/>
        <v>0</v>
      </c>
      <c r="M103" s="329">
        <f t="shared" si="72"/>
        <v>0</v>
      </c>
      <c r="N103" s="305">
        <f t="shared" si="72"/>
        <v>0</v>
      </c>
      <c r="O103" s="521">
        <f t="shared" si="72"/>
        <v>0</v>
      </c>
      <c r="P103" s="521">
        <f t="shared" si="72"/>
        <v>0</v>
      </c>
      <c r="Q103" s="521">
        <f t="shared" si="72"/>
        <v>0</v>
      </c>
      <c r="R103" s="329">
        <f t="shared" si="72"/>
        <v>0</v>
      </c>
      <c r="V103" s="305">
        <f t="shared" ref="V103:AC103" si="73">V70+V81+V92</f>
        <v>0</v>
      </c>
      <c r="W103" s="521">
        <f t="shared" si="73"/>
        <v>0</v>
      </c>
      <c r="X103" s="521">
        <f t="shared" si="73"/>
        <v>0</v>
      </c>
      <c r="Y103" s="521">
        <f t="shared" si="73"/>
        <v>0</v>
      </c>
      <c r="Z103" s="329">
        <f t="shared" si="73"/>
        <v>0</v>
      </c>
      <c r="AA103" s="305">
        <f t="shared" si="73"/>
        <v>0</v>
      </c>
      <c r="AB103" s="521">
        <f t="shared" si="73"/>
        <v>0</v>
      </c>
      <c r="AC103" s="329">
        <f t="shared" si="73"/>
        <v>0</v>
      </c>
    </row>
    <row r="104" spans="1:29" outlineLevel="1">
      <c r="A104" s="308"/>
      <c r="B104" s="3789" t="s">
        <v>637</v>
      </c>
      <c r="C104" s="3790"/>
      <c r="D104" s="305">
        <f t="shared" ref="D104:R104" si="74">D71+D82+D93</f>
        <v>0</v>
      </c>
      <c r="E104" s="521">
        <f t="shared" si="74"/>
        <v>0</v>
      </c>
      <c r="F104" s="521">
        <f t="shared" si="74"/>
        <v>0</v>
      </c>
      <c r="G104" s="521">
        <f t="shared" si="74"/>
        <v>0</v>
      </c>
      <c r="H104" s="329">
        <f t="shared" si="74"/>
        <v>0</v>
      </c>
      <c r="I104" s="305">
        <f t="shared" si="74"/>
        <v>0</v>
      </c>
      <c r="J104" s="521">
        <f t="shared" si="74"/>
        <v>0</v>
      </c>
      <c r="K104" s="521">
        <f t="shared" si="74"/>
        <v>0</v>
      </c>
      <c r="L104" s="521">
        <f t="shared" si="74"/>
        <v>0</v>
      </c>
      <c r="M104" s="329">
        <f t="shared" si="74"/>
        <v>0</v>
      </c>
      <c r="N104" s="305">
        <f t="shared" si="74"/>
        <v>0</v>
      </c>
      <c r="O104" s="521">
        <f t="shared" si="74"/>
        <v>0</v>
      </c>
      <c r="P104" s="521">
        <f t="shared" si="74"/>
        <v>0</v>
      </c>
      <c r="Q104" s="521">
        <f t="shared" si="74"/>
        <v>0</v>
      </c>
      <c r="R104" s="329">
        <f t="shared" si="74"/>
        <v>0</v>
      </c>
      <c r="V104" s="305">
        <f t="shared" ref="V104:AC104" si="75">V71+V82+V93</f>
        <v>0</v>
      </c>
      <c r="W104" s="521">
        <f t="shared" si="75"/>
        <v>0</v>
      </c>
      <c r="X104" s="521">
        <f t="shared" si="75"/>
        <v>0</v>
      </c>
      <c r="Y104" s="521">
        <f t="shared" si="75"/>
        <v>0</v>
      </c>
      <c r="Z104" s="329">
        <f t="shared" si="75"/>
        <v>0</v>
      </c>
      <c r="AA104" s="305">
        <f t="shared" si="75"/>
        <v>0</v>
      </c>
      <c r="AB104" s="521">
        <f t="shared" si="75"/>
        <v>0</v>
      </c>
      <c r="AC104" s="329">
        <f t="shared" si="75"/>
        <v>0</v>
      </c>
    </row>
    <row r="105" spans="1:29" outlineLevel="1">
      <c r="A105" s="308"/>
      <c r="B105" s="3789" t="s">
        <v>638</v>
      </c>
      <c r="C105" s="3790"/>
      <c r="D105" s="305">
        <f t="shared" ref="D105:R105" si="76">D72+D83+D94</f>
        <v>0</v>
      </c>
      <c r="E105" s="521">
        <f t="shared" si="76"/>
        <v>0</v>
      </c>
      <c r="F105" s="521">
        <f t="shared" si="76"/>
        <v>0</v>
      </c>
      <c r="G105" s="521">
        <f t="shared" si="76"/>
        <v>0</v>
      </c>
      <c r="H105" s="329">
        <f t="shared" si="76"/>
        <v>0</v>
      </c>
      <c r="I105" s="305">
        <f t="shared" si="76"/>
        <v>0</v>
      </c>
      <c r="J105" s="521">
        <f t="shared" si="76"/>
        <v>0</v>
      </c>
      <c r="K105" s="521">
        <f t="shared" si="76"/>
        <v>0</v>
      </c>
      <c r="L105" s="521">
        <f t="shared" si="76"/>
        <v>0</v>
      </c>
      <c r="M105" s="329">
        <f t="shared" si="76"/>
        <v>0</v>
      </c>
      <c r="N105" s="305">
        <f t="shared" si="76"/>
        <v>0</v>
      </c>
      <c r="O105" s="521">
        <f t="shared" si="76"/>
        <v>0</v>
      </c>
      <c r="P105" s="521">
        <f t="shared" si="76"/>
        <v>0</v>
      </c>
      <c r="Q105" s="521">
        <f t="shared" si="76"/>
        <v>0</v>
      </c>
      <c r="R105" s="329">
        <f t="shared" si="76"/>
        <v>0</v>
      </c>
      <c r="V105" s="305">
        <f t="shared" ref="V105:AC105" si="77">V72+V83+V94</f>
        <v>0</v>
      </c>
      <c r="W105" s="521">
        <f t="shared" si="77"/>
        <v>0</v>
      </c>
      <c r="X105" s="521">
        <f t="shared" si="77"/>
        <v>0</v>
      </c>
      <c r="Y105" s="521">
        <f t="shared" si="77"/>
        <v>0</v>
      </c>
      <c r="Z105" s="329">
        <f t="shared" si="77"/>
        <v>0</v>
      </c>
      <c r="AA105" s="305">
        <f t="shared" si="77"/>
        <v>0</v>
      </c>
      <c r="AB105" s="521">
        <f t="shared" si="77"/>
        <v>0</v>
      </c>
      <c r="AC105" s="329">
        <f t="shared" si="77"/>
        <v>0</v>
      </c>
    </row>
    <row r="106" spans="1:29" s="79" customFormat="1" ht="12.75" customHeight="1" outlineLevel="1">
      <c r="A106" s="308"/>
      <c r="B106" s="3791" t="s">
        <v>615</v>
      </c>
      <c r="C106" s="3792"/>
      <c r="D106" s="305">
        <f t="shared" ref="D106:R106" si="78">D73+D84+D95</f>
        <v>0</v>
      </c>
      <c r="E106" s="521">
        <f t="shared" si="78"/>
        <v>0</v>
      </c>
      <c r="F106" s="521">
        <f t="shared" si="78"/>
        <v>0</v>
      </c>
      <c r="G106" s="521">
        <f t="shared" si="78"/>
        <v>0</v>
      </c>
      <c r="H106" s="329">
        <f t="shared" si="78"/>
        <v>0</v>
      </c>
      <c r="I106" s="305">
        <f t="shared" si="78"/>
        <v>0</v>
      </c>
      <c r="J106" s="521">
        <f t="shared" si="78"/>
        <v>0</v>
      </c>
      <c r="K106" s="521">
        <f t="shared" si="78"/>
        <v>0</v>
      </c>
      <c r="L106" s="521">
        <f t="shared" si="78"/>
        <v>0</v>
      </c>
      <c r="M106" s="329">
        <f t="shared" si="78"/>
        <v>0</v>
      </c>
      <c r="N106" s="305">
        <f t="shared" si="78"/>
        <v>0</v>
      </c>
      <c r="O106" s="521">
        <f t="shared" si="78"/>
        <v>0</v>
      </c>
      <c r="P106" s="521">
        <f t="shared" si="78"/>
        <v>0</v>
      </c>
      <c r="Q106" s="521">
        <f t="shared" si="78"/>
        <v>0</v>
      </c>
      <c r="R106" s="329">
        <f t="shared" si="78"/>
        <v>0</v>
      </c>
      <c r="S106"/>
      <c r="T106"/>
      <c r="U106"/>
      <c r="V106" s="305">
        <f t="shared" ref="V106:AC106" si="79">V73+V84+V95</f>
        <v>0</v>
      </c>
      <c r="W106" s="521">
        <f t="shared" si="79"/>
        <v>0</v>
      </c>
      <c r="X106" s="521">
        <f t="shared" si="79"/>
        <v>0</v>
      </c>
      <c r="Y106" s="521">
        <f t="shared" si="79"/>
        <v>0</v>
      </c>
      <c r="Z106" s="329">
        <f t="shared" si="79"/>
        <v>0</v>
      </c>
      <c r="AA106" s="305">
        <f t="shared" si="79"/>
        <v>0</v>
      </c>
      <c r="AB106" s="521">
        <f t="shared" si="79"/>
        <v>0</v>
      </c>
      <c r="AC106" s="329">
        <f t="shared" si="79"/>
        <v>0</v>
      </c>
    </row>
    <row r="107" spans="1:29" s="79" customFormat="1" ht="12.75" customHeight="1" outlineLevel="1">
      <c r="A107" s="308"/>
      <c r="B107" s="3789" t="s">
        <v>619</v>
      </c>
      <c r="C107" s="3790"/>
      <c r="D107" s="305">
        <f t="shared" ref="D107:R107" si="80">D74+D85+D96</f>
        <v>0</v>
      </c>
      <c r="E107" s="521">
        <f t="shared" si="80"/>
        <v>0</v>
      </c>
      <c r="F107" s="521">
        <f t="shared" si="80"/>
        <v>0</v>
      </c>
      <c r="G107" s="521">
        <f t="shared" si="80"/>
        <v>0</v>
      </c>
      <c r="H107" s="329">
        <f t="shared" si="80"/>
        <v>0</v>
      </c>
      <c r="I107" s="305">
        <f t="shared" si="80"/>
        <v>0</v>
      </c>
      <c r="J107" s="521">
        <f t="shared" si="80"/>
        <v>0</v>
      </c>
      <c r="K107" s="521">
        <f t="shared" si="80"/>
        <v>0</v>
      </c>
      <c r="L107" s="521">
        <f t="shared" si="80"/>
        <v>0</v>
      </c>
      <c r="M107" s="329">
        <f t="shared" si="80"/>
        <v>0</v>
      </c>
      <c r="N107" s="305">
        <f t="shared" si="80"/>
        <v>0</v>
      </c>
      <c r="O107" s="521">
        <f t="shared" si="80"/>
        <v>0</v>
      </c>
      <c r="P107" s="521">
        <f t="shared" si="80"/>
        <v>0</v>
      </c>
      <c r="Q107" s="521">
        <f t="shared" si="80"/>
        <v>0</v>
      </c>
      <c r="R107" s="329">
        <f t="shared" si="80"/>
        <v>0</v>
      </c>
      <c r="S107"/>
      <c r="T107"/>
      <c r="U107"/>
      <c r="V107" s="305">
        <f t="shared" ref="V107:AC107" si="81">V74+V85+V96</f>
        <v>0</v>
      </c>
      <c r="W107" s="521">
        <f t="shared" si="81"/>
        <v>0</v>
      </c>
      <c r="X107" s="521">
        <f t="shared" si="81"/>
        <v>0</v>
      </c>
      <c r="Y107" s="521">
        <f t="shared" si="81"/>
        <v>0</v>
      </c>
      <c r="Z107" s="329">
        <f t="shared" si="81"/>
        <v>0</v>
      </c>
      <c r="AA107" s="305">
        <f t="shared" si="81"/>
        <v>0</v>
      </c>
      <c r="AB107" s="521">
        <f t="shared" si="81"/>
        <v>0</v>
      </c>
      <c r="AC107" s="329">
        <f t="shared" si="81"/>
        <v>0</v>
      </c>
    </row>
    <row r="108" spans="1:29" s="79" customFormat="1" ht="12.75" customHeight="1" outlineLevel="1">
      <c r="A108" s="308"/>
      <c r="B108" s="3789" t="s">
        <v>617</v>
      </c>
      <c r="C108" s="3790"/>
      <c r="D108" s="305">
        <f t="shared" ref="D108:R108" si="82">D75+D86+D97</f>
        <v>0</v>
      </c>
      <c r="E108" s="521">
        <f t="shared" si="82"/>
        <v>0</v>
      </c>
      <c r="F108" s="521">
        <f t="shared" si="82"/>
        <v>0</v>
      </c>
      <c r="G108" s="521">
        <f t="shared" si="82"/>
        <v>0</v>
      </c>
      <c r="H108" s="329">
        <f t="shared" si="82"/>
        <v>0</v>
      </c>
      <c r="I108" s="305">
        <f t="shared" si="82"/>
        <v>0</v>
      </c>
      <c r="J108" s="521">
        <f t="shared" si="82"/>
        <v>0</v>
      </c>
      <c r="K108" s="521">
        <f t="shared" si="82"/>
        <v>0</v>
      </c>
      <c r="L108" s="521">
        <f t="shared" si="82"/>
        <v>0</v>
      </c>
      <c r="M108" s="329">
        <f t="shared" si="82"/>
        <v>0</v>
      </c>
      <c r="N108" s="305">
        <f t="shared" si="82"/>
        <v>0</v>
      </c>
      <c r="O108" s="521">
        <f t="shared" si="82"/>
        <v>0</v>
      </c>
      <c r="P108" s="521">
        <f t="shared" si="82"/>
        <v>0</v>
      </c>
      <c r="Q108" s="521">
        <f t="shared" si="82"/>
        <v>0</v>
      </c>
      <c r="R108" s="329">
        <f t="shared" si="82"/>
        <v>0</v>
      </c>
      <c r="S108"/>
      <c r="T108"/>
      <c r="U108"/>
      <c r="V108" s="305">
        <f t="shared" ref="V108:AC108" si="83">V75+V86+V97</f>
        <v>0</v>
      </c>
      <c r="W108" s="521">
        <f t="shared" si="83"/>
        <v>0</v>
      </c>
      <c r="X108" s="521">
        <f t="shared" si="83"/>
        <v>0</v>
      </c>
      <c r="Y108" s="521">
        <f t="shared" si="83"/>
        <v>0</v>
      </c>
      <c r="Z108" s="329">
        <f t="shared" si="83"/>
        <v>0</v>
      </c>
      <c r="AA108" s="305">
        <f t="shared" si="83"/>
        <v>0</v>
      </c>
      <c r="AB108" s="521">
        <f t="shared" si="83"/>
        <v>0</v>
      </c>
      <c r="AC108" s="329">
        <f t="shared" si="83"/>
        <v>0</v>
      </c>
    </row>
    <row r="109" spans="1:29" s="79" customFormat="1" ht="12.75" customHeight="1" outlineLevel="1">
      <c r="A109" s="308"/>
      <c r="B109" s="3818" t="s">
        <v>620</v>
      </c>
      <c r="C109" s="3819"/>
      <c r="D109" s="1457">
        <f t="shared" ref="D109:R109" si="84">D76+D87+D98</f>
        <v>0</v>
      </c>
      <c r="E109" s="626">
        <f t="shared" si="84"/>
        <v>0</v>
      </c>
      <c r="F109" s="626">
        <f t="shared" si="84"/>
        <v>0</v>
      </c>
      <c r="G109" s="626">
        <f t="shared" si="84"/>
        <v>0</v>
      </c>
      <c r="H109" s="1458">
        <f t="shared" si="84"/>
        <v>0</v>
      </c>
      <c r="I109" s="1457">
        <f t="shared" si="84"/>
        <v>0</v>
      </c>
      <c r="J109" s="626">
        <f t="shared" si="84"/>
        <v>0</v>
      </c>
      <c r="K109" s="626">
        <f t="shared" si="84"/>
        <v>0</v>
      </c>
      <c r="L109" s="626">
        <f t="shared" si="84"/>
        <v>0</v>
      </c>
      <c r="M109" s="1458">
        <f t="shared" si="84"/>
        <v>0</v>
      </c>
      <c r="N109" s="1457">
        <f t="shared" si="84"/>
        <v>0</v>
      </c>
      <c r="O109" s="626">
        <f t="shared" si="84"/>
        <v>0</v>
      </c>
      <c r="P109" s="626">
        <f t="shared" si="84"/>
        <v>0</v>
      </c>
      <c r="Q109" s="626">
        <f t="shared" si="84"/>
        <v>0</v>
      </c>
      <c r="R109" s="1458">
        <f t="shared" si="84"/>
        <v>0</v>
      </c>
      <c r="S109"/>
      <c r="T109"/>
      <c r="U109"/>
      <c r="V109" s="1457">
        <f t="shared" ref="V109:AC109" si="85">V76+V87+V98</f>
        <v>0</v>
      </c>
      <c r="W109" s="626">
        <f t="shared" si="85"/>
        <v>0</v>
      </c>
      <c r="X109" s="626">
        <f t="shared" si="85"/>
        <v>0</v>
      </c>
      <c r="Y109" s="626">
        <f t="shared" si="85"/>
        <v>0</v>
      </c>
      <c r="Z109" s="1458">
        <f t="shared" si="85"/>
        <v>0</v>
      </c>
      <c r="AA109" s="1457">
        <f t="shared" si="85"/>
        <v>0</v>
      </c>
      <c r="AB109" s="626">
        <f t="shared" si="85"/>
        <v>0</v>
      </c>
      <c r="AC109" s="1458">
        <f t="shared" si="85"/>
        <v>0</v>
      </c>
    </row>
    <row r="110" spans="1:29" s="79" customFormat="1" ht="12.75" customHeight="1" outlineLevel="1">
      <c r="A110" s="308"/>
      <c r="B110" s="3789" t="s">
        <v>641</v>
      </c>
      <c r="C110" s="3790"/>
      <c r="D110" s="305">
        <f t="shared" ref="D110:R110" si="86">D77+D88+D99</f>
        <v>0</v>
      </c>
      <c r="E110" s="521">
        <f t="shared" si="86"/>
        <v>0</v>
      </c>
      <c r="F110" s="521">
        <f t="shared" si="86"/>
        <v>0</v>
      </c>
      <c r="G110" s="521">
        <f t="shared" si="86"/>
        <v>0</v>
      </c>
      <c r="H110" s="329">
        <f t="shared" si="86"/>
        <v>0</v>
      </c>
      <c r="I110" s="305">
        <f t="shared" si="86"/>
        <v>0</v>
      </c>
      <c r="J110" s="521">
        <f t="shared" si="86"/>
        <v>0</v>
      </c>
      <c r="K110" s="521">
        <f t="shared" si="86"/>
        <v>0</v>
      </c>
      <c r="L110" s="521">
        <f t="shared" si="86"/>
        <v>0</v>
      </c>
      <c r="M110" s="329">
        <f t="shared" si="86"/>
        <v>0</v>
      </c>
      <c r="N110" s="305">
        <f t="shared" si="86"/>
        <v>0</v>
      </c>
      <c r="O110" s="521">
        <f t="shared" si="86"/>
        <v>0</v>
      </c>
      <c r="P110" s="521">
        <f t="shared" si="86"/>
        <v>0</v>
      </c>
      <c r="Q110" s="521">
        <f t="shared" si="86"/>
        <v>0</v>
      </c>
      <c r="R110" s="329">
        <f t="shared" si="86"/>
        <v>0</v>
      </c>
      <c r="S110"/>
      <c r="T110"/>
      <c r="U110"/>
      <c r="V110" s="305">
        <f t="shared" ref="V110:AC110" si="87">V77+V88+V99</f>
        <v>0</v>
      </c>
      <c r="W110" s="521">
        <f t="shared" si="87"/>
        <v>0</v>
      </c>
      <c r="X110" s="521">
        <f t="shared" si="87"/>
        <v>0</v>
      </c>
      <c r="Y110" s="521">
        <f t="shared" si="87"/>
        <v>0</v>
      </c>
      <c r="Z110" s="329">
        <f t="shared" si="87"/>
        <v>0</v>
      </c>
      <c r="AA110" s="305">
        <f t="shared" si="87"/>
        <v>0</v>
      </c>
      <c r="AB110" s="521">
        <f t="shared" si="87"/>
        <v>0</v>
      </c>
      <c r="AC110" s="329">
        <f t="shared" si="87"/>
        <v>0</v>
      </c>
    </row>
    <row r="111" spans="1:29" s="79" customFormat="1" ht="12.75" customHeight="1" thickBot="1">
      <c r="A111" s="308"/>
      <c r="B111" s="3782" t="s">
        <v>621</v>
      </c>
      <c r="C111" s="3783"/>
      <c r="D111" s="1459">
        <f t="shared" ref="D111:R111" si="88">D78+D89+D100</f>
        <v>0</v>
      </c>
      <c r="E111" s="627">
        <f t="shared" si="88"/>
        <v>0</v>
      </c>
      <c r="F111" s="627">
        <f t="shared" si="88"/>
        <v>0</v>
      </c>
      <c r="G111" s="627">
        <f t="shared" si="88"/>
        <v>0</v>
      </c>
      <c r="H111" s="1460">
        <f t="shared" si="88"/>
        <v>0</v>
      </c>
      <c r="I111" s="1459">
        <f t="shared" si="88"/>
        <v>0</v>
      </c>
      <c r="J111" s="627">
        <f t="shared" si="88"/>
        <v>0</v>
      </c>
      <c r="K111" s="627">
        <f t="shared" si="88"/>
        <v>0</v>
      </c>
      <c r="L111" s="627">
        <f t="shared" si="88"/>
        <v>0</v>
      </c>
      <c r="M111" s="1460">
        <f t="shared" si="88"/>
        <v>0</v>
      </c>
      <c r="N111" s="1459">
        <f t="shared" si="88"/>
        <v>0</v>
      </c>
      <c r="O111" s="627">
        <f t="shared" si="88"/>
        <v>0</v>
      </c>
      <c r="P111" s="627">
        <f t="shared" si="88"/>
        <v>0</v>
      </c>
      <c r="Q111" s="627">
        <f t="shared" si="88"/>
        <v>0</v>
      </c>
      <c r="R111" s="1460">
        <f t="shared" si="88"/>
        <v>0</v>
      </c>
      <c r="S111"/>
      <c r="T111"/>
      <c r="U111"/>
      <c r="V111" s="2169">
        <f t="shared" ref="V111:AC111" si="89">V78+V89+V100</f>
        <v>0</v>
      </c>
      <c r="W111" s="627">
        <f t="shared" si="89"/>
        <v>0</v>
      </c>
      <c r="X111" s="627">
        <f t="shared" si="89"/>
        <v>0</v>
      </c>
      <c r="Y111" s="627">
        <f t="shared" si="89"/>
        <v>0</v>
      </c>
      <c r="Z111" s="1460">
        <f t="shared" si="89"/>
        <v>0</v>
      </c>
      <c r="AA111" s="2169">
        <f t="shared" si="89"/>
        <v>0</v>
      </c>
      <c r="AB111" s="627">
        <f t="shared" si="89"/>
        <v>0</v>
      </c>
      <c r="AC111" s="1460">
        <f t="shared" si="89"/>
        <v>0</v>
      </c>
    </row>
    <row r="112" spans="1:29" s="70" customFormat="1" ht="45" customHeight="1" thickBot="1">
      <c r="A112" s="360"/>
      <c r="B112" s="3610" t="s">
        <v>125</v>
      </c>
      <c r="C112" s="3611"/>
      <c r="D112" s="1413"/>
      <c r="E112" s="1414"/>
      <c r="F112" s="1414"/>
      <c r="G112" s="1414"/>
      <c r="H112" s="1414"/>
      <c r="I112" s="1414"/>
      <c r="J112" s="1414"/>
      <c r="K112" s="1414"/>
      <c r="L112" s="1414"/>
      <c r="M112" s="1414"/>
      <c r="N112" s="1414"/>
      <c r="O112" s="1414"/>
      <c r="P112" s="1414"/>
      <c r="Q112" s="1414"/>
      <c r="R112" s="1452"/>
      <c r="S112"/>
      <c r="T112"/>
      <c r="U112"/>
      <c r="V112" s="2135"/>
      <c r="W112" s="2116"/>
      <c r="X112" s="2116"/>
      <c r="Y112" s="2116"/>
      <c r="Z112" s="2116"/>
      <c r="AA112" s="2116"/>
      <c r="AB112" s="2116"/>
      <c r="AC112" s="2119"/>
    </row>
    <row r="113" spans="1:31" s="79" customFormat="1" ht="36.75" customHeight="1" thickBot="1">
      <c r="A113" s="308"/>
      <c r="B113" s="82"/>
      <c r="C113" s="230"/>
      <c r="D113" s="81"/>
      <c r="E113" s="81"/>
      <c r="F113" s="81"/>
      <c r="G113" s="81"/>
      <c r="H113" s="81"/>
      <c r="I113" s="81"/>
      <c r="J113" s="81"/>
      <c r="K113" s="81"/>
      <c r="L113" s="81"/>
      <c r="M113" s="81"/>
      <c r="N113" s="544"/>
      <c r="O113" s="308"/>
      <c r="P113" s="308"/>
      <c r="Q113" s="308"/>
      <c r="R113" s="308"/>
      <c r="S113"/>
      <c r="T113"/>
      <c r="U113"/>
      <c r="V113"/>
      <c r="W113"/>
      <c r="X113"/>
      <c r="Y113"/>
      <c r="Z113"/>
      <c r="AA113"/>
      <c r="AB113"/>
      <c r="AC113"/>
      <c r="AD113"/>
      <c r="AE113"/>
    </row>
    <row r="114" spans="1:31" s="229" customFormat="1" ht="24.75" customHeight="1" thickBot="1">
      <c r="A114" s="308"/>
      <c r="B114" s="1576" t="s">
        <v>649</v>
      </c>
      <c r="C114" s="1576"/>
      <c r="D114" s="1577"/>
      <c r="E114" s="1577"/>
      <c r="F114" s="1577"/>
      <c r="G114" s="1577"/>
      <c r="H114" s="1577"/>
      <c r="I114" s="1577"/>
      <c r="J114" s="1577"/>
      <c r="K114" s="1577"/>
      <c r="L114" s="1577"/>
      <c r="M114" s="1578"/>
      <c r="N114" s="1427"/>
      <c r="O114" s="1427"/>
      <c r="P114" s="1427"/>
      <c r="Q114" s="1427"/>
      <c r="R114" s="1427"/>
      <c r="S114" s="1427"/>
      <c r="T114" s="1427"/>
      <c r="U114"/>
      <c r="V114"/>
      <c r="W114"/>
      <c r="X114"/>
      <c r="Y114"/>
      <c r="Z114"/>
      <c r="AA114"/>
      <c r="AB114"/>
      <c r="AC114"/>
      <c r="AD114"/>
      <c r="AE114"/>
    </row>
    <row r="115" spans="1:31" ht="15.75" customHeight="1">
      <c r="A115" s="308"/>
      <c r="B115" s="3741"/>
      <c r="C115" s="3742"/>
      <c r="D115" s="3620" t="s">
        <v>36</v>
      </c>
      <c r="E115" s="3549"/>
      <c r="F115" s="3549"/>
      <c r="G115" s="3549"/>
      <c r="H115" s="3549"/>
      <c r="I115" s="3602" t="s">
        <v>37</v>
      </c>
      <c r="J115" s="3603"/>
      <c r="K115" s="3603"/>
      <c r="L115" s="3603"/>
      <c r="M115" s="3604"/>
      <c r="N115"/>
      <c r="O115"/>
      <c r="P115"/>
      <c r="Q115"/>
      <c r="R115"/>
      <c r="V115"/>
      <c r="W115"/>
      <c r="X115"/>
      <c r="Y115"/>
      <c r="Z115"/>
      <c r="AA115"/>
      <c r="AB115"/>
      <c r="AC115"/>
      <c r="AD115"/>
      <c r="AE115"/>
    </row>
    <row r="116" spans="1:31" ht="22.5" customHeight="1">
      <c r="A116" s="308"/>
      <c r="B116" s="3743"/>
      <c r="C116" s="3744"/>
      <c r="D116" s="3550" t="str">
        <f>CONCATENATE("$0's, real ",dms_DollarReal)</f>
        <v>$0's, real December 2017</v>
      </c>
      <c r="E116" s="3551"/>
      <c r="F116" s="3551"/>
      <c r="G116" s="3551"/>
      <c r="H116" s="3551"/>
      <c r="I116" s="3551"/>
      <c r="J116" s="3551"/>
      <c r="K116" s="3551"/>
      <c r="L116" s="3551"/>
      <c r="M116" s="3552"/>
      <c r="N116"/>
      <c r="O116"/>
      <c r="P116"/>
      <c r="Q116"/>
      <c r="R116"/>
      <c r="V116"/>
      <c r="W116"/>
      <c r="X116"/>
      <c r="Y116"/>
      <c r="Z116"/>
      <c r="AA116"/>
      <c r="AB116"/>
      <c r="AC116"/>
      <c r="AD116"/>
      <c r="AE116"/>
    </row>
    <row r="117" spans="1:31" ht="22.5" customHeight="1">
      <c r="A117" s="308"/>
      <c r="B117" s="3743"/>
      <c r="C117" s="3744"/>
      <c r="D117" s="3550" t="s">
        <v>74</v>
      </c>
      <c r="E117" s="3551"/>
      <c r="F117" s="3551"/>
      <c r="G117" s="3551"/>
      <c r="H117" s="3551"/>
      <c r="I117" s="3551"/>
      <c r="J117" s="3551"/>
      <c r="K117" s="3551"/>
      <c r="L117" s="3551"/>
      <c r="M117" s="3552"/>
      <c r="N117"/>
      <c r="O117"/>
      <c r="P117"/>
      <c r="Q117"/>
      <c r="R117"/>
      <c r="V117"/>
      <c r="W117"/>
      <c r="X117"/>
      <c r="Y117"/>
      <c r="Z117"/>
      <c r="AA117"/>
      <c r="AB117"/>
      <c r="AC117"/>
      <c r="AD117"/>
      <c r="AE117"/>
    </row>
    <row r="118" spans="1:31" ht="15.75" customHeight="1" thickBot="1">
      <c r="A118" s="308"/>
      <c r="B118" s="3745"/>
      <c r="C118" s="3746"/>
      <c r="D118" s="391">
        <f t="array" ref="D118:H118">PRCP</f>
        <v>2008</v>
      </c>
      <c r="E118" s="390">
        <v>2009</v>
      </c>
      <c r="F118" s="390">
        <v>2010</v>
      </c>
      <c r="G118" s="390">
        <v>2011</v>
      </c>
      <c r="H118" s="390">
        <v>2012</v>
      </c>
      <c r="I118" s="392">
        <f>CRCP_y1</f>
        <v>2013</v>
      </c>
      <c r="J118" s="392">
        <f>CRCP_y2</f>
        <v>2014</v>
      </c>
      <c r="K118" s="392">
        <f>CRCP_y3</f>
        <v>2015</v>
      </c>
      <c r="L118" s="392">
        <f>CRCP_y4</f>
        <v>2016</v>
      </c>
      <c r="M118" s="603">
        <f>CRCP_y5</f>
        <v>2017</v>
      </c>
      <c r="N118"/>
      <c r="O118"/>
      <c r="P118"/>
      <c r="Q118"/>
      <c r="R118"/>
      <c r="V118"/>
      <c r="W118"/>
      <c r="X118"/>
      <c r="Y118"/>
      <c r="Z118"/>
      <c r="AA118"/>
      <c r="AB118"/>
      <c r="AC118"/>
      <c r="AD118"/>
      <c r="AE118"/>
    </row>
    <row r="119" spans="1:31" s="79" customFormat="1" ht="12.75" customHeight="1" outlineLevel="1">
      <c r="A119" s="308"/>
      <c r="B119" s="3738" t="s">
        <v>293</v>
      </c>
      <c r="C119" s="614" t="s">
        <v>595</v>
      </c>
      <c r="D119" s="525"/>
      <c r="E119" s="523"/>
      <c r="F119" s="523"/>
      <c r="G119" s="523"/>
      <c r="H119" s="591"/>
      <c r="I119" s="466"/>
      <c r="J119" s="549"/>
      <c r="K119" s="549"/>
      <c r="L119" s="549"/>
      <c r="M119" s="563"/>
      <c r="N119" s="613"/>
      <c r="O119" s="613"/>
      <c r="P119" s="613"/>
      <c r="Q119" s="613"/>
      <c r="R119" s="308"/>
      <c r="S119"/>
      <c r="T119"/>
      <c r="U119"/>
      <c r="V119"/>
      <c r="W119"/>
      <c r="X119"/>
      <c r="Y119"/>
      <c r="Z119"/>
      <c r="AA119"/>
      <c r="AB119"/>
      <c r="AC119"/>
      <c r="AD119"/>
      <c r="AE119"/>
    </row>
    <row r="120" spans="1:31" s="79" customFormat="1" ht="12.75" customHeight="1" outlineLevel="1">
      <c r="A120" s="308"/>
      <c r="B120" s="3739"/>
      <c r="C120" s="547" t="s">
        <v>594</v>
      </c>
      <c r="D120" s="525"/>
      <c r="E120" s="523"/>
      <c r="F120" s="523"/>
      <c r="G120" s="523"/>
      <c r="H120" s="591"/>
      <c r="I120" s="514"/>
      <c r="J120" s="513"/>
      <c r="K120" s="513"/>
      <c r="L120" s="513"/>
      <c r="M120" s="515"/>
      <c r="N120" s="613"/>
      <c r="O120" s="613"/>
      <c r="P120" s="613"/>
      <c r="Q120" s="613"/>
      <c r="R120" s="308"/>
      <c r="S120"/>
      <c r="T120"/>
      <c r="U120"/>
      <c r="V120"/>
      <c r="W120"/>
      <c r="X120"/>
      <c r="Y120"/>
      <c r="Z120"/>
      <c r="AA120"/>
      <c r="AB120"/>
      <c r="AC120"/>
      <c r="AD120"/>
      <c r="AE120"/>
    </row>
    <row r="121" spans="1:31" s="79" customFormat="1" ht="12.75" customHeight="1" outlineLevel="1">
      <c r="A121" s="308"/>
      <c r="B121" s="3739"/>
      <c r="C121" s="547" t="s">
        <v>614</v>
      </c>
      <c r="D121" s="526"/>
      <c r="E121" s="524"/>
      <c r="F121" s="524"/>
      <c r="G121" s="524"/>
      <c r="H121" s="592"/>
      <c r="I121" s="514"/>
      <c r="J121" s="513"/>
      <c r="K121" s="513"/>
      <c r="L121" s="513"/>
      <c r="M121" s="515"/>
      <c r="N121" s="613"/>
      <c r="O121" s="613"/>
      <c r="P121" s="613"/>
      <c r="Q121" s="613"/>
      <c r="R121" s="308"/>
      <c r="S121"/>
      <c r="T121"/>
      <c r="U121"/>
      <c r="V121"/>
      <c r="W121"/>
      <c r="X121"/>
      <c r="Y121"/>
      <c r="Z121"/>
      <c r="AA121"/>
      <c r="AB121"/>
      <c r="AC121"/>
      <c r="AD121"/>
      <c r="AE121"/>
    </row>
    <row r="122" spans="1:31" s="79" customFormat="1" ht="12.75" customHeight="1" outlineLevel="1">
      <c r="A122" s="308"/>
      <c r="B122" s="3739"/>
      <c r="C122" s="548" t="s">
        <v>615</v>
      </c>
      <c r="D122" s="514"/>
      <c r="E122" s="513"/>
      <c r="F122" s="513"/>
      <c r="G122" s="513"/>
      <c r="H122" s="515"/>
      <c r="I122" s="517">
        <f t="shared" ref="I122:M122" si="90">SUM(I119:I121)</f>
        <v>0</v>
      </c>
      <c r="J122" s="518">
        <f t="shared" si="90"/>
        <v>0</v>
      </c>
      <c r="K122" s="518">
        <f t="shared" si="90"/>
        <v>0</v>
      </c>
      <c r="L122" s="518">
        <f t="shared" si="90"/>
        <v>0</v>
      </c>
      <c r="M122" s="519">
        <f t="shared" si="90"/>
        <v>0</v>
      </c>
      <c r="N122" s="613"/>
      <c r="O122" s="613"/>
      <c r="P122" s="613"/>
      <c r="Q122" s="613"/>
      <c r="R122" s="308"/>
      <c r="S122"/>
      <c r="T122"/>
      <c r="U122"/>
      <c r="V122"/>
      <c r="W122"/>
      <c r="X122"/>
      <c r="Y122"/>
      <c r="Z122"/>
      <c r="AA122"/>
      <c r="AB122"/>
      <c r="AC122"/>
      <c r="AD122"/>
      <c r="AE122"/>
    </row>
    <row r="123" spans="1:31" s="79" customFormat="1" ht="12.75" customHeight="1" outlineLevel="1">
      <c r="A123" s="308"/>
      <c r="B123" s="3739"/>
      <c r="C123" s="547" t="s">
        <v>619</v>
      </c>
      <c r="D123" s="514"/>
      <c r="E123" s="513"/>
      <c r="F123" s="513"/>
      <c r="G123" s="513"/>
      <c r="H123" s="515"/>
      <c r="I123" s="483"/>
      <c r="J123" s="531"/>
      <c r="K123" s="531"/>
      <c r="L123" s="531"/>
      <c r="M123" s="489"/>
      <c r="N123" s="613"/>
      <c r="O123" s="613"/>
      <c r="P123" s="613"/>
      <c r="Q123" s="613"/>
      <c r="R123" s="308"/>
      <c r="S123"/>
      <c r="T123"/>
      <c r="U123"/>
      <c r="V123"/>
      <c r="W123"/>
      <c r="X123"/>
      <c r="Y123"/>
      <c r="Z123"/>
      <c r="AA123"/>
      <c r="AB123"/>
      <c r="AC123"/>
      <c r="AD123"/>
      <c r="AE123"/>
    </row>
    <row r="124" spans="1:31" s="79" customFormat="1" ht="12.75" customHeight="1" outlineLevel="1">
      <c r="A124" s="308"/>
      <c r="B124" s="3739"/>
      <c r="C124" s="547" t="s">
        <v>617</v>
      </c>
      <c r="D124" s="514"/>
      <c r="E124" s="513"/>
      <c r="F124" s="513"/>
      <c r="G124" s="513"/>
      <c r="H124" s="515"/>
      <c r="I124" s="514"/>
      <c r="J124" s="513"/>
      <c r="K124" s="513"/>
      <c r="L124" s="513"/>
      <c r="M124" s="515"/>
      <c r="N124" s="613"/>
      <c r="O124" s="613"/>
      <c r="P124" s="613"/>
      <c r="Q124" s="613"/>
      <c r="R124" s="308"/>
      <c r="S124"/>
      <c r="T124"/>
      <c r="U124"/>
      <c r="V124"/>
      <c r="W124"/>
      <c r="X124"/>
      <c r="Y124"/>
      <c r="Z124"/>
      <c r="AA124"/>
      <c r="AB124"/>
      <c r="AC124"/>
      <c r="AD124"/>
      <c r="AE124"/>
    </row>
    <row r="125" spans="1:31" s="79" customFormat="1" ht="12.75" customHeight="1" outlineLevel="1">
      <c r="A125" s="308"/>
      <c r="B125" s="3739"/>
      <c r="C125" s="628" t="s">
        <v>620</v>
      </c>
      <c r="D125" s="624">
        <f>D122+D123+D124</f>
        <v>0</v>
      </c>
      <c r="E125" s="617">
        <f t="shared" ref="E125:M125" si="91">E122+E123+E124</f>
        <v>0</v>
      </c>
      <c r="F125" s="617">
        <f t="shared" si="91"/>
        <v>0</v>
      </c>
      <c r="G125" s="617">
        <f t="shared" si="91"/>
        <v>0</v>
      </c>
      <c r="H125" s="625">
        <f t="shared" si="91"/>
        <v>0</v>
      </c>
      <c r="I125" s="624">
        <f t="shared" si="91"/>
        <v>0</v>
      </c>
      <c r="J125" s="617">
        <f t="shared" si="91"/>
        <v>0</v>
      </c>
      <c r="K125" s="617">
        <f t="shared" si="91"/>
        <v>0</v>
      </c>
      <c r="L125" s="617">
        <f t="shared" si="91"/>
        <v>0</v>
      </c>
      <c r="M125" s="625">
        <f t="shared" si="91"/>
        <v>0</v>
      </c>
      <c r="N125" s="613"/>
      <c r="O125" s="613"/>
      <c r="P125" s="613"/>
      <c r="Q125" s="613"/>
      <c r="R125" s="308"/>
      <c r="S125"/>
      <c r="T125"/>
      <c r="U125"/>
      <c r="V125"/>
      <c r="W125"/>
      <c r="X125"/>
      <c r="Y125"/>
      <c r="Z125"/>
      <c r="AA125"/>
      <c r="AB125"/>
      <c r="AC125"/>
      <c r="AD125"/>
      <c r="AE125"/>
    </row>
    <row r="126" spans="1:31" s="79" customFormat="1" ht="12.75" customHeight="1" outlineLevel="1">
      <c r="A126" s="308"/>
      <c r="B126" s="3739"/>
      <c r="C126" s="547" t="s">
        <v>641</v>
      </c>
      <c r="D126" s="514"/>
      <c r="E126" s="513"/>
      <c r="F126" s="513"/>
      <c r="G126" s="513"/>
      <c r="H126" s="515"/>
      <c r="I126" s="514"/>
      <c r="J126" s="513"/>
      <c r="K126" s="513"/>
      <c r="L126" s="513"/>
      <c r="M126" s="515"/>
      <c r="N126" s="613"/>
      <c r="O126" s="613"/>
      <c r="P126" s="613"/>
      <c r="Q126" s="613"/>
      <c r="R126" s="308"/>
      <c r="S126"/>
      <c r="T126"/>
      <c r="U126"/>
      <c r="V126"/>
      <c r="W126"/>
      <c r="X126"/>
      <c r="Y126"/>
      <c r="Z126"/>
      <c r="AA126"/>
      <c r="AB126"/>
      <c r="AC126"/>
      <c r="AD126"/>
      <c r="AE126"/>
    </row>
    <row r="127" spans="1:31" s="79" customFormat="1" ht="15" customHeight="1" outlineLevel="1" thickBot="1">
      <c r="A127" s="308"/>
      <c r="B127" s="3740"/>
      <c r="C127" s="629" t="s">
        <v>621</v>
      </c>
      <c r="D127" s="619">
        <f t="shared" ref="D127:M127" si="92">D125-D126</f>
        <v>0</v>
      </c>
      <c r="E127" s="618">
        <f t="shared" si="92"/>
        <v>0</v>
      </c>
      <c r="F127" s="618">
        <f t="shared" si="92"/>
        <v>0</v>
      </c>
      <c r="G127" s="618">
        <f t="shared" si="92"/>
        <v>0</v>
      </c>
      <c r="H127" s="620">
        <f t="shared" si="92"/>
        <v>0</v>
      </c>
      <c r="I127" s="619">
        <f t="shared" si="92"/>
        <v>0</v>
      </c>
      <c r="J127" s="618">
        <f t="shared" ref="J127" si="93">J125-J126</f>
        <v>0</v>
      </c>
      <c r="K127" s="618">
        <f t="shared" si="92"/>
        <v>0</v>
      </c>
      <c r="L127" s="618">
        <f t="shared" si="92"/>
        <v>0</v>
      </c>
      <c r="M127" s="620">
        <f t="shared" si="92"/>
        <v>0</v>
      </c>
      <c r="N127" s="612"/>
      <c r="O127" s="612"/>
      <c r="P127" s="612"/>
      <c r="Q127" s="612"/>
      <c r="R127" s="308"/>
      <c r="S127"/>
      <c r="T127"/>
      <c r="U127"/>
      <c r="V127"/>
      <c r="W127"/>
      <c r="X127"/>
      <c r="Y127"/>
      <c r="Z127"/>
      <c r="AA127"/>
      <c r="AB127"/>
      <c r="AC127"/>
      <c r="AD127"/>
      <c r="AE127"/>
    </row>
    <row r="128" spans="1:31" s="79" customFormat="1" ht="12.75" customHeight="1" outlineLevel="1">
      <c r="A128" s="308"/>
      <c r="B128" s="3738" t="s">
        <v>293</v>
      </c>
      <c r="C128" s="614" t="s">
        <v>595</v>
      </c>
      <c r="D128" s="525"/>
      <c r="E128" s="523"/>
      <c r="F128" s="523"/>
      <c r="G128" s="523"/>
      <c r="H128" s="591"/>
      <c r="I128" s="466"/>
      <c r="J128" s="549"/>
      <c r="K128" s="549"/>
      <c r="L128" s="549"/>
      <c r="M128" s="563"/>
      <c r="N128" s="613"/>
      <c r="O128" s="613"/>
      <c r="P128" s="613"/>
      <c r="Q128" s="613"/>
      <c r="R128" s="308"/>
      <c r="S128"/>
      <c r="T128"/>
      <c r="U128"/>
      <c r="V128"/>
      <c r="W128"/>
      <c r="X128"/>
      <c r="Y128"/>
      <c r="Z128"/>
      <c r="AA128"/>
      <c r="AB128"/>
      <c r="AC128"/>
      <c r="AD128"/>
      <c r="AE128"/>
    </row>
    <row r="129" spans="1:31" s="79" customFormat="1" ht="12.75" customHeight="1" outlineLevel="1">
      <c r="A129" s="308"/>
      <c r="B129" s="3739"/>
      <c r="C129" s="547" t="s">
        <v>594</v>
      </c>
      <c r="D129" s="525"/>
      <c r="E129" s="523"/>
      <c r="F129" s="523"/>
      <c r="G129" s="523"/>
      <c r="H129" s="591"/>
      <c r="I129" s="514"/>
      <c r="J129" s="513"/>
      <c r="K129" s="513"/>
      <c r="L129" s="513"/>
      <c r="M129" s="515"/>
      <c r="N129" s="613"/>
      <c r="O129" s="613"/>
      <c r="P129" s="613"/>
      <c r="Q129" s="613"/>
      <c r="R129" s="308"/>
      <c r="S129"/>
      <c r="T129"/>
      <c r="U129"/>
      <c r="V129"/>
      <c r="W129"/>
      <c r="X129"/>
      <c r="Y129"/>
      <c r="Z129"/>
      <c r="AA129"/>
      <c r="AB129"/>
      <c r="AC129"/>
      <c r="AD129"/>
      <c r="AE129"/>
    </row>
    <row r="130" spans="1:31" s="79" customFormat="1" ht="12.75" customHeight="1" outlineLevel="1">
      <c r="A130" s="308"/>
      <c r="B130" s="3739"/>
      <c r="C130" s="547" t="s">
        <v>614</v>
      </c>
      <c r="D130" s="526"/>
      <c r="E130" s="524"/>
      <c r="F130" s="524"/>
      <c r="G130" s="524"/>
      <c r="H130" s="592"/>
      <c r="I130" s="514"/>
      <c r="J130" s="513"/>
      <c r="K130" s="513"/>
      <c r="L130" s="513"/>
      <c r="M130" s="515"/>
      <c r="N130" s="613"/>
      <c r="O130" s="613"/>
      <c r="P130" s="613"/>
      <c r="Q130" s="613"/>
      <c r="R130" s="308"/>
      <c r="S130"/>
      <c r="T130"/>
      <c r="U130"/>
      <c r="V130"/>
      <c r="W130"/>
      <c r="X130"/>
      <c r="Y130"/>
      <c r="Z130"/>
      <c r="AA130"/>
      <c r="AB130"/>
      <c r="AC130"/>
      <c r="AD130"/>
      <c r="AE130"/>
    </row>
    <row r="131" spans="1:31" s="79" customFormat="1" ht="12.75" customHeight="1" outlineLevel="1">
      <c r="A131" s="308"/>
      <c r="B131" s="3739"/>
      <c r="C131" s="548" t="s">
        <v>615</v>
      </c>
      <c r="D131" s="514"/>
      <c r="E131" s="513"/>
      <c r="F131" s="513"/>
      <c r="G131" s="513"/>
      <c r="H131" s="515"/>
      <c r="I131" s="517">
        <f t="shared" ref="I131:M131" si="94">SUM(I128:I130)</f>
        <v>0</v>
      </c>
      <c r="J131" s="518">
        <f t="shared" si="94"/>
        <v>0</v>
      </c>
      <c r="K131" s="518">
        <f t="shared" si="94"/>
        <v>0</v>
      </c>
      <c r="L131" s="518">
        <f t="shared" si="94"/>
        <v>0</v>
      </c>
      <c r="M131" s="519">
        <f t="shared" si="94"/>
        <v>0</v>
      </c>
      <c r="N131" s="613"/>
      <c r="O131" s="613"/>
      <c r="P131" s="613"/>
      <c r="Q131" s="613"/>
      <c r="R131" s="308"/>
      <c r="S131"/>
      <c r="T131"/>
      <c r="U131"/>
      <c r="V131"/>
      <c r="W131"/>
      <c r="X131"/>
      <c r="Y131"/>
      <c r="Z131"/>
      <c r="AA131"/>
      <c r="AB131"/>
      <c r="AC131"/>
      <c r="AD131"/>
      <c r="AE131"/>
    </row>
    <row r="132" spans="1:31" s="79" customFormat="1" ht="12.75" customHeight="1" outlineLevel="1">
      <c r="A132" s="308"/>
      <c r="B132" s="3739"/>
      <c r="C132" s="547" t="s">
        <v>619</v>
      </c>
      <c r="D132" s="514"/>
      <c r="E132" s="513"/>
      <c r="F132" s="513"/>
      <c r="G132" s="513"/>
      <c r="H132" s="515"/>
      <c r="I132" s="483"/>
      <c r="J132" s="531"/>
      <c r="K132" s="531"/>
      <c r="L132" s="531"/>
      <c r="M132" s="489"/>
      <c r="N132" s="613"/>
      <c r="O132" s="613"/>
      <c r="P132" s="613"/>
      <c r="Q132" s="613"/>
      <c r="R132" s="308"/>
      <c r="S132"/>
      <c r="T132"/>
      <c r="U132"/>
      <c r="V132"/>
      <c r="W132"/>
      <c r="X132"/>
      <c r="Y132"/>
      <c r="Z132"/>
      <c r="AA132"/>
      <c r="AB132"/>
      <c r="AC132"/>
      <c r="AD132"/>
      <c r="AE132"/>
    </row>
    <row r="133" spans="1:31" s="79" customFormat="1" ht="12.75" customHeight="1" outlineLevel="1">
      <c r="A133" s="308"/>
      <c r="B133" s="3739"/>
      <c r="C133" s="547" t="s">
        <v>617</v>
      </c>
      <c r="D133" s="514"/>
      <c r="E133" s="513"/>
      <c r="F133" s="513"/>
      <c r="G133" s="513"/>
      <c r="H133" s="515"/>
      <c r="I133" s="514"/>
      <c r="J133" s="513"/>
      <c r="K133" s="513"/>
      <c r="L133" s="513"/>
      <c r="M133" s="515"/>
      <c r="N133" s="613"/>
      <c r="O133" s="613"/>
      <c r="P133" s="613"/>
      <c r="Q133" s="613"/>
      <c r="R133" s="308"/>
      <c r="S133"/>
      <c r="T133"/>
      <c r="U133"/>
      <c r="V133"/>
      <c r="W133"/>
      <c r="X133"/>
      <c r="Y133"/>
      <c r="Z133"/>
      <c r="AA133"/>
      <c r="AB133"/>
      <c r="AC133"/>
      <c r="AD133"/>
      <c r="AE133"/>
    </row>
    <row r="134" spans="1:31" s="229" customFormat="1" ht="12.75" customHeight="1" outlineLevel="1">
      <c r="A134" s="308"/>
      <c r="B134" s="3739"/>
      <c r="C134" s="628" t="s">
        <v>620</v>
      </c>
      <c r="D134" s="624">
        <f>D131+D132+D133</f>
        <v>0</v>
      </c>
      <c r="E134" s="617">
        <f t="shared" ref="E134" si="95">E131+E132+E133</f>
        <v>0</v>
      </c>
      <c r="F134" s="617">
        <f t="shared" ref="F134" si="96">F131+F132+F133</f>
        <v>0</v>
      </c>
      <c r="G134" s="617">
        <f t="shared" ref="G134" si="97">G131+G132+G133</f>
        <v>0</v>
      </c>
      <c r="H134" s="625">
        <f t="shared" ref="H134" si="98">H131+H132+H133</f>
        <v>0</v>
      </c>
      <c r="I134" s="624">
        <f t="shared" ref="I134" si="99">I131+I132+I133</f>
        <v>0</v>
      </c>
      <c r="J134" s="617">
        <f t="shared" ref="J134" si="100">J131+J132+J133</f>
        <v>0</v>
      </c>
      <c r="K134" s="617">
        <f t="shared" ref="K134" si="101">K131+K132+K133</f>
        <v>0</v>
      </c>
      <c r="L134" s="617">
        <f t="shared" ref="L134" si="102">L131+L132+L133</f>
        <v>0</v>
      </c>
      <c r="M134" s="625">
        <f t="shared" ref="M134" si="103">M131+M132+M133</f>
        <v>0</v>
      </c>
      <c r="N134" s="613"/>
      <c r="O134" s="613"/>
      <c r="P134" s="613"/>
      <c r="Q134" s="613"/>
      <c r="R134" s="308"/>
      <c r="S134" s="1427"/>
      <c r="T134" s="1427"/>
      <c r="U134"/>
      <c r="V134"/>
      <c r="W134"/>
      <c r="X134"/>
      <c r="Y134"/>
      <c r="Z134"/>
      <c r="AA134"/>
      <c r="AB134"/>
      <c r="AC134"/>
      <c r="AD134"/>
      <c r="AE134"/>
    </row>
    <row r="135" spans="1:31" s="79" customFormat="1" ht="12.75" customHeight="1" outlineLevel="1">
      <c r="A135" s="308"/>
      <c r="B135" s="3739"/>
      <c r="C135" s="547" t="s">
        <v>641</v>
      </c>
      <c r="D135" s="514"/>
      <c r="E135" s="513"/>
      <c r="F135" s="513"/>
      <c r="G135" s="513"/>
      <c r="H135" s="515"/>
      <c r="I135" s="514"/>
      <c r="J135" s="513"/>
      <c r="K135" s="513"/>
      <c r="L135" s="513"/>
      <c r="M135" s="515"/>
      <c r="N135" s="613"/>
      <c r="O135" s="613"/>
      <c r="P135" s="613"/>
      <c r="Q135" s="613"/>
      <c r="R135" s="308"/>
      <c r="S135"/>
      <c r="T135"/>
      <c r="U135"/>
      <c r="V135"/>
      <c r="W135"/>
      <c r="X135"/>
      <c r="Y135"/>
      <c r="Z135"/>
      <c r="AA135"/>
      <c r="AB135"/>
      <c r="AC135"/>
      <c r="AD135"/>
      <c r="AE135"/>
    </row>
    <row r="136" spans="1:31" s="79" customFormat="1" ht="15" customHeight="1" outlineLevel="1" thickBot="1">
      <c r="A136" s="308"/>
      <c r="B136" s="3740"/>
      <c r="C136" s="629" t="s">
        <v>621</v>
      </c>
      <c r="D136" s="619">
        <f>D134-D135</f>
        <v>0</v>
      </c>
      <c r="E136" s="618">
        <f t="shared" ref="E136:M136" si="104">E134-E135</f>
        <v>0</v>
      </c>
      <c r="F136" s="618">
        <f t="shared" si="104"/>
        <v>0</v>
      </c>
      <c r="G136" s="618">
        <f t="shared" si="104"/>
        <v>0</v>
      </c>
      <c r="H136" s="620">
        <f t="shared" si="104"/>
        <v>0</v>
      </c>
      <c r="I136" s="619">
        <f t="shared" si="104"/>
        <v>0</v>
      </c>
      <c r="J136" s="618">
        <f t="shared" ref="J136" si="105">J134-J135</f>
        <v>0</v>
      </c>
      <c r="K136" s="618">
        <f t="shared" si="104"/>
        <v>0</v>
      </c>
      <c r="L136" s="618">
        <f t="shared" si="104"/>
        <v>0</v>
      </c>
      <c r="M136" s="620">
        <f t="shared" si="104"/>
        <v>0</v>
      </c>
      <c r="N136" s="612"/>
      <c r="O136" s="612"/>
      <c r="P136" s="612"/>
      <c r="Q136" s="612"/>
      <c r="R136" s="308"/>
      <c r="S136"/>
      <c r="T136"/>
      <c r="U136"/>
      <c r="V136"/>
      <c r="W136"/>
      <c r="X136"/>
      <c r="Y136"/>
      <c r="Z136"/>
      <c r="AA136"/>
      <c r="AB136"/>
      <c r="AC136"/>
      <c r="AD136"/>
      <c r="AE136"/>
    </row>
    <row r="137" spans="1:31" s="79" customFormat="1" ht="12.75" customHeight="1" outlineLevel="1">
      <c r="A137" s="308"/>
      <c r="B137" s="3738" t="s">
        <v>293</v>
      </c>
      <c r="C137" s="614" t="s">
        <v>595</v>
      </c>
      <c r="D137" s="525"/>
      <c r="E137" s="523"/>
      <c r="F137" s="523"/>
      <c r="G137" s="523"/>
      <c r="H137" s="591"/>
      <c r="I137" s="466"/>
      <c r="J137" s="549"/>
      <c r="K137" s="549"/>
      <c r="L137" s="549"/>
      <c r="M137" s="563"/>
      <c r="N137" s="613"/>
      <c r="O137" s="613"/>
      <c r="P137" s="613"/>
      <c r="Q137" s="613"/>
      <c r="R137" s="308"/>
      <c r="S137"/>
      <c r="T137"/>
      <c r="U137"/>
      <c r="V137"/>
      <c r="W137"/>
      <c r="X137"/>
      <c r="Y137"/>
      <c r="Z137"/>
      <c r="AA137"/>
      <c r="AB137"/>
      <c r="AC137"/>
      <c r="AD137"/>
      <c r="AE137"/>
    </row>
    <row r="138" spans="1:31" s="79" customFormat="1" ht="12.75" customHeight="1" outlineLevel="1">
      <c r="A138" s="308"/>
      <c r="B138" s="3739"/>
      <c r="C138" s="547" t="s">
        <v>594</v>
      </c>
      <c r="D138" s="525"/>
      <c r="E138" s="523"/>
      <c r="F138" s="523"/>
      <c r="G138" s="523"/>
      <c r="H138" s="591"/>
      <c r="I138" s="514"/>
      <c r="J138" s="513"/>
      <c r="K138" s="513"/>
      <c r="L138" s="513"/>
      <c r="M138" s="515"/>
      <c r="N138" s="613"/>
      <c r="O138" s="613"/>
      <c r="P138" s="613"/>
      <c r="Q138" s="613"/>
      <c r="R138" s="308"/>
      <c r="S138"/>
      <c r="T138"/>
      <c r="U138"/>
      <c r="V138"/>
      <c r="W138"/>
      <c r="X138"/>
      <c r="Y138"/>
      <c r="Z138"/>
      <c r="AA138"/>
      <c r="AB138"/>
      <c r="AC138"/>
      <c r="AD138"/>
      <c r="AE138"/>
    </row>
    <row r="139" spans="1:31" s="79" customFormat="1" ht="12.75" customHeight="1" outlineLevel="1">
      <c r="A139" s="308"/>
      <c r="B139" s="3739"/>
      <c r="C139" s="547" t="s">
        <v>614</v>
      </c>
      <c r="D139" s="526"/>
      <c r="E139" s="524"/>
      <c r="F139" s="524"/>
      <c r="G139" s="524"/>
      <c r="H139" s="592"/>
      <c r="I139" s="514"/>
      <c r="J139" s="513"/>
      <c r="K139" s="513"/>
      <c r="L139" s="513"/>
      <c r="M139" s="515"/>
      <c r="N139" s="613"/>
      <c r="O139" s="613"/>
      <c r="P139" s="613"/>
      <c r="Q139" s="613"/>
      <c r="R139" s="308"/>
      <c r="S139"/>
      <c r="T139"/>
      <c r="U139"/>
      <c r="V139"/>
      <c r="W139"/>
      <c r="X139"/>
      <c r="Y139"/>
      <c r="Z139"/>
      <c r="AA139"/>
      <c r="AB139"/>
      <c r="AC139"/>
      <c r="AD139"/>
      <c r="AE139"/>
    </row>
    <row r="140" spans="1:31" s="79" customFormat="1" ht="12.75" customHeight="1" outlineLevel="1">
      <c r="A140" s="308"/>
      <c r="B140" s="3739"/>
      <c r="C140" s="548" t="s">
        <v>615</v>
      </c>
      <c r="D140" s="514"/>
      <c r="E140" s="513"/>
      <c r="F140" s="513"/>
      <c r="G140" s="513"/>
      <c r="H140" s="515"/>
      <c r="I140" s="517">
        <f t="shared" ref="I140:M140" si="106">SUM(I137:I139)</f>
        <v>0</v>
      </c>
      <c r="J140" s="518">
        <f t="shared" si="106"/>
        <v>0</v>
      </c>
      <c r="K140" s="518">
        <f t="shared" si="106"/>
        <v>0</v>
      </c>
      <c r="L140" s="518">
        <f t="shared" si="106"/>
        <v>0</v>
      </c>
      <c r="M140" s="519">
        <f t="shared" si="106"/>
        <v>0</v>
      </c>
      <c r="N140" s="613"/>
      <c r="O140" s="613"/>
      <c r="P140" s="613"/>
      <c r="Q140" s="613"/>
      <c r="R140" s="308"/>
      <c r="S140"/>
      <c r="T140"/>
      <c r="U140"/>
      <c r="V140"/>
      <c r="W140"/>
      <c r="X140"/>
      <c r="Y140"/>
      <c r="Z140"/>
      <c r="AA140"/>
      <c r="AB140"/>
      <c r="AC140"/>
      <c r="AD140"/>
      <c r="AE140"/>
    </row>
    <row r="141" spans="1:31" s="79" customFormat="1" ht="12.75" customHeight="1" outlineLevel="1">
      <c r="A141" s="308"/>
      <c r="B141" s="3739"/>
      <c r="C141" s="547" t="s">
        <v>619</v>
      </c>
      <c r="D141" s="514"/>
      <c r="E141" s="513"/>
      <c r="F141" s="513"/>
      <c r="G141" s="513"/>
      <c r="H141" s="515"/>
      <c r="I141" s="483"/>
      <c r="J141" s="531"/>
      <c r="K141" s="531"/>
      <c r="L141" s="531"/>
      <c r="M141" s="489"/>
      <c r="N141" s="613"/>
      <c r="O141" s="613"/>
      <c r="P141" s="613"/>
      <c r="Q141" s="613"/>
      <c r="R141" s="308"/>
      <c r="S141"/>
      <c r="T141"/>
      <c r="U141"/>
      <c r="V141"/>
      <c r="W141"/>
      <c r="X141"/>
      <c r="Y141"/>
      <c r="Z141"/>
      <c r="AA141"/>
      <c r="AB141"/>
      <c r="AC141"/>
      <c r="AD141"/>
      <c r="AE141"/>
    </row>
    <row r="142" spans="1:31" s="79" customFormat="1" ht="12.75" customHeight="1" outlineLevel="1">
      <c r="A142" s="308"/>
      <c r="B142" s="3739"/>
      <c r="C142" s="547" t="s">
        <v>617</v>
      </c>
      <c r="D142" s="514"/>
      <c r="E142" s="513"/>
      <c r="F142" s="513"/>
      <c r="G142" s="513"/>
      <c r="H142" s="515"/>
      <c r="I142" s="514"/>
      <c r="J142" s="513"/>
      <c r="K142" s="513"/>
      <c r="L142" s="513"/>
      <c r="M142" s="515"/>
      <c r="N142" s="613"/>
      <c r="O142" s="613"/>
      <c r="P142" s="613"/>
      <c r="Q142" s="613"/>
      <c r="R142" s="308"/>
      <c r="S142"/>
      <c r="T142"/>
      <c r="U142"/>
      <c r="V142"/>
      <c r="W142"/>
      <c r="X142"/>
      <c r="Y142"/>
      <c r="Z142"/>
      <c r="AA142"/>
      <c r="AB142"/>
      <c r="AC142"/>
      <c r="AD142"/>
      <c r="AE142"/>
    </row>
    <row r="143" spans="1:31" s="229" customFormat="1" ht="12.75" customHeight="1" outlineLevel="1">
      <c r="A143" s="308"/>
      <c r="B143" s="3739"/>
      <c r="C143" s="628" t="s">
        <v>620</v>
      </c>
      <c r="D143" s="624">
        <f>D140+D141+D142</f>
        <v>0</v>
      </c>
      <c r="E143" s="617">
        <f t="shared" ref="E143" si="107">E140+E141+E142</f>
        <v>0</v>
      </c>
      <c r="F143" s="617">
        <f t="shared" ref="F143" si="108">F140+F141+F142</f>
        <v>0</v>
      </c>
      <c r="G143" s="617">
        <f t="shared" ref="G143" si="109">G140+G141+G142</f>
        <v>0</v>
      </c>
      <c r="H143" s="625">
        <f t="shared" ref="H143" si="110">H140+H141+H142</f>
        <v>0</v>
      </c>
      <c r="I143" s="624">
        <f t="shared" ref="I143" si="111">I140+I141+I142</f>
        <v>0</v>
      </c>
      <c r="J143" s="617">
        <f t="shared" ref="J143" si="112">J140+J141+J142</f>
        <v>0</v>
      </c>
      <c r="K143" s="617">
        <f t="shared" ref="K143" si="113">K140+K141+K142</f>
        <v>0</v>
      </c>
      <c r="L143" s="617">
        <f t="shared" ref="L143" si="114">L140+L141+L142</f>
        <v>0</v>
      </c>
      <c r="M143" s="625">
        <f t="shared" ref="M143" si="115">M140+M141+M142</f>
        <v>0</v>
      </c>
      <c r="N143" s="613"/>
      <c r="O143" s="613"/>
      <c r="P143" s="613"/>
      <c r="Q143" s="613"/>
      <c r="R143" s="308"/>
      <c r="S143" s="1427"/>
      <c r="T143" s="1427"/>
      <c r="U143"/>
      <c r="V143"/>
      <c r="W143"/>
      <c r="X143"/>
      <c r="Y143"/>
      <c r="Z143"/>
      <c r="AA143"/>
      <c r="AB143"/>
      <c r="AC143"/>
      <c r="AD143"/>
      <c r="AE143"/>
    </row>
    <row r="144" spans="1:31" s="79" customFormat="1" ht="12.75" customHeight="1" outlineLevel="1">
      <c r="A144" s="308"/>
      <c r="B144" s="3739"/>
      <c r="C144" s="547" t="s">
        <v>641</v>
      </c>
      <c r="D144" s="514"/>
      <c r="E144" s="513"/>
      <c r="F144" s="513"/>
      <c r="G144" s="513"/>
      <c r="H144" s="515"/>
      <c r="I144" s="514"/>
      <c r="J144" s="513"/>
      <c r="K144" s="513"/>
      <c r="L144" s="513"/>
      <c r="M144" s="515"/>
      <c r="N144" s="613"/>
      <c r="O144" s="613"/>
      <c r="P144" s="613"/>
      <c r="Q144" s="613"/>
      <c r="R144" s="308"/>
      <c r="S144"/>
      <c r="T144"/>
      <c r="U144"/>
      <c r="V144"/>
      <c r="W144"/>
      <c r="X144"/>
      <c r="Y144"/>
      <c r="Z144"/>
      <c r="AA144"/>
      <c r="AB144"/>
      <c r="AC144"/>
      <c r="AD144"/>
      <c r="AE144"/>
    </row>
    <row r="145" spans="1:31" s="79" customFormat="1" ht="15" customHeight="1" outlineLevel="1" thickBot="1">
      <c r="A145" s="308"/>
      <c r="B145" s="3740"/>
      <c r="C145" s="629" t="s">
        <v>621</v>
      </c>
      <c r="D145" s="619">
        <f>D143-D144</f>
        <v>0</v>
      </c>
      <c r="E145" s="618">
        <f t="shared" ref="E145:M145" si="116">E143-E144</f>
        <v>0</v>
      </c>
      <c r="F145" s="618">
        <f t="shared" si="116"/>
        <v>0</v>
      </c>
      <c r="G145" s="618">
        <f t="shared" si="116"/>
        <v>0</v>
      </c>
      <c r="H145" s="620">
        <f t="shared" si="116"/>
        <v>0</v>
      </c>
      <c r="I145" s="619">
        <f t="shared" si="116"/>
        <v>0</v>
      </c>
      <c r="J145" s="618">
        <f t="shared" ref="J145" si="117">J143-J144</f>
        <v>0</v>
      </c>
      <c r="K145" s="618">
        <f t="shared" si="116"/>
        <v>0</v>
      </c>
      <c r="L145" s="618">
        <f t="shared" si="116"/>
        <v>0</v>
      </c>
      <c r="M145" s="620">
        <f t="shared" si="116"/>
        <v>0</v>
      </c>
      <c r="N145" s="612"/>
      <c r="O145" s="612"/>
      <c r="P145" s="612"/>
      <c r="Q145" s="612"/>
      <c r="R145" s="308"/>
      <c r="S145"/>
      <c r="T145"/>
      <c r="U145"/>
      <c r="V145"/>
      <c r="W145"/>
      <c r="X145"/>
      <c r="Y145"/>
      <c r="Z145"/>
      <c r="AA145"/>
      <c r="AB145"/>
      <c r="AC145"/>
      <c r="AD145"/>
      <c r="AE145"/>
    </row>
    <row r="146" spans="1:31" s="79" customFormat="1" ht="12.75" customHeight="1" outlineLevel="1">
      <c r="A146" s="308"/>
      <c r="B146" s="3738" t="s">
        <v>293</v>
      </c>
      <c r="C146" s="614" t="s">
        <v>595</v>
      </c>
      <c r="D146" s="525"/>
      <c r="E146" s="523"/>
      <c r="F146" s="523"/>
      <c r="G146" s="523"/>
      <c r="H146" s="591"/>
      <c r="I146" s="466"/>
      <c r="J146" s="549"/>
      <c r="K146" s="549"/>
      <c r="L146" s="549"/>
      <c r="M146" s="563"/>
      <c r="N146" s="613"/>
      <c r="O146" s="613"/>
      <c r="P146" s="613"/>
      <c r="Q146" s="613"/>
      <c r="R146" s="308"/>
      <c r="S146"/>
      <c r="T146"/>
      <c r="U146"/>
      <c r="V146"/>
      <c r="W146"/>
      <c r="X146"/>
      <c r="Y146"/>
      <c r="Z146"/>
      <c r="AA146"/>
      <c r="AB146"/>
      <c r="AC146"/>
      <c r="AD146"/>
      <c r="AE146"/>
    </row>
    <row r="147" spans="1:31" s="79" customFormat="1" ht="12.75" customHeight="1" outlineLevel="1">
      <c r="A147" s="308"/>
      <c r="B147" s="3739"/>
      <c r="C147" s="547" t="s">
        <v>594</v>
      </c>
      <c r="D147" s="525"/>
      <c r="E147" s="523"/>
      <c r="F147" s="523"/>
      <c r="G147" s="523"/>
      <c r="H147" s="591"/>
      <c r="I147" s="514"/>
      <c r="J147" s="513"/>
      <c r="K147" s="513"/>
      <c r="L147" s="513"/>
      <c r="M147" s="515"/>
      <c r="N147" s="613"/>
      <c r="O147" s="613"/>
      <c r="P147" s="613"/>
      <c r="Q147" s="613"/>
      <c r="R147" s="308"/>
      <c r="S147"/>
      <c r="T147"/>
      <c r="U147"/>
      <c r="V147"/>
      <c r="W147"/>
      <c r="X147"/>
      <c r="Y147"/>
      <c r="Z147"/>
      <c r="AA147"/>
      <c r="AB147"/>
      <c r="AC147"/>
      <c r="AD147"/>
      <c r="AE147"/>
    </row>
    <row r="148" spans="1:31" s="79" customFormat="1" ht="12.75" customHeight="1" outlineLevel="1">
      <c r="A148" s="308"/>
      <c r="B148" s="3739"/>
      <c r="C148" s="547" t="s">
        <v>614</v>
      </c>
      <c r="D148" s="526"/>
      <c r="E148" s="524"/>
      <c r="F148" s="524"/>
      <c r="G148" s="524"/>
      <c r="H148" s="592"/>
      <c r="I148" s="514"/>
      <c r="J148" s="513"/>
      <c r="K148" s="513"/>
      <c r="L148" s="513"/>
      <c r="M148" s="515"/>
      <c r="N148" s="613"/>
      <c r="O148" s="613"/>
      <c r="P148" s="613"/>
      <c r="Q148" s="613"/>
      <c r="R148" s="308"/>
      <c r="S148"/>
      <c r="T148"/>
      <c r="U148"/>
      <c r="V148"/>
      <c r="W148"/>
      <c r="X148"/>
      <c r="Y148"/>
      <c r="Z148"/>
      <c r="AA148"/>
      <c r="AB148"/>
      <c r="AC148"/>
      <c r="AD148"/>
      <c r="AE148"/>
    </row>
    <row r="149" spans="1:31" s="79" customFormat="1" ht="12.75" customHeight="1" outlineLevel="1">
      <c r="A149" s="308"/>
      <c r="B149" s="3739"/>
      <c r="C149" s="548" t="s">
        <v>615</v>
      </c>
      <c r="D149" s="514"/>
      <c r="E149" s="513"/>
      <c r="F149" s="513"/>
      <c r="G149" s="513"/>
      <c r="H149" s="515"/>
      <c r="I149" s="517">
        <f t="shared" ref="I149:M149" si="118">SUM(I146:I148)</f>
        <v>0</v>
      </c>
      <c r="J149" s="518">
        <f t="shared" si="118"/>
        <v>0</v>
      </c>
      <c r="K149" s="518">
        <f t="shared" si="118"/>
        <v>0</v>
      </c>
      <c r="L149" s="518">
        <f t="shared" si="118"/>
        <v>0</v>
      </c>
      <c r="M149" s="519">
        <f t="shared" si="118"/>
        <v>0</v>
      </c>
      <c r="N149" s="613"/>
      <c r="O149" s="613"/>
      <c r="P149" s="613"/>
      <c r="Q149" s="613"/>
      <c r="R149" s="308"/>
      <c r="S149"/>
      <c r="T149"/>
      <c r="U149"/>
      <c r="V149"/>
      <c r="W149"/>
      <c r="X149"/>
      <c r="Y149"/>
      <c r="Z149"/>
      <c r="AA149"/>
      <c r="AB149"/>
      <c r="AC149"/>
      <c r="AD149"/>
      <c r="AE149"/>
    </row>
    <row r="150" spans="1:31" s="79" customFormat="1" ht="12.75" customHeight="1" outlineLevel="1">
      <c r="A150" s="308"/>
      <c r="B150" s="3739"/>
      <c r="C150" s="547" t="s">
        <v>619</v>
      </c>
      <c r="D150" s="514"/>
      <c r="E150" s="513"/>
      <c r="F150" s="513"/>
      <c r="G150" s="513"/>
      <c r="H150" s="515"/>
      <c r="I150" s="483"/>
      <c r="J150" s="531"/>
      <c r="K150" s="531"/>
      <c r="L150" s="531"/>
      <c r="M150" s="489"/>
      <c r="N150" s="613"/>
      <c r="O150" s="613"/>
      <c r="P150" s="613"/>
      <c r="Q150" s="613"/>
      <c r="R150" s="308"/>
      <c r="S150"/>
      <c r="T150"/>
      <c r="U150"/>
      <c r="V150"/>
      <c r="W150"/>
      <c r="X150"/>
      <c r="Y150"/>
      <c r="Z150"/>
      <c r="AA150"/>
      <c r="AB150"/>
      <c r="AC150"/>
      <c r="AD150"/>
      <c r="AE150"/>
    </row>
    <row r="151" spans="1:31" s="79" customFormat="1" ht="12.75" customHeight="1" outlineLevel="1">
      <c r="A151" s="308"/>
      <c r="B151" s="3739"/>
      <c r="C151" s="547" t="s">
        <v>617</v>
      </c>
      <c r="D151" s="514"/>
      <c r="E151" s="513"/>
      <c r="F151" s="513"/>
      <c r="G151" s="513"/>
      <c r="H151" s="515"/>
      <c r="I151" s="514"/>
      <c r="J151" s="513"/>
      <c r="K151" s="513"/>
      <c r="L151" s="513"/>
      <c r="M151" s="515"/>
      <c r="N151" s="613"/>
      <c r="O151" s="613"/>
      <c r="P151" s="613"/>
      <c r="Q151" s="613"/>
      <c r="R151" s="308"/>
      <c r="S151"/>
      <c r="T151"/>
      <c r="U151"/>
      <c r="V151"/>
      <c r="W151"/>
      <c r="X151"/>
      <c r="Y151"/>
      <c r="Z151"/>
      <c r="AA151"/>
      <c r="AB151"/>
      <c r="AC151"/>
      <c r="AD151"/>
      <c r="AE151"/>
    </row>
    <row r="152" spans="1:31" s="229" customFormat="1" ht="12.75" customHeight="1" outlineLevel="1">
      <c r="A152" s="308"/>
      <c r="B152" s="3739"/>
      <c r="C152" s="628" t="s">
        <v>620</v>
      </c>
      <c r="D152" s="624">
        <f>D149+D150+D151</f>
        <v>0</v>
      </c>
      <c r="E152" s="617">
        <f t="shared" ref="E152" si="119">E149+E150+E151</f>
        <v>0</v>
      </c>
      <c r="F152" s="617">
        <f t="shared" ref="F152" si="120">F149+F150+F151</f>
        <v>0</v>
      </c>
      <c r="G152" s="617">
        <f t="shared" ref="G152" si="121">G149+G150+G151</f>
        <v>0</v>
      </c>
      <c r="H152" s="625">
        <f t="shared" ref="H152" si="122">H149+H150+H151</f>
        <v>0</v>
      </c>
      <c r="I152" s="624">
        <f t="shared" ref="I152" si="123">I149+I150+I151</f>
        <v>0</v>
      </c>
      <c r="J152" s="617">
        <f t="shared" ref="J152" si="124">J149+J150+J151</f>
        <v>0</v>
      </c>
      <c r="K152" s="617">
        <f t="shared" ref="K152" si="125">K149+K150+K151</f>
        <v>0</v>
      </c>
      <c r="L152" s="617">
        <f t="shared" ref="L152" si="126">L149+L150+L151</f>
        <v>0</v>
      </c>
      <c r="M152" s="625">
        <f t="shared" ref="M152" si="127">M149+M150+M151</f>
        <v>0</v>
      </c>
      <c r="N152" s="613"/>
      <c r="O152" s="613"/>
      <c r="P152" s="613"/>
      <c r="Q152" s="613"/>
      <c r="R152" s="308"/>
      <c r="S152" s="1427"/>
      <c r="T152" s="1427"/>
      <c r="U152"/>
      <c r="V152"/>
      <c r="W152"/>
      <c r="X152"/>
      <c r="Y152"/>
      <c r="Z152"/>
      <c r="AA152"/>
      <c r="AB152"/>
      <c r="AC152"/>
      <c r="AD152"/>
      <c r="AE152"/>
    </row>
    <row r="153" spans="1:31" s="79" customFormat="1" ht="12.75" customHeight="1" outlineLevel="1">
      <c r="A153" s="308"/>
      <c r="B153" s="3739"/>
      <c r="C153" s="547" t="s">
        <v>641</v>
      </c>
      <c r="D153" s="514"/>
      <c r="E153" s="513"/>
      <c r="F153" s="513"/>
      <c r="G153" s="513"/>
      <c r="H153" s="515"/>
      <c r="I153" s="514"/>
      <c r="J153" s="513"/>
      <c r="K153" s="513"/>
      <c r="L153" s="513"/>
      <c r="M153" s="515"/>
      <c r="N153" s="613"/>
      <c r="O153" s="613"/>
      <c r="P153" s="613"/>
      <c r="Q153" s="613"/>
      <c r="R153" s="308"/>
      <c r="S153"/>
      <c r="T153"/>
      <c r="U153"/>
      <c r="V153"/>
      <c r="W153"/>
      <c r="X153"/>
      <c r="Y153"/>
      <c r="Z153"/>
      <c r="AA153"/>
      <c r="AB153"/>
      <c r="AC153"/>
      <c r="AD153"/>
      <c r="AE153"/>
    </row>
    <row r="154" spans="1:31" s="79" customFormat="1" ht="15" customHeight="1" outlineLevel="1" thickBot="1">
      <c r="A154" s="308"/>
      <c r="B154" s="3740"/>
      <c r="C154" s="629" t="s">
        <v>621</v>
      </c>
      <c r="D154" s="619">
        <f>D152-D153</f>
        <v>0</v>
      </c>
      <c r="E154" s="618">
        <f t="shared" ref="E154:M154" si="128">E152-E153</f>
        <v>0</v>
      </c>
      <c r="F154" s="618">
        <f t="shared" si="128"/>
        <v>0</v>
      </c>
      <c r="G154" s="618">
        <f t="shared" si="128"/>
        <v>0</v>
      </c>
      <c r="H154" s="620">
        <f t="shared" si="128"/>
        <v>0</v>
      </c>
      <c r="I154" s="619">
        <f t="shared" si="128"/>
        <v>0</v>
      </c>
      <c r="J154" s="618">
        <f t="shared" ref="J154" si="129">J152-J153</f>
        <v>0</v>
      </c>
      <c r="K154" s="618">
        <f t="shared" si="128"/>
        <v>0</v>
      </c>
      <c r="L154" s="618">
        <f t="shared" si="128"/>
        <v>0</v>
      </c>
      <c r="M154" s="620">
        <f t="shared" si="128"/>
        <v>0</v>
      </c>
      <c r="N154" s="612"/>
      <c r="O154" s="612"/>
      <c r="P154" s="612"/>
      <c r="Q154" s="612"/>
      <c r="R154" s="308"/>
      <c r="S154"/>
      <c r="T154"/>
      <c r="U154"/>
      <c r="V154"/>
      <c r="W154"/>
      <c r="X154"/>
      <c r="Y154"/>
      <c r="Z154"/>
      <c r="AA154"/>
      <c r="AB154"/>
      <c r="AC154"/>
      <c r="AD154"/>
      <c r="AE154"/>
    </row>
    <row r="155" spans="1:31" s="79" customFormat="1" ht="12.75" customHeight="1">
      <c r="A155" s="308"/>
      <c r="B155" s="3784" t="s">
        <v>370</v>
      </c>
      <c r="C155" s="1770" t="s">
        <v>595</v>
      </c>
      <c r="D155" s="633">
        <f t="shared" ref="D155:M155" ca="1" si="130">SUMIF($D$119:$M$154,"Direct internal labour expenditure",D$119:D$154)</f>
        <v>0</v>
      </c>
      <c r="E155" s="634">
        <f t="shared" ca="1" si="130"/>
        <v>0</v>
      </c>
      <c r="F155" s="634">
        <f t="shared" ca="1" si="130"/>
        <v>0</v>
      </c>
      <c r="G155" s="634">
        <f t="shared" ca="1" si="130"/>
        <v>0</v>
      </c>
      <c r="H155" s="635">
        <f t="shared" ca="1" si="130"/>
        <v>0</v>
      </c>
      <c r="I155" s="633">
        <f t="shared" ca="1" si="130"/>
        <v>0</v>
      </c>
      <c r="J155" s="634">
        <f t="shared" ca="1" si="130"/>
        <v>0</v>
      </c>
      <c r="K155" s="634">
        <f t="shared" ca="1" si="130"/>
        <v>0</v>
      </c>
      <c r="L155" s="634">
        <f t="shared" ca="1" si="130"/>
        <v>0</v>
      </c>
      <c r="M155" s="635">
        <f t="shared" ca="1" si="130"/>
        <v>0</v>
      </c>
      <c r="N155" s="613"/>
      <c r="O155" s="613"/>
      <c r="P155" s="613"/>
      <c r="Q155" s="613"/>
      <c r="R155" s="308"/>
      <c r="S155"/>
      <c r="T155"/>
      <c r="U155"/>
      <c r="V155"/>
      <c r="W155"/>
      <c r="X155"/>
      <c r="Y155"/>
      <c r="Z155"/>
      <c r="AA155"/>
      <c r="AB155"/>
      <c r="AC155"/>
      <c r="AD155"/>
      <c r="AE155"/>
    </row>
    <row r="156" spans="1:31" s="79" customFormat="1" ht="12.75" customHeight="1">
      <c r="A156" s="308"/>
      <c r="B156" s="3785"/>
      <c r="C156" s="1706" t="s">
        <v>594</v>
      </c>
      <c r="D156" s="594">
        <f t="shared" ref="D156:M156" ca="1" si="131">SUMIF($D$119:$M$154,"Direct contractor expenditure",D$119:D$154)</f>
        <v>0</v>
      </c>
      <c r="E156" s="551">
        <f t="shared" ca="1" si="131"/>
        <v>0</v>
      </c>
      <c r="F156" s="551">
        <f t="shared" ca="1" si="131"/>
        <v>0</v>
      </c>
      <c r="G156" s="551">
        <f t="shared" ca="1" si="131"/>
        <v>0</v>
      </c>
      <c r="H156" s="553">
        <f t="shared" ca="1" si="131"/>
        <v>0</v>
      </c>
      <c r="I156" s="594">
        <f t="shared" ca="1" si="131"/>
        <v>0</v>
      </c>
      <c r="J156" s="551">
        <f t="shared" ca="1" si="131"/>
        <v>0</v>
      </c>
      <c r="K156" s="551">
        <f t="shared" ca="1" si="131"/>
        <v>0</v>
      </c>
      <c r="L156" s="551">
        <f t="shared" ca="1" si="131"/>
        <v>0</v>
      </c>
      <c r="M156" s="553">
        <f t="shared" ca="1" si="131"/>
        <v>0</v>
      </c>
      <c r="N156" s="613"/>
      <c r="O156" s="613"/>
      <c r="P156" s="613"/>
      <c r="Q156" s="613"/>
      <c r="R156" s="308"/>
      <c r="S156"/>
      <c r="T156"/>
      <c r="U156"/>
      <c r="V156"/>
      <c r="W156"/>
      <c r="X156"/>
      <c r="Y156"/>
      <c r="Z156"/>
      <c r="AA156"/>
      <c r="AB156"/>
      <c r="AC156"/>
      <c r="AD156"/>
      <c r="AE156"/>
    </row>
    <row r="157" spans="1:31" s="79" customFormat="1" ht="12.75" customHeight="1">
      <c r="A157" s="308"/>
      <c r="B157" s="3785"/>
      <c r="C157" s="1706" t="s">
        <v>614</v>
      </c>
      <c r="D157" s="594">
        <f t="shared" ref="D157:M157" ca="1" si="132">SUMIF($D$119:$M$154,"Other internal direct expenditure",D$119:D$154)</f>
        <v>0</v>
      </c>
      <c r="E157" s="551">
        <f t="shared" ca="1" si="132"/>
        <v>0</v>
      </c>
      <c r="F157" s="551">
        <f t="shared" ca="1" si="132"/>
        <v>0</v>
      </c>
      <c r="G157" s="551">
        <f t="shared" ca="1" si="132"/>
        <v>0</v>
      </c>
      <c r="H157" s="553">
        <f t="shared" ca="1" si="132"/>
        <v>0</v>
      </c>
      <c r="I157" s="594">
        <f t="shared" ca="1" si="132"/>
        <v>0</v>
      </c>
      <c r="J157" s="551">
        <f t="shared" ca="1" si="132"/>
        <v>0</v>
      </c>
      <c r="K157" s="551">
        <f t="shared" ca="1" si="132"/>
        <v>0</v>
      </c>
      <c r="L157" s="551">
        <f t="shared" ca="1" si="132"/>
        <v>0</v>
      </c>
      <c r="M157" s="553">
        <f t="shared" ca="1" si="132"/>
        <v>0</v>
      </c>
      <c r="N157" s="613"/>
      <c r="O157" s="613"/>
      <c r="P157" s="613"/>
      <c r="Q157" s="613"/>
      <c r="R157" s="308"/>
      <c r="S157"/>
      <c r="T157"/>
      <c r="U157"/>
      <c r="V157"/>
      <c r="W157"/>
      <c r="X157"/>
      <c r="Y157"/>
      <c r="Z157"/>
      <c r="AA157"/>
      <c r="AB157"/>
      <c r="AC157"/>
      <c r="AD157"/>
      <c r="AE157"/>
    </row>
    <row r="158" spans="1:31" s="79" customFormat="1" ht="12.75" customHeight="1">
      <c r="A158" s="308"/>
      <c r="B158" s="3785"/>
      <c r="C158" s="1707" t="s">
        <v>615</v>
      </c>
      <c r="D158" s="594">
        <f t="shared" ref="D158:M158" ca="1" si="133">SUMIF($D$119:$M$154,"Total direct expenditure",D$119:D$154)</f>
        <v>0</v>
      </c>
      <c r="E158" s="551">
        <f t="shared" ca="1" si="133"/>
        <v>0</v>
      </c>
      <c r="F158" s="551">
        <f t="shared" ca="1" si="133"/>
        <v>0</v>
      </c>
      <c r="G158" s="551">
        <f t="shared" ca="1" si="133"/>
        <v>0</v>
      </c>
      <c r="H158" s="553">
        <f t="shared" ca="1" si="133"/>
        <v>0</v>
      </c>
      <c r="I158" s="594">
        <f t="shared" ca="1" si="133"/>
        <v>0</v>
      </c>
      <c r="J158" s="551">
        <f t="shared" ca="1" si="133"/>
        <v>0</v>
      </c>
      <c r="K158" s="551">
        <f t="shared" ca="1" si="133"/>
        <v>0</v>
      </c>
      <c r="L158" s="551">
        <f t="shared" ca="1" si="133"/>
        <v>0</v>
      </c>
      <c r="M158" s="553">
        <f t="shared" ca="1" si="133"/>
        <v>0</v>
      </c>
      <c r="N158" s="613"/>
      <c r="O158" s="613"/>
      <c r="P158" s="613"/>
      <c r="Q158" s="613"/>
      <c r="R158" s="308"/>
      <c r="S158"/>
      <c r="T158"/>
      <c r="U158"/>
      <c r="V158"/>
      <c r="W158"/>
      <c r="X158"/>
      <c r="Y158"/>
      <c r="Z158"/>
      <c r="AA158"/>
      <c r="AB158"/>
      <c r="AC158"/>
      <c r="AD158"/>
      <c r="AE158"/>
    </row>
    <row r="159" spans="1:31" s="79" customFormat="1" ht="12.75" customHeight="1">
      <c r="A159" s="308"/>
      <c r="B159" s="3785"/>
      <c r="C159" s="1706" t="s">
        <v>619</v>
      </c>
      <c r="D159" s="594">
        <f t="shared" ref="D159:M159" ca="1" si="134">SUMIF($D$119:$M$154,"Total overhead expenditure",D$119:D$154)</f>
        <v>0</v>
      </c>
      <c r="E159" s="551">
        <f t="shared" ca="1" si="134"/>
        <v>0</v>
      </c>
      <c r="F159" s="551">
        <f t="shared" ca="1" si="134"/>
        <v>0</v>
      </c>
      <c r="G159" s="551">
        <f t="shared" ca="1" si="134"/>
        <v>0</v>
      </c>
      <c r="H159" s="553">
        <f t="shared" ca="1" si="134"/>
        <v>0</v>
      </c>
      <c r="I159" s="594">
        <f t="shared" ca="1" si="134"/>
        <v>0</v>
      </c>
      <c r="J159" s="551">
        <f t="shared" ca="1" si="134"/>
        <v>0</v>
      </c>
      <c r="K159" s="551">
        <f t="shared" ca="1" si="134"/>
        <v>0</v>
      </c>
      <c r="L159" s="551">
        <f t="shared" ca="1" si="134"/>
        <v>0</v>
      </c>
      <c r="M159" s="553">
        <f t="shared" ca="1" si="134"/>
        <v>0</v>
      </c>
      <c r="N159" s="613"/>
      <c r="O159" s="613"/>
      <c r="P159" s="613"/>
      <c r="Q159" s="613"/>
      <c r="R159" s="308"/>
      <c r="S159"/>
      <c r="T159"/>
      <c r="U159"/>
      <c r="V159"/>
      <c r="W159"/>
      <c r="X159"/>
      <c r="Y159"/>
      <c r="Z159"/>
      <c r="AA159"/>
      <c r="AB159"/>
      <c r="AC159"/>
      <c r="AD159"/>
      <c r="AE159"/>
    </row>
    <row r="160" spans="1:31" s="79" customFormat="1" ht="12.75" customHeight="1">
      <c r="A160" s="308"/>
      <c r="B160" s="3785"/>
      <c r="C160" s="1706" t="s">
        <v>617</v>
      </c>
      <c r="D160" s="594">
        <f t="shared" ref="D160:M160" ca="1" si="135">SUMIF($D$119:$M$154,"Related party margin expenditure",D$119:D$154)</f>
        <v>0</v>
      </c>
      <c r="E160" s="551">
        <f t="shared" ca="1" si="135"/>
        <v>0</v>
      </c>
      <c r="F160" s="551">
        <f t="shared" ca="1" si="135"/>
        <v>0</v>
      </c>
      <c r="G160" s="551">
        <f t="shared" ca="1" si="135"/>
        <v>0</v>
      </c>
      <c r="H160" s="553">
        <f t="shared" ca="1" si="135"/>
        <v>0</v>
      </c>
      <c r="I160" s="594">
        <f t="shared" ca="1" si="135"/>
        <v>0</v>
      </c>
      <c r="J160" s="551">
        <f t="shared" ca="1" si="135"/>
        <v>0</v>
      </c>
      <c r="K160" s="551">
        <f t="shared" ca="1" si="135"/>
        <v>0</v>
      </c>
      <c r="L160" s="551">
        <f t="shared" ca="1" si="135"/>
        <v>0</v>
      </c>
      <c r="M160" s="553">
        <f t="shared" ca="1" si="135"/>
        <v>0</v>
      </c>
      <c r="N160" s="613"/>
      <c r="O160" s="613"/>
      <c r="P160" s="613"/>
      <c r="Q160" s="613"/>
      <c r="R160" s="308"/>
      <c r="S160"/>
      <c r="T160"/>
      <c r="U160"/>
      <c r="V160"/>
      <c r="W160"/>
      <c r="X160"/>
      <c r="Y160"/>
      <c r="Z160"/>
      <c r="AA160"/>
      <c r="AB160"/>
      <c r="AC160"/>
      <c r="AD160"/>
      <c r="AE160"/>
    </row>
    <row r="161" spans="1:31" s="79" customFormat="1" ht="12.75" customHeight="1">
      <c r="A161" s="308"/>
      <c r="B161" s="3785"/>
      <c r="C161" s="1771" t="s">
        <v>620</v>
      </c>
      <c r="D161" s="417">
        <f t="shared" ref="D161:M161" ca="1" si="136">SUMIF($D$119:$M$154,"Total gross expenditure",D$119:D$154)</f>
        <v>0</v>
      </c>
      <c r="E161" s="418">
        <f t="shared" ca="1" si="136"/>
        <v>0</v>
      </c>
      <c r="F161" s="418">
        <f t="shared" ca="1" si="136"/>
        <v>0</v>
      </c>
      <c r="G161" s="418">
        <f t="shared" ca="1" si="136"/>
        <v>0</v>
      </c>
      <c r="H161" s="434">
        <f t="shared" ca="1" si="136"/>
        <v>0</v>
      </c>
      <c r="I161" s="417">
        <f t="shared" ca="1" si="136"/>
        <v>0</v>
      </c>
      <c r="J161" s="418">
        <f t="shared" ca="1" si="136"/>
        <v>0</v>
      </c>
      <c r="K161" s="418">
        <f t="shared" ca="1" si="136"/>
        <v>0</v>
      </c>
      <c r="L161" s="418">
        <f t="shared" ca="1" si="136"/>
        <v>0</v>
      </c>
      <c r="M161" s="434">
        <f t="shared" ca="1" si="136"/>
        <v>0</v>
      </c>
      <c r="N161" s="613"/>
      <c r="O161" s="613"/>
      <c r="P161" s="613"/>
      <c r="Q161" s="613"/>
      <c r="R161" s="308"/>
      <c r="S161"/>
      <c r="T161"/>
      <c r="U161"/>
      <c r="V161"/>
      <c r="W161"/>
      <c r="X161"/>
      <c r="Y161"/>
      <c r="Z161"/>
      <c r="AA161"/>
      <c r="AB161"/>
      <c r="AC161"/>
      <c r="AD161"/>
      <c r="AE161"/>
    </row>
    <row r="162" spans="1:31" s="79" customFormat="1" ht="12.75" customHeight="1">
      <c r="A162" s="308"/>
      <c r="B162" s="3785"/>
      <c r="C162" s="1706" t="s">
        <v>641</v>
      </c>
      <c r="D162" s="594">
        <f t="shared" ref="D162:M162" ca="1" si="137">SUMIF($D$119:$M$154,"Less contributions",D$119:D$154)</f>
        <v>0</v>
      </c>
      <c r="E162" s="551">
        <f t="shared" ca="1" si="137"/>
        <v>0</v>
      </c>
      <c r="F162" s="551">
        <f t="shared" ca="1" si="137"/>
        <v>0</v>
      </c>
      <c r="G162" s="551">
        <f t="shared" ca="1" si="137"/>
        <v>0</v>
      </c>
      <c r="H162" s="553">
        <f t="shared" ca="1" si="137"/>
        <v>0</v>
      </c>
      <c r="I162" s="594">
        <f t="shared" ca="1" si="137"/>
        <v>0</v>
      </c>
      <c r="J162" s="551">
        <f t="shared" ca="1" si="137"/>
        <v>0</v>
      </c>
      <c r="K162" s="551">
        <f t="shared" ca="1" si="137"/>
        <v>0</v>
      </c>
      <c r="L162" s="551">
        <f t="shared" ca="1" si="137"/>
        <v>0</v>
      </c>
      <c r="M162" s="553">
        <f t="shared" ca="1" si="137"/>
        <v>0</v>
      </c>
      <c r="N162" s="613"/>
      <c r="O162" s="613"/>
      <c r="P162" s="613"/>
      <c r="Q162" s="613"/>
      <c r="R162" s="308"/>
      <c r="S162"/>
      <c r="T162"/>
      <c r="U162"/>
      <c r="V162"/>
      <c r="W162"/>
      <c r="X162"/>
      <c r="Y162"/>
      <c r="Z162"/>
      <c r="AA162"/>
      <c r="AB162"/>
      <c r="AC162"/>
      <c r="AD162"/>
      <c r="AE162"/>
    </row>
    <row r="163" spans="1:31" s="79" customFormat="1" ht="15" customHeight="1" thickBot="1">
      <c r="A163" s="308"/>
      <c r="B163" s="3786"/>
      <c r="C163" s="1772" t="s">
        <v>621</v>
      </c>
      <c r="D163" s="630">
        <f t="shared" ref="D163:M163" ca="1" si="138">SUMIF($D$119:$M$154,"Total net expenditure",D$119:D$154)</f>
        <v>0</v>
      </c>
      <c r="E163" s="631">
        <f t="shared" ca="1" si="138"/>
        <v>0</v>
      </c>
      <c r="F163" s="631">
        <f t="shared" ca="1" si="138"/>
        <v>0</v>
      </c>
      <c r="G163" s="631">
        <f t="shared" ca="1" si="138"/>
        <v>0</v>
      </c>
      <c r="H163" s="632">
        <f t="shared" ca="1" si="138"/>
        <v>0</v>
      </c>
      <c r="I163" s="630">
        <f t="shared" ca="1" si="138"/>
        <v>0</v>
      </c>
      <c r="J163" s="631">
        <f t="shared" ca="1" si="138"/>
        <v>0</v>
      </c>
      <c r="K163" s="631">
        <f t="shared" ca="1" si="138"/>
        <v>0</v>
      </c>
      <c r="L163" s="631">
        <f t="shared" ca="1" si="138"/>
        <v>0</v>
      </c>
      <c r="M163" s="632">
        <f t="shared" ca="1" si="138"/>
        <v>0</v>
      </c>
      <c r="N163" s="612"/>
      <c r="O163" s="612"/>
      <c r="P163" s="612"/>
      <c r="Q163" s="612"/>
      <c r="R163" s="308"/>
      <c r="S163"/>
      <c r="T163"/>
      <c r="U163"/>
      <c r="V163"/>
      <c r="W163"/>
      <c r="X163"/>
      <c r="Y163"/>
      <c r="Z163"/>
      <c r="AA163"/>
      <c r="AB163"/>
      <c r="AC163"/>
      <c r="AD163"/>
      <c r="AE163"/>
    </row>
    <row r="164" spans="1:31" s="70" customFormat="1" ht="45" customHeight="1" thickBot="1">
      <c r="A164" s="360"/>
      <c r="B164" s="3610" t="s">
        <v>125</v>
      </c>
      <c r="C164" s="3611"/>
      <c r="D164" s="1413"/>
      <c r="E164" s="1414"/>
      <c r="F164" s="1414"/>
      <c r="G164" s="1414"/>
      <c r="H164" s="1414"/>
      <c r="I164" s="1414"/>
      <c r="J164" s="1414"/>
      <c r="K164" s="1414"/>
      <c r="L164" s="1414"/>
      <c r="M164" s="1452"/>
      <c r="S164"/>
      <c r="T164"/>
      <c r="U164"/>
      <c r="V164"/>
      <c r="W164"/>
      <c r="X164"/>
      <c r="Y164"/>
      <c r="Z164"/>
      <c r="AA164"/>
      <c r="AB164"/>
      <c r="AC164"/>
      <c r="AD164"/>
      <c r="AE164"/>
    </row>
    <row r="165" spans="1:31" s="79" customFormat="1" ht="43.5" customHeight="1" thickBot="1">
      <c r="A165" s="308"/>
      <c r="B165" s="82"/>
      <c r="C165" s="230"/>
      <c r="D165" s="81"/>
      <c r="E165" s="81"/>
      <c r="F165" s="81"/>
      <c r="G165" s="81"/>
      <c r="H165" s="81"/>
      <c r="I165" s="147"/>
      <c r="J165" s="147"/>
      <c r="K165" s="147"/>
      <c r="L165" s="147"/>
      <c r="M165" s="147"/>
      <c r="N165" s="544"/>
      <c r="O165" s="308"/>
      <c r="P165" s="308"/>
      <c r="Q165" s="308"/>
      <c r="R165" s="308"/>
      <c r="S165"/>
      <c r="T165"/>
      <c r="U165"/>
      <c r="V165" s="231"/>
      <c r="W165" s="231"/>
      <c r="X165" s="231"/>
      <c r="Y165" s="231"/>
      <c r="Z165" s="231"/>
      <c r="AA165" s="147"/>
      <c r="AB165" s="147"/>
      <c r="AC165" s="147"/>
    </row>
    <row r="166" spans="1:31" s="229" customFormat="1" ht="24.75" customHeight="1" thickBot="1">
      <c r="A166" s="308"/>
      <c r="B166" s="1576" t="s">
        <v>648</v>
      </c>
      <c r="C166" s="1576"/>
      <c r="D166" s="1577"/>
      <c r="E166" s="1577"/>
      <c r="F166" s="1577"/>
      <c r="G166" s="1577"/>
      <c r="H166" s="1577"/>
      <c r="I166" s="1577"/>
      <c r="J166" s="1577"/>
      <c r="K166" s="1577"/>
      <c r="L166" s="1577"/>
      <c r="M166" s="1577"/>
      <c r="N166" s="1577"/>
      <c r="O166" s="1577"/>
      <c r="P166" s="1577"/>
      <c r="Q166" s="1577"/>
      <c r="R166" s="1578"/>
      <c r="S166" s="1427"/>
      <c r="T166" s="1427"/>
      <c r="U166" s="1427"/>
      <c r="V166" s="1576"/>
      <c r="W166" s="1577"/>
      <c r="X166" s="1577"/>
      <c r="Y166" s="1577"/>
      <c r="Z166" s="1577"/>
      <c r="AA166" s="1577"/>
      <c r="AB166" s="1577"/>
      <c r="AC166" s="1578"/>
    </row>
    <row r="167" spans="1:31" ht="15.75" customHeight="1">
      <c r="A167" s="308"/>
      <c r="B167" s="3757"/>
      <c r="C167" s="3758"/>
      <c r="D167" s="3701" t="s">
        <v>36</v>
      </c>
      <c r="E167" s="3702"/>
      <c r="F167" s="3702"/>
      <c r="G167" s="3702"/>
      <c r="H167" s="3702"/>
      <c r="I167" s="3703" t="s">
        <v>37</v>
      </c>
      <c r="J167" s="3704"/>
      <c r="K167" s="3704"/>
      <c r="L167" s="3704"/>
      <c r="M167" s="3704"/>
      <c r="N167" s="3728" t="s">
        <v>73</v>
      </c>
      <c r="O167" s="3728"/>
      <c r="P167" s="3728"/>
      <c r="Q167" s="3728"/>
      <c r="R167" s="3729"/>
      <c r="V167" s="3701" t="s">
        <v>36</v>
      </c>
      <c r="W167" s="3702"/>
      <c r="X167" s="3702"/>
      <c r="Y167" s="3702"/>
      <c r="Z167" s="3702"/>
      <c r="AA167" s="3703" t="s">
        <v>37</v>
      </c>
      <c r="AB167" s="3704"/>
      <c r="AC167" s="3705"/>
    </row>
    <row r="168" spans="1:31" ht="15.75" customHeight="1">
      <c r="A168" s="308"/>
      <c r="B168" s="3759"/>
      <c r="C168" s="3760"/>
      <c r="D168" s="3550" t="s">
        <v>579</v>
      </c>
      <c r="E168" s="3551"/>
      <c r="F168" s="3551"/>
      <c r="G168" s="3551"/>
      <c r="H168" s="3551"/>
      <c r="I168" s="3551"/>
      <c r="J168" s="3551"/>
      <c r="K168" s="3595"/>
      <c r="L168" s="3589" t="str">
        <f>CONCATENATE("$0's, real ",dms_DollarReal)</f>
        <v>$0's, real December 2017</v>
      </c>
      <c r="M168" s="3590"/>
      <c r="N168" s="3590"/>
      <c r="O168" s="3590"/>
      <c r="P168" s="3590"/>
      <c r="Q168" s="3590"/>
      <c r="R168" s="3734"/>
      <c r="V168" s="3550" t="str">
        <f>CONCATENATE("$0's, real ",dms_DollarReal)</f>
        <v>$0's, real December 2017</v>
      </c>
      <c r="W168" s="3551"/>
      <c r="X168" s="3551"/>
      <c r="Y168" s="3551"/>
      <c r="Z168" s="3551"/>
      <c r="AA168" s="3551"/>
      <c r="AB168" s="3551"/>
      <c r="AC168" s="3552"/>
    </row>
    <row r="169" spans="1:31" ht="15" customHeight="1">
      <c r="A169" s="308"/>
      <c r="B169" s="3759"/>
      <c r="C169" s="3760"/>
      <c r="D169" s="3550" t="s">
        <v>54</v>
      </c>
      <c r="E169" s="3551"/>
      <c r="F169" s="3551"/>
      <c r="G169" s="3551"/>
      <c r="H169" s="3551"/>
      <c r="I169" s="3551"/>
      <c r="J169" s="3551"/>
      <c r="K169" s="3595"/>
      <c r="L169" s="3589" t="s">
        <v>55</v>
      </c>
      <c r="M169" s="3590"/>
      <c r="N169" s="3590"/>
      <c r="O169" s="3590"/>
      <c r="P169" s="3590"/>
      <c r="Q169" s="3590"/>
      <c r="R169" s="3734"/>
      <c r="V169" s="3550" t="s">
        <v>54</v>
      </c>
      <c r="W169" s="3551"/>
      <c r="X169" s="3551"/>
      <c r="Y169" s="3551"/>
      <c r="Z169" s="3551"/>
      <c r="AA169" s="3551"/>
      <c r="AB169" s="3551"/>
      <c r="AC169" s="3552"/>
    </row>
    <row r="170" spans="1:31" ht="15.75" thickBot="1">
      <c r="A170" s="308"/>
      <c r="B170" s="3761"/>
      <c r="C170" s="3762"/>
      <c r="D170" s="391">
        <f t="array" ref="D170:H170">PRCP</f>
        <v>2008</v>
      </c>
      <c r="E170" s="390">
        <v>2009</v>
      </c>
      <c r="F170" s="390">
        <v>2010</v>
      </c>
      <c r="G170" s="390">
        <v>2011</v>
      </c>
      <c r="H170" s="390">
        <v>2012</v>
      </c>
      <c r="I170" s="392">
        <f>CRCP_y1</f>
        <v>2013</v>
      </c>
      <c r="J170" s="392">
        <f>CRCP_y2</f>
        <v>2014</v>
      </c>
      <c r="K170" s="392">
        <f>CRCP_y3</f>
        <v>2015</v>
      </c>
      <c r="L170" s="392">
        <f>CRCP_y4</f>
        <v>2016</v>
      </c>
      <c r="M170" s="392">
        <f>CRCP_y5</f>
        <v>2017</v>
      </c>
      <c r="N170" s="390" t="str">
        <f t="array" ref="N170:R170">FRCP</f>
        <v>2018</v>
      </c>
      <c r="O170" s="390">
        <v>2019</v>
      </c>
      <c r="P170" s="390">
        <v>2020</v>
      </c>
      <c r="Q170" s="390">
        <v>2021</v>
      </c>
      <c r="R170" s="498">
        <v>2022</v>
      </c>
      <c r="V170" s="1789">
        <f t="array" ref="V170:Z170">PRCP</f>
        <v>2008</v>
      </c>
      <c r="W170" s="390">
        <v>2009</v>
      </c>
      <c r="X170" s="390">
        <v>2010</v>
      </c>
      <c r="Y170" s="390">
        <v>2011</v>
      </c>
      <c r="Z170" s="390">
        <v>2012</v>
      </c>
      <c r="AA170" s="392">
        <f>CRCP_y1</f>
        <v>2013</v>
      </c>
      <c r="AB170" s="392">
        <f>CRCP_y2</f>
        <v>2014</v>
      </c>
      <c r="AC170" s="603">
        <f>CRCP_y3</f>
        <v>2015</v>
      </c>
    </row>
    <row r="171" spans="1:31" s="529" customFormat="1" ht="20.25" customHeight="1" thickBot="1">
      <c r="A171" s="308"/>
      <c r="B171" s="858" t="s">
        <v>475</v>
      </c>
      <c r="C171" s="859"/>
      <c r="D171" s="1572"/>
      <c r="E171" s="1572"/>
      <c r="F171" s="1572"/>
      <c r="G171" s="1572"/>
      <c r="H171" s="1572"/>
      <c r="I171" s="1572"/>
      <c r="J171" s="1572"/>
      <c r="K171" s="1572"/>
      <c r="L171" s="1572"/>
      <c r="M171" s="1572"/>
      <c r="N171" s="1572"/>
      <c r="O171" s="1572"/>
      <c r="P171" s="1572"/>
      <c r="Q171" s="1572"/>
      <c r="R171" s="1573"/>
      <c r="S171" s="1427"/>
      <c r="T171" s="1427"/>
      <c r="U171" s="1427"/>
      <c r="V171" s="1571"/>
      <c r="W171" s="1572"/>
      <c r="X171" s="1572"/>
      <c r="Y171" s="1572"/>
      <c r="Z171" s="1572"/>
      <c r="AA171" s="1572"/>
      <c r="AB171" s="1572"/>
      <c r="AC171" s="1573"/>
    </row>
    <row r="172" spans="1:31" outlineLevel="2">
      <c r="A172" s="308"/>
      <c r="B172" s="3803" t="s">
        <v>371</v>
      </c>
      <c r="C172" s="637" t="s">
        <v>92</v>
      </c>
      <c r="D172" s="466"/>
      <c r="E172" s="549"/>
      <c r="F172" s="549"/>
      <c r="G172" s="549"/>
      <c r="H172" s="1463"/>
      <c r="I172" s="466"/>
      <c r="J172" s="549"/>
      <c r="K172" s="549"/>
      <c r="L172" s="549"/>
      <c r="M172" s="563"/>
      <c r="N172" s="466"/>
      <c r="O172" s="549"/>
      <c r="P172" s="549"/>
      <c r="Q172" s="549"/>
      <c r="R172" s="563"/>
      <c r="V172" s="2170"/>
      <c r="W172" s="2171"/>
      <c r="X172" s="2171"/>
      <c r="Y172" s="2171"/>
      <c r="Z172" s="2173"/>
      <c r="AA172" s="2170"/>
      <c r="AB172" s="2171"/>
      <c r="AC172" s="2172"/>
    </row>
    <row r="173" spans="1:31" outlineLevel="2">
      <c r="A173" s="308"/>
      <c r="B173" s="3803"/>
      <c r="C173" s="1581" t="s">
        <v>615</v>
      </c>
      <c r="D173" s="527"/>
      <c r="E173" s="522"/>
      <c r="F173" s="522"/>
      <c r="G173" s="522"/>
      <c r="H173" s="705"/>
      <c r="I173" s="527"/>
      <c r="J173" s="522"/>
      <c r="K173" s="522"/>
      <c r="L173" s="522"/>
      <c r="M173" s="535"/>
      <c r="N173" s="527"/>
      <c r="O173" s="522"/>
      <c r="P173" s="522"/>
      <c r="Q173" s="522"/>
      <c r="R173" s="535"/>
      <c r="V173" s="517"/>
      <c r="W173" s="518"/>
      <c r="X173" s="518"/>
      <c r="Y173" s="518"/>
      <c r="Z173" s="1453"/>
      <c r="AA173" s="517"/>
      <c r="AB173" s="518"/>
      <c r="AC173" s="519"/>
    </row>
    <row r="174" spans="1:31" outlineLevel="2">
      <c r="A174" s="308"/>
      <c r="B174" s="3803"/>
      <c r="C174" s="557" t="s">
        <v>619</v>
      </c>
      <c r="D174" s="514"/>
      <c r="E174" s="513"/>
      <c r="F174" s="513"/>
      <c r="G174" s="513"/>
      <c r="H174" s="702"/>
      <c r="I174" s="483"/>
      <c r="J174" s="531"/>
      <c r="K174" s="531"/>
      <c r="L174" s="531"/>
      <c r="M174" s="489"/>
      <c r="N174" s="636"/>
      <c r="O174" s="532"/>
      <c r="P174" s="532"/>
      <c r="Q174" s="532"/>
      <c r="R174" s="579"/>
      <c r="V174" s="517"/>
      <c r="W174" s="518"/>
      <c r="X174" s="518"/>
      <c r="Y174" s="518"/>
      <c r="Z174" s="1453"/>
      <c r="AA174" s="569"/>
      <c r="AB174" s="570"/>
      <c r="AC174" s="608"/>
    </row>
    <row r="175" spans="1:31" outlineLevel="2">
      <c r="A175" s="308"/>
      <c r="B175" s="3803"/>
      <c r="C175" s="557" t="s">
        <v>617</v>
      </c>
      <c r="D175" s="514"/>
      <c r="E175" s="513"/>
      <c r="F175" s="513"/>
      <c r="G175" s="513"/>
      <c r="H175" s="702"/>
      <c r="I175" s="514"/>
      <c r="J175" s="513"/>
      <c r="K175" s="513"/>
      <c r="L175" s="513"/>
      <c r="M175" s="515"/>
      <c r="N175" s="514"/>
      <c r="O175" s="513"/>
      <c r="P175" s="513"/>
      <c r="Q175" s="513"/>
      <c r="R175" s="515"/>
      <c r="V175" s="517"/>
      <c r="W175" s="518"/>
      <c r="X175" s="518"/>
      <c r="Y175" s="518"/>
      <c r="Z175" s="1453"/>
      <c r="AA175" s="517"/>
      <c r="AB175" s="518"/>
      <c r="AC175" s="519"/>
    </row>
    <row r="176" spans="1:31" outlineLevel="2">
      <c r="A176" s="308"/>
      <c r="B176" s="3803"/>
      <c r="C176" s="1582" t="s">
        <v>620</v>
      </c>
      <c r="D176" s="624">
        <f>D173+D174+D175</f>
        <v>0</v>
      </c>
      <c r="E176" s="617">
        <f t="shared" ref="E176:R176" si="139">E173+E174+E175</f>
        <v>0</v>
      </c>
      <c r="F176" s="617">
        <f t="shared" si="139"/>
        <v>0</v>
      </c>
      <c r="G176" s="617">
        <f t="shared" si="139"/>
        <v>0</v>
      </c>
      <c r="H176" s="1454">
        <f t="shared" si="139"/>
        <v>0</v>
      </c>
      <c r="I176" s="624">
        <f t="shared" si="139"/>
        <v>0</v>
      </c>
      <c r="J176" s="617">
        <f t="shared" si="139"/>
        <v>0</v>
      </c>
      <c r="K176" s="617">
        <f t="shared" si="139"/>
        <v>0</v>
      </c>
      <c r="L176" s="617">
        <f t="shared" si="139"/>
        <v>0</v>
      </c>
      <c r="M176" s="625">
        <f t="shared" si="139"/>
        <v>0</v>
      </c>
      <c r="N176" s="624">
        <f t="shared" si="139"/>
        <v>0</v>
      </c>
      <c r="O176" s="617">
        <f t="shared" si="139"/>
        <v>0</v>
      </c>
      <c r="P176" s="617">
        <f t="shared" si="139"/>
        <v>0</v>
      </c>
      <c r="Q176" s="617">
        <f t="shared" si="139"/>
        <v>0</v>
      </c>
      <c r="R176" s="625">
        <f t="shared" si="139"/>
        <v>0</v>
      </c>
      <c r="V176" s="624">
        <f>V173+V174+V175</f>
        <v>0</v>
      </c>
      <c r="W176" s="617">
        <f t="shared" ref="W176:AC176" si="140">W173+W174+W175</f>
        <v>0</v>
      </c>
      <c r="X176" s="617">
        <f t="shared" si="140"/>
        <v>0</v>
      </c>
      <c r="Y176" s="617">
        <f t="shared" si="140"/>
        <v>0</v>
      </c>
      <c r="Z176" s="1454">
        <f t="shared" si="140"/>
        <v>0</v>
      </c>
      <c r="AA176" s="624">
        <f t="shared" si="140"/>
        <v>0</v>
      </c>
      <c r="AB176" s="617">
        <f t="shared" si="140"/>
        <v>0</v>
      </c>
      <c r="AC176" s="625">
        <f t="shared" si="140"/>
        <v>0</v>
      </c>
    </row>
    <row r="177" spans="1:29" outlineLevel="2">
      <c r="A177" s="308"/>
      <c r="B177" s="3803"/>
      <c r="C177" s="557" t="s">
        <v>641</v>
      </c>
      <c r="D177" s="514"/>
      <c r="E177" s="513"/>
      <c r="F177" s="513"/>
      <c r="G177" s="513"/>
      <c r="H177" s="702"/>
      <c r="I177" s="514"/>
      <c r="J177" s="513"/>
      <c r="K177" s="513"/>
      <c r="L177" s="513"/>
      <c r="M177" s="515"/>
      <c r="N177" s="514"/>
      <c r="O177" s="513"/>
      <c r="P177" s="513"/>
      <c r="Q177" s="513"/>
      <c r="R177" s="515"/>
      <c r="V177" s="517"/>
      <c r="W177" s="518"/>
      <c r="X177" s="518"/>
      <c r="Y177" s="518"/>
      <c r="Z177" s="1453"/>
      <c r="AA177" s="517"/>
      <c r="AB177" s="518"/>
      <c r="AC177" s="519"/>
    </row>
    <row r="178" spans="1:29" outlineLevel="2">
      <c r="A178" s="308"/>
      <c r="B178" s="3803"/>
      <c r="C178" s="1582" t="s">
        <v>621</v>
      </c>
      <c r="D178" s="624">
        <f>D176-D177</f>
        <v>0</v>
      </c>
      <c r="E178" s="617">
        <f t="shared" ref="E178:R178" si="141">E176-E177</f>
        <v>0</v>
      </c>
      <c r="F178" s="617">
        <f t="shared" si="141"/>
        <v>0</v>
      </c>
      <c r="G178" s="617">
        <f t="shared" si="141"/>
        <v>0</v>
      </c>
      <c r="H178" s="1454">
        <f t="shared" si="141"/>
        <v>0</v>
      </c>
      <c r="I178" s="624">
        <f t="shared" si="141"/>
        <v>0</v>
      </c>
      <c r="J178" s="617">
        <f t="shared" ref="J178" si="142">J176-J177</f>
        <v>0</v>
      </c>
      <c r="K178" s="617">
        <f t="shared" si="141"/>
        <v>0</v>
      </c>
      <c r="L178" s="617">
        <f t="shared" si="141"/>
        <v>0</v>
      </c>
      <c r="M178" s="625">
        <f t="shared" si="141"/>
        <v>0</v>
      </c>
      <c r="N178" s="624">
        <f t="shared" si="141"/>
        <v>0</v>
      </c>
      <c r="O178" s="617">
        <f t="shared" si="141"/>
        <v>0</v>
      </c>
      <c r="P178" s="617">
        <f t="shared" si="141"/>
        <v>0</v>
      </c>
      <c r="Q178" s="617">
        <f t="shared" si="141"/>
        <v>0</v>
      </c>
      <c r="R178" s="625">
        <f t="shared" si="141"/>
        <v>0</v>
      </c>
      <c r="V178" s="624">
        <f>V176-V177</f>
        <v>0</v>
      </c>
      <c r="W178" s="617">
        <f t="shared" ref="W178:AC178" si="143">W176-W177</f>
        <v>0</v>
      </c>
      <c r="X178" s="617">
        <f t="shared" si="143"/>
        <v>0</v>
      </c>
      <c r="Y178" s="617">
        <f t="shared" si="143"/>
        <v>0</v>
      </c>
      <c r="Z178" s="1454">
        <f t="shared" si="143"/>
        <v>0</v>
      </c>
      <c r="AA178" s="624">
        <f t="shared" si="143"/>
        <v>0</v>
      </c>
      <c r="AB178" s="617">
        <f t="shared" si="143"/>
        <v>0</v>
      </c>
      <c r="AC178" s="625">
        <f t="shared" si="143"/>
        <v>0</v>
      </c>
    </row>
    <row r="179" spans="1:29" ht="13.5" outlineLevel="2" thickBot="1">
      <c r="A179" s="308"/>
      <c r="B179" s="3804"/>
      <c r="C179" s="1773" t="s">
        <v>95</v>
      </c>
      <c r="D179" s="566" t="e">
        <f t="shared" ref="D179:R179" si="144">D173/D172</f>
        <v>#DIV/0!</v>
      </c>
      <c r="E179" s="567" t="e">
        <f t="shared" si="144"/>
        <v>#DIV/0!</v>
      </c>
      <c r="F179" s="567" t="e">
        <f t="shared" si="144"/>
        <v>#DIV/0!</v>
      </c>
      <c r="G179" s="567" t="e">
        <f t="shared" si="144"/>
        <v>#DIV/0!</v>
      </c>
      <c r="H179" s="1461" t="e">
        <f t="shared" si="144"/>
        <v>#DIV/0!</v>
      </c>
      <c r="I179" s="566" t="e">
        <f t="shared" si="144"/>
        <v>#DIV/0!</v>
      </c>
      <c r="J179" s="567" t="e">
        <f t="shared" si="144"/>
        <v>#DIV/0!</v>
      </c>
      <c r="K179" s="567" t="e">
        <f t="shared" si="144"/>
        <v>#DIV/0!</v>
      </c>
      <c r="L179" s="567" t="e">
        <f t="shared" si="144"/>
        <v>#DIV/0!</v>
      </c>
      <c r="M179" s="568" t="e">
        <f t="shared" si="144"/>
        <v>#DIV/0!</v>
      </c>
      <c r="N179" s="566" t="e">
        <f t="shared" si="144"/>
        <v>#DIV/0!</v>
      </c>
      <c r="O179" s="567" t="e">
        <f t="shared" si="144"/>
        <v>#DIV/0!</v>
      </c>
      <c r="P179" s="567" t="e">
        <f t="shared" si="144"/>
        <v>#DIV/0!</v>
      </c>
      <c r="Q179" s="567" t="e">
        <f t="shared" si="144"/>
        <v>#DIV/0!</v>
      </c>
      <c r="R179" s="568" t="e">
        <f t="shared" si="144"/>
        <v>#DIV/0!</v>
      </c>
      <c r="V179" s="1938" t="e">
        <f t="shared" ref="V179:AC179" si="145">V173/V172</f>
        <v>#DIV/0!</v>
      </c>
      <c r="W179" s="567" t="e">
        <f t="shared" si="145"/>
        <v>#DIV/0!</v>
      </c>
      <c r="X179" s="567" t="e">
        <f t="shared" si="145"/>
        <v>#DIV/0!</v>
      </c>
      <c r="Y179" s="567" t="e">
        <f t="shared" si="145"/>
        <v>#DIV/0!</v>
      </c>
      <c r="Z179" s="1461" t="e">
        <f t="shared" si="145"/>
        <v>#DIV/0!</v>
      </c>
      <c r="AA179" s="1938" t="e">
        <f t="shared" si="145"/>
        <v>#DIV/0!</v>
      </c>
      <c r="AB179" s="567" t="e">
        <f t="shared" si="145"/>
        <v>#DIV/0!</v>
      </c>
      <c r="AC179" s="568" t="e">
        <f t="shared" si="145"/>
        <v>#DIV/0!</v>
      </c>
    </row>
    <row r="180" spans="1:29" s="529" customFormat="1" outlineLevel="2">
      <c r="A180" s="308"/>
      <c r="B180" s="3803" t="s">
        <v>372</v>
      </c>
      <c r="C180" s="637" t="s">
        <v>92</v>
      </c>
      <c r="D180" s="466"/>
      <c r="E180" s="549"/>
      <c r="F180" s="549"/>
      <c r="G180" s="549"/>
      <c r="H180" s="1463"/>
      <c r="I180" s="466"/>
      <c r="J180" s="549"/>
      <c r="K180" s="549"/>
      <c r="L180" s="549"/>
      <c r="M180" s="563"/>
      <c r="N180" s="466"/>
      <c r="O180" s="549"/>
      <c r="P180" s="549"/>
      <c r="Q180" s="549"/>
      <c r="R180" s="563"/>
      <c r="S180" s="1427"/>
      <c r="T180" s="1427"/>
      <c r="U180" s="1427"/>
      <c r="V180" s="2170"/>
      <c r="W180" s="2171"/>
      <c r="X180" s="2171"/>
      <c r="Y180" s="2171"/>
      <c r="Z180" s="2173"/>
      <c r="AA180" s="2170"/>
      <c r="AB180" s="2171"/>
      <c r="AC180" s="2172"/>
    </row>
    <row r="181" spans="1:29" s="529" customFormat="1" outlineLevel="2">
      <c r="A181" s="308"/>
      <c r="B181" s="3803"/>
      <c r="C181" s="1581" t="s">
        <v>615</v>
      </c>
      <c r="D181" s="527"/>
      <c r="E181" s="522"/>
      <c r="F181" s="522"/>
      <c r="G181" s="522"/>
      <c r="H181" s="705"/>
      <c r="I181" s="527"/>
      <c r="J181" s="522"/>
      <c r="K181" s="522"/>
      <c r="L181" s="522"/>
      <c r="M181" s="535"/>
      <c r="N181" s="527"/>
      <c r="O181" s="522"/>
      <c r="P181" s="522"/>
      <c r="Q181" s="522"/>
      <c r="R181" s="535"/>
      <c r="S181" s="1427"/>
      <c r="T181" s="1427"/>
      <c r="U181" s="1427"/>
      <c r="V181" s="517"/>
      <c r="W181" s="518"/>
      <c r="X181" s="518"/>
      <c r="Y181" s="518"/>
      <c r="Z181" s="1453"/>
      <c r="AA181" s="517"/>
      <c r="AB181" s="518"/>
      <c r="AC181" s="519"/>
    </row>
    <row r="182" spans="1:29" s="529" customFormat="1" outlineLevel="2">
      <c r="A182" s="308"/>
      <c r="B182" s="3803"/>
      <c r="C182" s="557" t="s">
        <v>619</v>
      </c>
      <c r="D182" s="514"/>
      <c r="E182" s="513"/>
      <c r="F182" s="513"/>
      <c r="G182" s="513"/>
      <c r="H182" s="702"/>
      <c r="I182" s="483"/>
      <c r="J182" s="531"/>
      <c r="K182" s="531"/>
      <c r="L182" s="531"/>
      <c r="M182" s="489"/>
      <c r="N182" s="636"/>
      <c r="O182" s="532"/>
      <c r="P182" s="532"/>
      <c r="Q182" s="532"/>
      <c r="R182" s="579"/>
      <c r="S182" s="1427"/>
      <c r="T182" s="1427"/>
      <c r="U182" s="1427"/>
      <c r="V182" s="517"/>
      <c r="W182" s="518"/>
      <c r="X182" s="518"/>
      <c r="Y182" s="518"/>
      <c r="Z182" s="1453"/>
      <c r="AA182" s="569"/>
      <c r="AB182" s="570"/>
      <c r="AC182" s="608"/>
    </row>
    <row r="183" spans="1:29" s="529" customFormat="1" outlineLevel="2">
      <c r="A183" s="308"/>
      <c r="B183" s="3803"/>
      <c r="C183" s="557" t="s">
        <v>617</v>
      </c>
      <c r="D183" s="514"/>
      <c r="E183" s="513"/>
      <c r="F183" s="513"/>
      <c r="G183" s="513"/>
      <c r="H183" s="702"/>
      <c r="I183" s="514"/>
      <c r="J183" s="513"/>
      <c r="K183" s="513"/>
      <c r="L183" s="513"/>
      <c r="M183" s="515"/>
      <c r="N183" s="514"/>
      <c r="O183" s="513"/>
      <c r="P183" s="513"/>
      <c r="Q183" s="513"/>
      <c r="R183" s="515"/>
      <c r="S183" s="1427"/>
      <c r="T183" s="1427"/>
      <c r="U183" s="1427"/>
      <c r="V183" s="517"/>
      <c r="W183" s="518"/>
      <c r="X183" s="518"/>
      <c r="Y183" s="518"/>
      <c r="Z183" s="1453"/>
      <c r="AA183" s="517"/>
      <c r="AB183" s="518"/>
      <c r="AC183" s="519"/>
    </row>
    <row r="184" spans="1:29" s="529" customFormat="1" outlineLevel="2">
      <c r="A184" s="308"/>
      <c r="B184" s="3803"/>
      <c r="C184" s="1582" t="s">
        <v>620</v>
      </c>
      <c r="D184" s="624">
        <f>D181+D182+D183</f>
        <v>0</v>
      </c>
      <c r="E184" s="617">
        <f t="shared" ref="E184" si="146">E181+E182+E183</f>
        <v>0</v>
      </c>
      <c r="F184" s="617">
        <f t="shared" ref="F184" si="147">F181+F182+F183</f>
        <v>0</v>
      </c>
      <c r="G184" s="617">
        <f t="shared" ref="G184" si="148">G181+G182+G183</f>
        <v>0</v>
      </c>
      <c r="H184" s="1454">
        <f t="shared" ref="H184" si="149">H181+H182+H183</f>
        <v>0</v>
      </c>
      <c r="I184" s="624">
        <f t="shared" ref="I184" si="150">I181+I182+I183</f>
        <v>0</v>
      </c>
      <c r="J184" s="617">
        <f t="shared" ref="J184" si="151">J181+J182+J183</f>
        <v>0</v>
      </c>
      <c r="K184" s="617">
        <f t="shared" ref="K184" si="152">K181+K182+K183</f>
        <v>0</v>
      </c>
      <c r="L184" s="617">
        <f t="shared" ref="L184" si="153">L181+L182+L183</f>
        <v>0</v>
      </c>
      <c r="M184" s="625">
        <f t="shared" ref="M184" si="154">M181+M182+M183</f>
        <v>0</v>
      </c>
      <c r="N184" s="624">
        <f t="shared" ref="N184" si="155">N181+N182+N183</f>
        <v>0</v>
      </c>
      <c r="O184" s="617">
        <f t="shared" ref="O184" si="156">O181+O182+O183</f>
        <v>0</v>
      </c>
      <c r="P184" s="617">
        <f t="shared" ref="P184" si="157">P181+P182+P183</f>
        <v>0</v>
      </c>
      <c r="Q184" s="617">
        <f t="shared" ref="Q184" si="158">Q181+Q182+Q183</f>
        <v>0</v>
      </c>
      <c r="R184" s="625">
        <f t="shared" ref="R184" si="159">R181+R182+R183</f>
        <v>0</v>
      </c>
      <c r="S184" s="1427"/>
      <c r="T184" s="1427"/>
      <c r="U184" s="1427"/>
      <c r="V184" s="624">
        <f>V181+V182+V183</f>
        <v>0</v>
      </c>
      <c r="W184" s="617">
        <f t="shared" ref="W184:AC184" si="160">W181+W182+W183</f>
        <v>0</v>
      </c>
      <c r="X184" s="617">
        <f t="shared" si="160"/>
        <v>0</v>
      </c>
      <c r="Y184" s="617">
        <f t="shared" si="160"/>
        <v>0</v>
      </c>
      <c r="Z184" s="1454">
        <f t="shared" si="160"/>
        <v>0</v>
      </c>
      <c r="AA184" s="624">
        <f t="shared" si="160"/>
        <v>0</v>
      </c>
      <c r="AB184" s="617">
        <f t="shared" si="160"/>
        <v>0</v>
      </c>
      <c r="AC184" s="625">
        <f t="shared" si="160"/>
        <v>0</v>
      </c>
    </row>
    <row r="185" spans="1:29" s="529" customFormat="1" outlineLevel="2">
      <c r="A185" s="308"/>
      <c r="B185" s="3803"/>
      <c r="C185" s="557" t="s">
        <v>641</v>
      </c>
      <c r="D185" s="514"/>
      <c r="E185" s="513"/>
      <c r="F185" s="513"/>
      <c r="G185" s="513"/>
      <c r="H185" s="702"/>
      <c r="I185" s="514"/>
      <c r="J185" s="513"/>
      <c r="K185" s="513"/>
      <c r="L185" s="513"/>
      <c r="M185" s="515"/>
      <c r="N185" s="514"/>
      <c r="O185" s="513"/>
      <c r="P185" s="513"/>
      <c r="Q185" s="513"/>
      <c r="R185" s="515"/>
      <c r="S185" s="1427"/>
      <c r="T185" s="1427"/>
      <c r="U185" s="1427"/>
      <c r="V185" s="517"/>
      <c r="W185" s="518"/>
      <c r="X185" s="518"/>
      <c r="Y185" s="518"/>
      <c r="Z185" s="1453"/>
      <c r="AA185" s="517"/>
      <c r="AB185" s="518"/>
      <c r="AC185" s="519"/>
    </row>
    <row r="186" spans="1:29" s="529" customFormat="1" outlineLevel="2">
      <c r="A186" s="308"/>
      <c r="B186" s="3803"/>
      <c r="C186" s="1582" t="s">
        <v>621</v>
      </c>
      <c r="D186" s="624">
        <f>D184-D185</f>
        <v>0</v>
      </c>
      <c r="E186" s="617">
        <f t="shared" ref="E186:R186" si="161">E184-E185</f>
        <v>0</v>
      </c>
      <c r="F186" s="617">
        <f t="shared" si="161"/>
        <v>0</v>
      </c>
      <c r="G186" s="617">
        <f t="shared" si="161"/>
        <v>0</v>
      </c>
      <c r="H186" s="1454">
        <f t="shared" si="161"/>
        <v>0</v>
      </c>
      <c r="I186" s="624">
        <f t="shared" si="161"/>
        <v>0</v>
      </c>
      <c r="J186" s="617">
        <f t="shared" si="161"/>
        <v>0</v>
      </c>
      <c r="K186" s="617">
        <f t="shared" si="161"/>
        <v>0</v>
      </c>
      <c r="L186" s="617">
        <f t="shared" si="161"/>
        <v>0</v>
      </c>
      <c r="M186" s="625">
        <f t="shared" si="161"/>
        <v>0</v>
      </c>
      <c r="N186" s="624">
        <f t="shared" si="161"/>
        <v>0</v>
      </c>
      <c r="O186" s="617">
        <f t="shared" si="161"/>
        <v>0</v>
      </c>
      <c r="P186" s="617">
        <f t="shared" si="161"/>
        <v>0</v>
      </c>
      <c r="Q186" s="617">
        <f t="shared" si="161"/>
        <v>0</v>
      </c>
      <c r="R186" s="625">
        <f t="shared" si="161"/>
        <v>0</v>
      </c>
      <c r="S186" s="1427"/>
      <c r="T186" s="1427"/>
      <c r="U186" s="1427"/>
      <c r="V186" s="624">
        <f>V184-V185</f>
        <v>0</v>
      </c>
      <c r="W186" s="617">
        <f t="shared" ref="W186:AC186" si="162">W184-W185</f>
        <v>0</v>
      </c>
      <c r="X186" s="617">
        <f t="shared" si="162"/>
        <v>0</v>
      </c>
      <c r="Y186" s="617">
        <f t="shared" si="162"/>
        <v>0</v>
      </c>
      <c r="Z186" s="1454">
        <f t="shared" si="162"/>
        <v>0</v>
      </c>
      <c r="AA186" s="624">
        <f t="shared" si="162"/>
        <v>0</v>
      </c>
      <c r="AB186" s="617">
        <f t="shared" si="162"/>
        <v>0</v>
      </c>
      <c r="AC186" s="625">
        <f t="shared" si="162"/>
        <v>0</v>
      </c>
    </row>
    <row r="187" spans="1:29" s="529" customFormat="1" ht="13.5" outlineLevel="2" thickBot="1">
      <c r="A187" s="308"/>
      <c r="B187" s="3804"/>
      <c r="C187" s="1773" t="s">
        <v>95</v>
      </c>
      <c r="D187" s="566" t="e">
        <f t="shared" ref="D187:R187" si="163">D181/D180</f>
        <v>#DIV/0!</v>
      </c>
      <c r="E187" s="567" t="e">
        <f t="shared" si="163"/>
        <v>#DIV/0!</v>
      </c>
      <c r="F187" s="567" t="e">
        <f t="shared" si="163"/>
        <v>#DIV/0!</v>
      </c>
      <c r="G187" s="567" t="e">
        <f t="shared" si="163"/>
        <v>#DIV/0!</v>
      </c>
      <c r="H187" s="1461" t="e">
        <f t="shared" si="163"/>
        <v>#DIV/0!</v>
      </c>
      <c r="I187" s="566" t="e">
        <f t="shared" si="163"/>
        <v>#DIV/0!</v>
      </c>
      <c r="J187" s="567" t="e">
        <f t="shared" si="163"/>
        <v>#DIV/0!</v>
      </c>
      <c r="K187" s="567" t="e">
        <f t="shared" si="163"/>
        <v>#DIV/0!</v>
      </c>
      <c r="L187" s="567" t="e">
        <f t="shared" si="163"/>
        <v>#DIV/0!</v>
      </c>
      <c r="M187" s="568" t="e">
        <f t="shared" si="163"/>
        <v>#DIV/0!</v>
      </c>
      <c r="N187" s="566" t="e">
        <f t="shared" si="163"/>
        <v>#DIV/0!</v>
      </c>
      <c r="O187" s="567" t="e">
        <f t="shared" si="163"/>
        <v>#DIV/0!</v>
      </c>
      <c r="P187" s="567" t="e">
        <f t="shared" si="163"/>
        <v>#DIV/0!</v>
      </c>
      <c r="Q187" s="567" t="e">
        <f t="shared" si="163"/>
        <v>#DIV/0!</v>
      </c>
      <c r="R187" s="568" t="e">
        <f t="shared" si="163"/>
        <v>#DIV/0!</v>
      </c>
      <c r="S187" s="1427"/>
      <c r="T187" s="1427"/>
      <c r="U187" s="1427"/>
      <c r="V187" s="1938" t="e">
        <f t="shared" ref="V187:AC187" si="164">V181/V180</f>
        <v>#DIV/0!</v>
      </c>
      <c r="W187" s="567" t="e">
        <f t="shared" si="164"/>
        <v>#DIV/0!</v>
      </c>
      <c r="X187" s="567" t="e">
        <f t="shared" si="164"/>
        <v>#DIV/0!</v>
      </c>
      <c r="Y187" s="567" t="e">
        <f t="shared" si="164"/>
        <v>#DIV/0!</v>
      </c>
      <c r="Z187" s="1461" t="e">
        <f t="shared" si="164"/>
        <v>#DIV/0!</v>
      </c>
      <c r="AA187" s="1938" t="e">
        <f t="shared" si="164"/>
        <v>#DIV/0!</v>
      </c>
      <c r="AB187" s="567" t="e">
        <f t="shared" si="164"/>
        <v>#DIV/0!</v>
      </c>
      <c r="AC187" s="568" t="e">
        <f t="shared" si="164"/>
        <v>#DIV/0!</v>
      </c>
    </row>
    <row r="188" spans="1:29" s="529" customFormat="1" outlineLevel="2">
      <c r="A188" s="308"/>
      <c r="B188" s="3803" t="s">
        <v>650</v>
      </c>
      <c r="C188" s="637" t="s">
        <v>92</v>
      </c>
      <c r="D188" s="466"/>
      <c r="E188" s="549"/>
      <c r="F188" s="549"/>
      <c r="G188" s="549"/>
      <c r="H188" s="1463"/>
      <c r="I188" s="466"/>
      <c r="J188" s="549"/>
      <c r="K188" s="549"/>
      <c r="L188" s="549"/>
      <c r="M188" s="563"/>
      <c r="N188" s="466"/>
      <c r="O188" s="549"/>
      <c r="P188" s="549"/>
      <c r="Q188" s="549"/>
      <c r="R188" s="563"/>
      <c r="S188" s="1427"/>
      <c r="T188" s="1427"/>
      <c r="U188" s="1427"/>
      <c r="V188" s="2170"/>
      <c r="W188" s="2171"/>
      <c r="X188" s="2171"/>
      <c r="Y188" s="2171"/>
      <c r="Z188" s="2173"/>
      <c r="AA188" s="2170"/>
      <c r="AB188" s="2171"/>
      <c r="AC188" s="2172"/>
    </row>
    <row r="189" spans="1:29" s="529" customFormat="1" outlineLevel="2">
      <c r="A189" s="308"/>
      <c r="B189" s="3803"/>
      <c r="C189" s="1581" t="s">
        <v>615</v>
      </c>
      <c r="D189" s="527"/>
      <c r="E189" s="522"/>
      <c r="F189" s="522"/>
      <c r="G189" s="522"/>
      <c r="H189" s="705"/>
      <c r="I189" s="527"/>
      <c r="J189" s="522"/>
      <c r="K189" s="522"/>
      <c r="L189" s="522"/>
      <c r="M189" s="535"/>
      <c r="N189" s="527"/>
      <c r="O189" s="522"/>
      <c r="P189" s="522"/>
      <c r="Q189" s="522"/>
      <c r="R189" s="535"/>
      <c r="S189" s="1427"/>
      <c r="T189" s="1427"/>
      <c r="U189" s="1427"/>
      <c r="V189" s="517"/>
      <c r="W189" s="518"/>
      <c r="X189" s="518"/>
      <c r="Y189" s="518"/>
      <c r="Z189" s="1453"/>
      <c r="AA189" s="517"/>
      <c r="AB189" s="518"/>
      <c r="AC189" s="519"/>
    </row>
    <row r="190" spans="1:29" s="529" customFormat="1" outlineLevel="2">
      <c r="A190" s="308"/>
      <c r="B190" s="3803"/>
      <c r="C190" s="557" t="s">
        <v>619</v>
      </c>
      <c r="D190" s="514"/>
      <c r="E190" s="513"/>
      <c r="F190" s="513"/>
      <c r="G190" s="513"/>
      <c r="H190" s="702"/>
      <c r="I190" s="483"/>
      <c r="J190" s="531"/>
      <c r="K190" s="531"/>
      <c r="L190" s="531"/>
      <c r="M190" s="489"/>
      <c r="N190" s="636"/>
      <c r="O190" s="532"/>
      <c r="P190" s="532"/>
      <c r="Q190" s="532"/>
      <c r="R190" s="579"/>
      <c r="S190" s="1427"/>
      <c r="T190" s="1427"/>
      <c r="U190" s="1427"/>
      <c r="V190" s="517"/>
      <c r="W190" s="518"/>
      <c r="X190" s="518"/>
      <c r="Y190" s="518"/>
      <c r="Z190" s="1453"/>
      <c r="AA190" s="569"/>
      <c r="AB190" s="570"/>
      <c r="AC190" s="608"/>
    </row>
    <row r="191" spans="1:29" s="529" customFormat="1" outlineLevel="2">
      <c r="A191" s="308"/>
      <c r="B191" s="3803"/>
      <c r="C191" s="557" t="s">
        <v>617</v>
      </c>
      <c r="D191" s="514"/>
      <c r="E191" s="513"/>
      <c r="F191" s="513"/>
      <c r="G191" s="513"/>
      <c r="H191" s="702"/>
      <c r="I191" s="514"/>
      <c r="J191" s="513"/>
      <c r="K191" s="513"/>
      <c r="L191" s="513"/>
      <c r="M191" s="515"/>
      <c r="N191" s="514"/>
      <c r="O191" s="513"/>
      <c r="P191" s="513"/>
      <c r="Q191" s="513"/>
      <c r="R191" s="515"/>
      <c r="S191" s="1427"/>
      <c r="T191" s="1427"/>
      <c r="U191" s="1427"/>
      <c r="V191" s="517"/>
      <c r="W191" s="518"/>
      <c r="X191" s="518"/>
      <c r="Y191" s="518"/>
      <c r="Z191" s="1453"/>
      <c r="AA191" s="517"/>
      <c r="AB191" s="518"/>
      <c r="AC191" s="519"/>
    </row>
    <row r="192" spans="1:29" s="529" customFormat="1" outlineLevel="2">
      <c r="A192" s="308"/>
      <c r="B192" s="3803"/>
      <c r="C192" s="1582" t="s">
        <v>620</v>
      </c>
      <c r="D192" s="624">
        <f>D189+D190+D191</f>
        <v>0</v>
      </c>
      <c r="E192" s="617">
        <f t="shared" ref="E192" si="165">E189+E190+E191</f>
        <v>0</v>
      </c>
      <c r="F192" s="617">
        <f t="shared" ref="F192" si="166">F189+F190+F191</f>
        <v>0</v>
      </c>
      <c r="G192" s="617">
        <f t="shared" ref="G192" si="167">G189+G190+G191</f>
        <v>0</v>
      </c>
      <c r="H192" s="1454">
        <f t="shared" ref="H192" si="168">H189+H190+H191</f>
        <v>0</v>
      </c>
      <c r="I192" s="624">
        <f t="shared" ref="I192" si="169">I189+I190+I191</f>
        <v>0</v>
      </c>
      <c r="J192" s="617">
        <f t="shared" ref="J192" si="170">J189+J190+J191</f>
        <v>0</v>
      </c>
      <c r="K192" s="617">
        <f t="shared" ref="K192" si="171">K189+K190+K191</f>
        <v>0</v>
      </c>
      <c r="L192" s="617">
        <f t="shared" ref="L192" si="172">L189+L190+L191</f>
        <v>0</v>
      </c>
      <c r="M192" s="625">
        <f t="shared" ref="M192" si="173">M189+M190+M191</f>
        <v>0</v>
      </c>
      <c r="N192" s="624">
        <f t="shared" ref="N192" si="174">N189+N190+N191</f>
        <v>0</v>
      </c>
      <c r="O192" s="617">
        <f t="shared" ref="O192" si="175">O189+O190+O191</f>
        <v>0</v>
      </c>
      <c r="P192" s="617">
        <f t="shared" ref="P192" si="176">P189+P190+P191</f>
        <v>0</v>
      </c>
      <c r="Q192" s="617">
        <f t="shared" ref="Q192" si="177">Q189+Q190+Q191</f>
        <v>0</v>
      </c>
      <c r="R192" s="625">
        <f t="shared" ref="R192" si="178">R189+R190+R191</f>
        <v>0</v>
      </c>
      <c r="S192" s="1427"/>
      <c r="T192" s="1427"/>
      <c r="U192" s="1427"/>
      <c r="V192" s="624">
        <f>V189+V190+V191</f>
        <v>0</v>
      </c>
      <c r="W192" s="617">
        <f t="shared" ref="W192:AC192" si="179">W189+W190+W191</f>
        <v>0</v>
      </c>
      <c r="X192" s="617">
        <f t="shared" si="179"/>
        <v>0</v>
      </c>
      <c r="Y192" s="617">
        <f t="shared" si="179"/>
        <v>0</v>
      </c>
      <c r="Z192" s="1454">
        <f t="shared" si="179"/>
        <v>0</v>
      </c>
      <c r="AA192" s="624">
        <f t="shared" si="179"/>
        <v>0</v>
      </c>
      <c r="AB192" s="617">
        <f t="shared" si="179"/>
        <v>0</v>
      </c>
      <c r="AC192" s="625">
        <f t="shared" si="179"/>
        <v>0</v>
      </c>
    </row>
    <row r="193" spans="1:29" s="529" customFormat="1" outlineLevel="2">
      <c r="A193" s="308"/>
      <c r="B193" s="3803"/>
      <c r="C193" s="557" t="s">
        <v>641</v>
      </c>
      <c r="D193" s="514"/>
      <c r="E193" s="513"/>
      <c r="F193" s="513"/>
      <c r="G193" s="513"/>
      <c r="H193" s="702"/>
      <c r="I193" s="514"/>
      <c r="J193" s="513"/>
      <c r="K193" s="513"/>
      <c r="L193" s="513"/>
      <c r="M193" s="515"/>
      <c r="N193" s="514"/>
      <c r="O193" s="513"/>
      <c r="P193" s="513"/>
      <c r="Q193" s="513"/>
      <c r="R193" s="515"/>
      <c r="S193" s="1427"/>
      <c r="T193" s="1427"/>
      <c r="U193" s="1427"/>
      <c r="V193" s="517"/>
      <c r="W193" s="518"/>
      <c r="X193" s="518"/>
      <c r="Y193" s="518"/>
      <c r="Z193" s="1453"/>
      <c r="AA193" s="517"/>
      <c r="AB193" s="518"/>
      <c r="AC193" s="519"/>
    </row>
    <row r="194" spans="1:29" s="529" customFormat="1" outlineLevel="2">
      <c r="A194" s="308"/>
      <c r="B194" s="3803"/>
      <c r="C194" s="1582" t="s">
        <v>621</v>
      </c>
      <c r="D194" s="624">
        <f>D192-D193</f>
        <v>0</v>
      </c>
      <c r="E194" s="617">
        <f t="shared" ref="E194:R194" si="180">E192-E193</f>
        <v>0</v>
      </c>
      <c r="F194" s="617">
        <f t="shared" si="180"/>
        <v>0</v>
      </c>
      <c r="G194" s="617">
        <f t="shared" si="180"/>
        <v>0</v>
      </c>
      <c r="H194" s="1454">
        <f t="shared" si="180"/>
        <v>0</v>
      </c>
      <c r="I194" s="624">
        <f t="shared" si="180"/>
        <v>0</v>
      </c>
      <c r="J194" s="617">
        <f t="shared" si="180"/>
        <v>0</v>
      </c>
      <c r="K194" s="617">
        <f t="shared" si="180"/>
        <v>0</v>
      </c>
      <c r="L194" s="617">
        <f t="shared" si="180"/>
        <v>0</v>
      </c>
      <c r="M194" s="625">
        <f t="shared" si="180"/>
        <v>0</v>
      </c>
      <c r="N194" s="624">
        <f t="shared" si="180"/>
        <v>0</v>
      </c>
      <c r="O194" s="617">
        <f t="shared" si="180"/>
        <v>0</v>
      </c>
      <c r="P194" s="617">
        <f t="shared" si="180"/>
        <v>0</v>
      </c>
      <c r="Q194" s="617">
        <f t="shared" si="180"/>
        <v>0</v>
      </c>
      <c r="R194" s="625">
        <f t="shared" si="180"/>
        <v>0</v>
      </c>
      <c r="S194" s="1427"/>
      <c r="T194" s="1427"/>
      <c r="U194" s="1427"/>
      <c r="V194" s="624">
        <f>V192-V193</f>
        <v>0</v>
      </c>
      <c r="W194" s="617">
        <f t="shared" ref="W194:AC194" si="181">W192-W193</f>
        <v>0</v>
      </c>
      <c r="X194" s="617">
        <f t="shared" si="181"/>
        <v>0</v>
      </c>
      <c r="Y194" s="617">
        <f t="shared" si="181"/>
        <v>0</v>
      </c>
      <c r="Z194" s="1454">
        <f t="shared" si="181"/>
        <v>0</v>
      </c>
      <c r="AA194" s="624">
        <f t="shared" si="181"/>
        <v>0</v>
      </c>
      <c r="AB194" s="617">
        <f t="shared" si="181"/>
        <v>0</v>
      </c>
      <c r="AC194" s="625">
        <f t="shared" si="181"/>
        <v>0</v>
      </c>
    </row>
    <row r="195" spans="1:29" s="529" customFormat="1" ht="13.5" outlineLevel="2" thickBot="1">
      <c r="A195" s="308"/>
      <c r="B195" s="3804"/>
      <c r="C195" s="1773" t="s">
        <v>95</v>
      </c>
      <c r="D195" s="566" t="e">
        <f t="shared" ref="D195:R195" si="182">D189/D188</f>
        <v>#DIV/0!</v>
      </c>
      <c r="E195" s="567" t="e">
        <f t="shared" si="182"/>
        <v>#DIV/0!</v>
      </c>
      <c r="F195" s="567" t="e">
        <f t="shared" si="182"/>
        <v>#DIV/0!</v>
      </c>
      <c r="G195" s="567" t="e">
        <f t="shared" si="182"/>
        <v>#DIV/0!</v>
      </c>
      <c r="H195" s="1461" t="e">
        <f t="shared" si="182"/>
        <v>#DIV/0!</v>
      </c>
      <c r="I195" s="566" t="e">
        <f t="shared" si="182"/>
        <v>#DIV/0!</v>
      </c>
      <c r="J195" s="567" t="e">
        <f t="shared" si="182"/>
        <v>#DIV/0!</v>
      </c>
      <c r="K195" s="567" t="e">
        <f t="shared" si="182"/>
        <v>#DIV/0!</v>
      </c>
      <c r="L195" s="567" t="e">
        <f t="shared" si="182"/>
        <v>#DIV/0!</v>
      </c>
      <c r="M195" s="568" t="e">
        <f t="shared" si="182"/>
        <v>#DIV/0!</v>
      </c>
      <c r="N195" s="566" t="e">
        <f t="shared" si="182"/>
        <v>#DIV/0!</v>
      </c>
      <c r="O195" s="567" t="e">
        <f t="shared" si="182"/>
        <v>#DIV/0!</v>
      </c>
      <c r="P195" s="567" t="e">
        <f t="shared" si="182"/>
        <v>#DIV/0!</v>
      </c>
      <c r="Q195" s="567" t="e">
        <f t="shared" si="182"/>
        <v>#DIV/0!</v>
      </c>
      <c r="R195" s="568" t="e">
        <f t="shared" si="182"/>
        <v>#DIV/0!</v>
      </c>
      <c r="S195" s="1427"/>
      <c r="T195" s="1427"/>
      <c r="U195" s="1427"/>
      <c r="V195" s="1938" t="e">
        <f t="shared" ref="V195:AC195" si="183">V189/V188</f>
        <v>#DIV/0!</v>
      </c>
      <c r="W195" s="567" t="e">
        <f t="shared" si="183"/>
        <v>#DIV/0!</v>
      </c>
      <c r="X195" s="567" t="e">
        <f t="shared" si="183"/>
        <v>#DIV/0!</v>
      </c>
      <c r="Y195" s="567" t="e">
        <f t="shared" si="183"/>
        <v>#DIV/0!</v>
      </c>
      <c r="Z195" s="1461" t="e">
        <f t="shared" si="183"/>
        <v>#DIV/0!</v>
      </c>
      <c r="AA195" s="1938" t="e">
        <f t="shared" si="183"/>
        <v>#DIV/0!</v>
      </c>
      <c r="AB195" s="567" t="e">
        <f t="shared" si="183"/>
        <v>#DIV/0!</v>
      </c>
      <c r="AC195" s="568" t="e">
        <f t="shared" si="183"/>
        <v>#DIV/0!</v>
      </c>
    </row>
    <row r="196" spans="1:29" ht="17.25" customHeight="1" outlineLevel="1">
      <c r="A196" s="308"/>
      <c r="B196" s="3806" t="s">
        <v>94</v>
      </c>
      <c r="C196" s="3807"/>
      <c r="D196" s="1777">
        <f t="shared" ref="D196:R196" si="184">D172+D181+D190</f>
        <v>0</v>
      </c>
      <c r="E196" s="1778">
        <f t="shared" si="184"/>
        <v>0</v>
      </c>
      <c r="F196" s="1778">
        <f t="shared" si="184"/>
        <v>0</v>
      </c>
      <c r="G196" s="1778">
        <f t="shared" si="184"/>
        <v>0</v>
      </c>
      <c r="H196" s="1779">
        <f t="shared" si="184"/>
        <v>0</v>
      </c>
      <c r="I196" s="1783">
        <f t="shared" si="184"/>
        <v>0</v>
      </c>
      <c r="J196" s="1778">
        <f t="shared" si="184"/>
        <v>0</v>
      </c>
      <c r="K196" s="1778">
        <f t="shared" si="184"/>
        <v>0</v>
      </c>
      <c r="L196" s="1778">
        <f t="shared" si="184"/>
        <v>0</v>
      </c>
      <c r="M196" s="1779">
        <f t="shared" si="184"/>
        <v>0</v>
      </c>
      <c r="N196" s="1783">
        <f t="shared" si="184"/>
        <v>0</v>
      </c>
      <c r="O196" s="1778">
        <f t="shared" si="184"/>
        <v>0</v>
      </c>
      <c r="P196" s="1778">
        <f t="shared" si="184"/>
        <v>0</v>
      </c>
      <c r="Q196" s="1778">
        <f t="shared" si="184"/>
        <v>0</v>
      </c>
      <c r="R196" s="1779">
        <f t="shared" si="184"/>
        <v>0</v>
      </c>
      <c r="V196" s="1777">
        <f t="shared" ref="V196:AC196" si="185">V172+V181+V190</f>
        <v>0</v>
      </c>
      <c r="W196" s="1778">
        <f t="shared" si="185"/>
        <v>0</v>
      </c>
      <c r="X196" s="1778">
        <f t="shared" si="185"/>
        <v>0</v>
      </c>
      <c r="Y196" s="1778">
        <f t="shared" si="185"/>
        <v>0</v>
      </c>
      <c r="Z196" s="1779">
        <f t="shared" si="185"/>
        <v>0</v>
      </c>
      <c r="AA196" s="1777">
        <f t="shared" si="185"/>
        <v>0</v>
      </c>
      <c r="AB196" s="1778">
        <f t="shared" si="185"/>
        <v>0</v>
      </c>
      <c r="AC196" s="1779">
        <f t="shared" si="185"/>
        <v>0</v>
      </c>
    </row>
    <row r="197" spans="1:29" ht="17.25" customHeight="1" outlineLevel="1" thickBot="1">
      <c r="A197" s="308"/>
      <c r="B197" s="3808" t="s">
        <v>93</v>
      </c>
      <c r="C197" s="3809"/>
      <c r="D197" s="1780">
        <f t="shared" ref="D197:R197" si="186">D176+D185+D194</f>
        <v>0</v>
      </c>
      <c r="E197" s="1781">
        <f t="shared" si="186"/>
        <v>0</v>
      </c>
      <c r="F197" s="1781">
        <f t="shared" si="186"/>
        <v>0</v>
      </c>
      <c r="G197" s="1781">
        <f t="shared" si="186"/>
        <v>0</v>
      </c>
      <c r="H197" s="1782">
        <f t="shared" si="186"/>
        <v>0</v>
      </c>
      <c r="I197" s="1784">
        <f t="shared" si="186"/>
        <v>0</v>
      </c>
      <c r="J197" s="1781">
        <f t="shared" si="186"/>
        <v>0</v>
      </c>
      <c r="K197" s="1781">
        <f t="shared" si="186"/>
        <v>0</v>
      </c>
      <c r="L197" s="1781">
        <f t="shared" si="186"/>
        <v>0</v>
      </c>
      <c r="M197" s="1782">
        <f t="shared" si="186"/>
        <v>0</v>
      </c>
      <c r="N197" s="1784">
        <f t="shared" si="186"/>
        <v>0</v>
      </c>
      <c r="O197" s="1781">
        <f t="shared" si="186"/>
        <v>0</v>
      </c>
      <c r="P197" s="1781">
        <f t="shared" si="186"/>
        <v>0</v>
      </c>
      <c r="Q197" s="1781">
        <f t="shared" si="186"/>
        <v>0</v>
      </c>
      <c r="R197" s="1782">
        <f t="shared" si="186"/>
        <v>0</v>
      </c>
      <c r="V197" s="1780">
        <f t="shared" ref="V197:AC197" si="187">V176+V185+V194</f>
        <v>0</v>
      </c>
      <c r="W197" s="1781">
        <f t="shared" si="187"/>
        <v>0</v>
      </c>
      <c r="X197" s="1781">
        <f t="shared" si="187"/>
        <v>0</v>
      </c>
      <c r="Y197" s="1781">
        <f t="shared" si="187"/>
        <v>0</v>
      </c>
      <c r="Z197" s="1782">
        <f t="shared" si="187"/>
        <v>0</v>
      </c>
      <c r="AA197" s="1780">
        <f t="shared" si="187"/>
        <v>0</v>
      </c>
      <c r="AB197" s="1781">
        <f t="shared" si="187"/>
        <v>0</v>
      </c>
      <c r="AC197" s="1782">
        <f t="shared" si="187"/>
        <v>0</v>
      </c>
    </row>
    <row r="198" spans="1:29" s="529" customFormat="1" ht="20.25" customHeight="1" thickBot="1">
      <c r="A198" s="308"/>
      <c r="B198" s="858" t="s">
        <v>476</v>
      </c>
      <c r="C198" s="859"/>
      <c r="D198" s="1572"/>
      <c r="E198" s="1572"/>
      <c r="F198" s="1572"/>
      <c r="G198" s="1572"/>
      <c r="H198" s="1572"/>
      <c r="I198" s="1572"/>
      <c r="J198" s="1572"/>
      <c r="K198" s="1572"/>
      <c r="L198" s="1572"/>
      <c r="M198" s="1572"/>
      <c r="N198" s="1572"/>
      <c r="O198" s="1572"/>
      <c r="P198" s="1572"/>
      <c r="Q198" s="1572"/>
      <c r="R198" s="1573"/>
      <c r="S198" s="1427"/>
      <c r="T198" s="1427"/>
      <c r="U198" s="1427"/>
      <c r="V198" s="1571"/>
      <c r="W198" s="1572"/>
      <c r="X198" s="1572"/>
      <c r="Y198" s="1572"/>
      <c r="Z198" s="1572"/>
      <c r="AA198" s="1572"/>
      <c r="AB198" s="1572"/>
      <c r="AC198" s="1573"/>
    </row>
    <row r="199" spans="1:29" outlineLevel="2">
      <c r="A199" s="308"/>
      <c r="B199" s="3803" t="s">
        <v>294</v>
      </c>
      <c r="C199" s="1618" t="s">
        <v>92</v>
      </c>
      <c r="D199" s="466"/>
      <c r="E199" s="549"/>
      <c r="F199" s="549"/>
      <c r="G199" s="549"/>
      <c r="H199" s="563"/>
      <c r="I199" s="466"/>
      <c r="J199" s="549"/>
      <c r="K199" s="549"/>
      <c r="L199" s="549"/>
      <c r="M199" s="563"/>
      <c r="N199" s="466"/>
      <c r="O199" s="549"/>
      <c r="P199" s="549"/>
      <c r="Q199" s="549"/>
      <c r="R199" s="563"/>
      <c r="V199" s="2170"/>
      <c r="W199" s="2171"/>
      <c r="X199" s="2171"/>
      <c r="Y199" s="2171"/>
      <c r="Z199" s="2172"/>
      <c r="AA199" s="2170"/>
      <c r="AB199" s="2171"/>
      <c r="AC199" s="2172"/>
    </row>
    <row r="200" spans="1:29" outlineLevel="2">
      <c r="A200" s="308"/>
      <c r="B200" s="3803"/>
      <c r="C200" s="557" t="s">
        <v>595</v>
      </c>
      <c r="D200" s="514"/>
      <c r="E200" s="513"/>
      <c r="F200" s="513"/>
      <c r="G200" s="513"/>
      <c r="H200" s="515"/>
      <c r="I200" s="514"/>
      <c r="J200" s="513"/>
      <c r="K200" s="513"/>
      <c r="L200" s="513"/>
      <c r="M200" s="515"/>
      <c r="N200" s="514"/>
      <c r="O200" s="513"/>
      <c r="P200" s="513"/>
      <c r="Q200" s="513"/>
      <c r="R200" s="515"/>
      <c r="V200" s="517"/>
      <c r="W200" s="518"/>
      <c r="X200" s="518"/>
      <c r="Y200" s="518"/>
      <c r="Z200" s="519"/>
      <c r="AA200" s="517"/>
      <c r="AB200" s="518"/>
      <c r="AC200" s="519"/>
    </row>
    <row r="201" spans="1:29" outlineLevel="2">
      <c r="A201" s="308"/>
      <c r="B201" s="3803"/>
      <c r="C201" s="557" t="s">
        <v>594</v>
      </c>
      <c r="D201" s="514"/>
      <c r="E201" s="513"/>
      <c r="F201" s="513"/>
      <c r="G201" s="513"/>
      <c r="H201" s="515"/>
      <c r="I201" s="514"/>
      <c r="J201" s="513"/>
      <c r="K201" s="513"/>
      <c r="L201" s="513"/>
      <c r="M201" s="515"/>
      <c r="N201" s="514"/>
      <c r="O201" s="513"/>
      <c r="P201" s="513"/>
      <c r="Q201" s="513"/>
      <c r="R201" s="515"/>
      <c r="V201" s="517"/>
      <c r="W201" s="518"/>
      <c r="X201" s="518"/>
      <c r="Y201" s="518"/>
      <c r="Z201" s="519"/>
      <c r="AA201" s="517"/>
      <c r="AB201" s="518"/>
      <c r="AC201" s="519"/>
    </row>
    <row r="202" spans="1:29" outlineLevel="2">
      <c r="A202" s="308"/>
      <c r="B202" s="3803"/>
      <c r="C202" s="557" t="s">
        <v>614</v>
      </c>
      <c r="D202" s="514"/>
      <c r="E202" s="513"/>
      <c r="F202" s="513"/>
      <c r="G202" s="513"/>
      <c r="H202" s="515"/>
      <c r="I202" s="514"/>
      <c r="J202" s="513"/>
      <c r="K202" s="513"/>
      <c r="L202" s="513"/>
      <c r="M202" s="515"/>
      <c r="N202" s="514"/>
      <c r="O202" s="513"/>
      <c r="P202" s="513"/>
      <c r="Q202" s="513"/>
      <c r="R202" s="515"/>
      <c r="V202" s="517"/>
      <c r="W202" s="518"/>
      <c r="X202" s="518"/>
      <c r="Y202" s="518"/>
      <c r="Z202" s="519"/>
      <c r="AA202" s="517"/>
      <c r="AB202" s="518"/>
      <c r="AC202" s="519"/>
    </row>
    <row r="203" spans="1:29" outlineLevel="2">
      <c r="A203" s="308"/>
      <c r="B203" s="3803"/>
      <c r="C203" s="1581" t="s">
        <v>615</v>
      </c>
      <c r="D203" s="517">
        <f>D200+D201+D202</f>
        <v>0</v>
      </c>
      <c r="E203" s="518">
        <f t="shared" ref="E203:R203" si="188">E200+E201+E202</f>
        <v>0</v>
      </c>
      <c r="F203" s="518">
        <f t="shared" si="188"/>
        <v>0</v>
      </c>
      <c r="G203" s="518">
        <f t="shared" si="188"/>
        <v>0</v>
      </c>
      <c r="H203" s="519">
        <f t="shared" si="188"/>
        <v>0</v>
      </c>
      <c r="I203" s="517">
        <f t="shared" si="188"/>
        <v>0</v>
      </c>
      <c r="J203" s="518">
        <f t="shared" ref="J203" si="189">J200+J201+J202</f>
        <v>0</v>
      </c>
      <c r="K203" s="518">
        <f t="shared" si="188"/>
        <v>0</v>
      </c>
      <c r="L203" s="518">
        <f t="shared" si="188"/>
        <v>0</v>
      </c>
      <c r="M203" s="519">
        <f t="shared" si="188"/>
        <v>0</v>
      </c>
      <c r="N203" s="517">
        <f t="shared" si="188"/>
        <v>0</v>
      </c>
      <c r="O203" s="518">
        <f t="shared" si="188"/>
        <v>0</v>
      </c>
      <c r="P203" s="518">
        <f t="shared" si="188"/>
        <v>0</v>
      </c>
      <c r="Q203" s="518">
        <f t="shared" si="188"/>
        <v>0</v>
      </c>
      <c r="R203" s="519">
        <f t="shared" si="188"/>
        <v>0</v>
      </c>
      <c r="V203" s="517">
        <f>V200+V201+V202</f>
        <v>0</v>
      </c>
      <c r="W203" s="518">
        <f t="shared" ref="W203:AC203" si="190">W200+W201+W202</f>
        <v>0</v>
      </c>
      <c r="X203" s="518">
        <f t="shared" si="190"/>
        <v>0</v>
      </c>
      <c r="Y203" s="518">
        <f t="shared" si="190"/>
        <v>0</v>
      </c>
      <c r="Z203" s="519">
        <f t="shared" si="190"/>
        <v>0</v>
      </c>
      <c r="AA203" s="517">
        <f t="shared" si="190"/>
        <v>0</v>
      </c>
      <c r="AB203" s="518">
        <f t="shared" si="190"/>
        <v>0</v>
      </c>
      <c r="AC203" s="519">
        <f t="shared" si="190"/>
        <v>0</v>
      </c>
    </row>
    <row r="204" spans="1:29" outlineLevel="2">
      <c r="A204" s="308"/>
      <c r="B204" s="3803"/>
      <c r="C204" s="557" t="s">
        <v>619</v>
      </c>
      <c r="D204" s="514"/>
      <c r="E204" s="513"/>
      <c r="F204" s="513"/>
      <c r="G204" s="513"/>
      <c r="H204" s="515"/>
      <c r="I204" s="483"/>
      <c r="J204" s="531"/>
      <c r="K204" s="531"/>
      <c r="L204" s="531"/>
      <c r="M204" s="489"/>
      <c r="N204" s="636"/>
      <c r="O204" s="532"/>
      <c r="P204" s="532"/>
      <c r="Q204" s="532"/>
      <c r="R204" s="579"/>
      <c r="V204" s="517"/>
      <c r="W204" s="518"/>
      <c r="X204" s="518"/>
      <c r="Y204" s="518"/>
      <c r="Z204" s="519"/>
      <c r="AA204" s="569"/>
      <c r="AB204" s="570"/>
      <c r="AC204" s="608"/>
    </row>
    <row r="205" spans="1:29" outlineLevel="2">
      <c r="A205" s="308"/>
      <c r="B205" s="3803"/>
      <c r="C205" s="557" t="s">
        <v>617</v>
      </c>
      <c r="D205" s="514"/>
      <c r="E205" s="513"/>
      <c r="F205" s="513"/>
      <c r="G205" s="513"/>
      <c r="H205" s="515"/>
      <c r="I205" s="514"/>
      <c r="J205" s="513"/>
      <c r="K205" s="513"/>
      <c r="L205" s="513"/>
      <c r="M205" s="515"/>
      <c r="N205" s="514"/>
      <c r="O205" s="513"/>
      <c r="P205" s="513"/>
      <c r="Q205" s="513"/>
      <c r="R205" s="515"/>
      <c r="V205" s="517"/>
      <c r="W205" s="518"/>
      <c r="X205" s="518"/>
      <c r="Y205" s="518"/>
      <c r="Z205" s="519"/>
      <c r="AA205" s="517"/>
      <c r="AB205" s="518"/>
      <c r="AC205" s="519"/>
    </row>
    <row r="206" spans="1:29" outlineLevel="2">
      <c r="A206" s="308"/>
      <c r="B206" s="3803"/>
      <c r="C206" s="1581" t="s">
        <v>620</v>
      </c>
      <c r="D206" s="624">
        <f>D203+D204+D205</f>
        <v>0</v>
      </c>
      <c r="E206" s="617">
        <f t="shared" ref="E206:R206" si="191">E203+E204+E205</f>
        <v>0</v>
      </c>
      <c r="F206" s="617">
        <f t="shared" si="191"/>
        <v>0</v>
      </c>
      <c r="G206" s="617">
        <f t="shared" si="191"/>
        <v>0</v>
      </c>
      <c r="H206" s="625">
        <f t="shared" si="191"/>
        <v>0</v>
      </c>
      <c r="I206" s="624">
        <f t="shared" si="191"/>
        <v>0</v>
      </c>
      <c r="J206" s="617">
        <f t="shared" si="191"/>
        <v>0</v>
      </c>
      <c r="K206" s="617">
        <f t="shared" si="191"/>
        <v>0</v>
      </c>
      <c r="L206" s="617">
        <f t="shared" si="191"/>
        <v>0</v>
      </c>
      <c r="M206" s="625">
        <f t="shared" si="191"/>
        <v>0</v>
      </c>
      <c r="N206" s="624">
        <f t="shared" si="191"/>
        <v>0</v>
      </c>
      <c r="O206" s="617">
        <f t="shared" si="191"/>
        <v>0</v>
      </c>
      <c r="P206" s="617">
        <f t="shared" si="191"/>
        <v>0</v>
      </c>
      <c r="Q206" s="617">
        <f t="shared" si="191"/>
        <v>0</v>
      </c>
      <c r="R206" s="625">
        <f t="shared" si="191"/>
        <v>0</v>
      </c>
      <c r="V206" s="624">
        <f>V203+V204+V205</f>
        <v>0</v>
      </c>
      <c r="W206" s="617">
        <f t="shared" ref="W206:AC206" si="192">W203+W204+W205</f>
        <v>0</v>
      </c>
      <c r="X206" s="617">
        <f t="shared" si="192"/>
        <v>0</v>
      </c>
      <c r="Y206" s="617">
        <f t="shared" si="192"/>
        <v>0</v>
      </c>
      <c r="Z206" s="625">
        <f t="shared" si="192"/>
        <v>0</v>
      </c>
      <c r="AA206" s="624">
        <f t="shared" si="192"/>
        <v>0</v>
      </c>
      <c r="AB206" s="617">
        <f t="shared" si="192"/>
        <v>0</v>
      </c>
      <c r="AC206" s="625">
        <f t="shared" si="192"/>
        <v>0</v>
      </c>
    </row>
    <row r="207" spans="1:29" outlineLevel="2">
      <c r="A207" s="308"/>
      <c r="B207" s="3803"/>
      <c r="C207" s="557" t="s">
        <v>641</v>
      </c>
      <c r="D207" s="514"/>
      <c r="E207" s="513"/>
      <c r="F207" s="513"/>
      <c r="G207" s="513"/>
      <c r="H207" s="515"/>
      <c r="I207" s="514"/>
      <c r="J207" s="513"/>
      <c r="K207" s="513"/>
      <c r="L207" s="513"/>
      <c r="M207" s="515"/>
      <c r="N207" s="514"/>
      <c r="O207" s="513"/>
      <c r="P207" s="513"/>
      <c r="Q207" s="513"/>
      <c r="R207" s="515"/>
      <c r="V207" s="517"/>
      <c r="W207" s="518"/>
      <c r="X207" s="518"/>
      <c r="Y207" s="518"/>
      <c r="Z207" s="519"/>
      <c r="AA207" s="517"/>
      <c r="AB207" s="518"/>
      <c r="AC207" s="519"/>
    </row>
    <row r="208" spans="1:29" outlineLevel="2">
      <c r="A208" s="308"/>
      <c r="B208" s="3803"/>
      <c r="C208" s="1581" t="s">
        <v>621</v>
      </c>
      <c r="D208" s="624">
        <f>D206-D207</f>
        <v>0</v>
      </c>
      <c r="E208" s="617">
        <f t="shared" ref="E208:R208" si="193">E206-E207</f>
        <v>0</v>
      </c>
      <c r="F208" s="617">
        <f t="shared" si="193"/>
        <v>0</v>
      </c>
      <c r="G208" s="617">
        <f t="shared" si="193"/>
        <v>0</v>
      </c>
      <c r="H208" s="625">
        <f t="shared" si="193"/>
        <v>0</v>
      </c>
      <c r="I208" s="624">
        <f t="shared" si="193"/>
        <v>0</v>
      </c>
      <c r="J208" s="617">
        <f t="shared" ref="J208" si="194">J206-J207</f>
        <v>0</v>
      </c>
      <c r="K208" s="617">
        <f t="shared" si="193"/>
        <v>0</v>
      </c>
      <c r="L208" s="617">
        <f t="shared" si="193"/>
        <v>0</v>
      </c>
      <c r="M208" s="625">
        <f t="shared" si="193"/>
        <v>0</v>
      </c>
      <c r="N208" s="624">
        <f t="shared" si="193"/>
        <v>0</v>
      </c>
      <c r="O208" s="617">
        <f t="shared" si="193"/>
        <v>0</v>
      </c>
      <c r="P208" s="617">
        <f t="shared" si="193"/>
        <v>0</v>
      </c>
      <c r="Q208" s="617">
        <f t="shared" si="193"/>
        <v>0</v>
      </c>
      <c r="R208" s="625">
        <f t="shared" si="193"/>
        <v>0</v>
      </c>
      <c r="V208" s="624">
        <f>V206-V207</f>
        <v>0</v>
      </c>
      <c r="W208" s="617">
        <f t="shared" ref="W208:AC208" si="195">W206-W207</f>
        <v>0</v>
      </c>
      <c r="X208" s="617">
        <f t="shared" si="195"/>
        <v>0</v>
      </c>
      <c r="Y208" s="617">
        <f t="shared" si="195"/>
        <v>0</v>
      </c>
      <c r="Z208" s="625">
        <f t="shared" si="195"/>
        <v>0</v>
      </c>
      <c r="AA208" s="624">
        <f t="shared" si="195"/>
        <v>0</v>
      </c>
      <c r="AB208" s="617">
        <f t="shared" si="195"/>
        <v>0</v>
      </c>
      <c r="AC208" s="625">
        <f t="shared" si="195"/>
        <v>0</v>
      </c>
    </row>
    <row r="209" spans="1:29" ht="13.5" outlineLevel="2" thickBot="1">
      <c r="A209" s="308"/>
      <c r="B209" s="3804"/>
      <c r="C209" s="1766" t="s">
        <v>95</v>
      </c>
      <c r="D209" s="566" t="e">
        <f t="shared" ref="D209:R209" si="196">D208/D199</f>
        <v>#DIV/0!</v>
      </c>
      <c r="E209" s="567" t="e">
        <f t="shared" si="196"/>
        <v>#DIV/0!</v>
      </c>
      <c r="F209" s="567" t="e">
        <f t="shared" si="196"/>
        <v>#DIV/0!</v>
      </c>
      <c r="G209" s="567" t="e">
        <f t="shared" si="196"/>
        <v>#DIV/0!</v>
      </c>
      <c r="H209" s="568" t="e">
        <f t="shared" si="196"/>
        <v>#DIV/0!</v>
      </c>
      <c r="I209" s="566" t="e">
        <f t="shared" si="196"/>
        <v>#DIV/0!</v>
      </c>
      <c r="J209" s="567" t="e">
        <f t="shared" si="196"/>
        <v>#DIV/0!</v>
      </c>
      <c r="K209" s="567" t="e">
        <f t="shared" si="196"/>
        <v>#DIV/0!</v>
      </c>
      <c r="L209" s="567" t="e">
        <f t="shared" si="196"/>
        <v>#DIV/0!</v>
      </c>
      <c r="M209" s="568" t="e">
        <f t="shared" si="196"/>
        <v>#DIV/0!</v>
      </c>
      <c r="N209" s="566" t="e">
        <f t="shared" si="196"/>
        <v>#DIV/0!</v>
      </c>
      <c r="O209" s="567" t="e">
        <f t="shared" si="196"/>
        <v>#DIV/0!</v>
      </c>
      <c r="P209" s="567" t="e">
        <f t="shared" si="196"/>
        <v>#DIV/0!</v>
      </c>
      <c r="Q209" s="567" t="e">
        <f t="shared" si="196"/>
        <v>#DIV/0!</v>
      </c>
      <c r="R209" s="568" t="e">
        <f t="shared" si="196"/>
        <v>#DIV/0!</v>
      </c>
      <c r="V209" s="1938" t="e">
        <f t="shared" ref="V209:AC209" si="197">V208/V199</f>
        <v>#DIV/0!</v>
      </c>
      <c r="W209" s="567" t="e">
        <f t="shared" si="197"/>
        <v>#DIV/0!</v>
      </c>
      <c r="X209" s="567" t="e">
        <f t="shared" si="197"/>
        <v>#DIV/0!</v>
      </c>
      <c r="Y209" s="567" t="e">
        <f t="shared" si="197"/>
        <v>#DIV/0!</v>
      </c>
      <c r="Z209" s="568" t="e">
        <f t="shared" si="197"/>
        <v>#DIV/0!</v>
      </c>
      <c r="AA209" s="1938" t="e">
        <f t="shared" si="197"/>
        <v>#DIV/0!</v>
      </c>
      <c r="AB209" s="567" t="e">
        <f t="shared" si="197"/>
        <v>#DIV/0!</v>
      </c>
      <c r="AC209" s="568" t="e">
        <f t="shared" si="197"/>
        <v>#DIV/0!</v>
      </c>
    </row>
    <row r="210" spans="1:29" s="529" customFormat="1" outlineLevel="2">
      <c r="A210" s="308"/>
      <c r="B210" s="3805" t="s">
        <v>295</v>
      </c>
      <c r="C210" s="1618" t="s">
        <v>92</v>
      </c>
      <c r="D210" s="466"/>
      <c r="E210" s="549"/>
      <c r="F210" s="549"/>
      <c r="G210" s="549"/>
      <c r="H210" s="563"/>
      <c r="I210" s="466"/>
      <c r="J210" s="549"/>
      <c r="K210" s="549"/>
      <c r="L210" s="549"/>
      <c r="M210" s="563"/>
      <c r="N210" s="466"/>
      <c r="O210" s="549"/>
      <c r="P210" s="549"/>
      <c r="Q210" s="549"/>
      <c r="R210" s="563"/>
      <c r="S210" s="1427"/>
      <c r="T210" s="1427"/>
      <c r="U210" s="1427"/>
      <c r="V210" s="2170"/>
      <c r="W210" s="2171"/>
      <c r="X210" s="2171"/>
      <c r="Y210" s="2171"/>
      <c r="Z210" s="2172"/>
      <c r="AA210" s="2170"/>
      <c r="AB210" s="2171"/>
      <c r="AC210" s="2172"/>
    </row>
    <row r="211" spans="1:29" s="529" customFormat="1" outlineLevel="2">
      <c r="A211" s="308"/>
      <c r="B211" s="3803"/>
      <c r="C211" s="557" t="s">
        <v>595</v>
      </c>
      <c r="D211" s="514"/>
      <c r="E211" s="513"/>
      <c r="F211" s="513"/>
      <c r="G211" s="513"/>
      <c r="H211" s="515"/>
      <c r="I211" s="514"/>
      <c r="J211" s="513"/>
      <c r="K211" s="513"/>
      <c r="L211" s="513"/>
      <c r="M211" s="515"/>
      <c r="N211" s="514"/>
      <c r="O211" s="513"/>
      <c r="P211" s="513"/>
      <c r="Q211" s="513"/>
      <c r="R211" s="515"/>
      <c r="S211" s="1427"/>
      <c r="T211" s="1427"/>
      <c r="U211" s="1427"/>
      <c r="V211" s="517"/>
      <c r="W211" s="518"/>
      <c r="X211" s="518"/>
      <c r="Y211" s="518"/>
      <c r="Z211" s="519"/>
      <c r="AA211" s="517"/>
      <c r="AB211" s="518"/>
      <c r="AC211" s="519"/>
    </row>
    <row r="212" spans="1:29" s="529" customFormat="1" outlineLevel="2">
      <c r="A212" s="308"/>
      <c r="B212" s="3803"/>
      <c r="C212" s="557" t="s">
        <v>594</v>
      </c>
      <c r="D212" s="514"/>
      <c r="E212" s="513"/>
      <c r="F212" s="513"/>
      <c r="G212" s="513"/>
      <c r="H212" s="515"/>
      <c r="I212" s="514"/>
      <c r="J212" s="513"/>
      <c r="K212" s="513"/>
      <c r="L212" s="513"/>
      <c r="M212" s="515"/>
      <c r="N212" s="514"/>
      <c r="O212" s="513"/>
      <c r="P212" s="513"/>
      <c r="Q212" s="513"/>
      <c r="R212" s="515"/>
      <c r="S212" s="1427"/>
      <c r="T212" s="1427"/>
      <c r="U212" s="1427"/>
      <c r="V212" s="517"/>
      <c r="W212" s="518"/>
      <c r="X212" s="518"/>
      <c r="Y212" s="518"/>
      <c r="Z212" s="519"/>
      <c r="AA212" s="517"/>
      <c r="AB212" s="518"/>
      <c r="AC212" s="519"/>
    </row>
    <row r="213" spans="1:29" s="529" customFormat="1" outlineLevel="2">
      <c r="A213" s="308"/>
      <c r="B213" s="3803"/>
      <c r="C213" s="557" t="s">
        <v>614</v>
      </c>
      <c r="D213" s="514"/>
      <c r="E213" s="513"/>
      <c r="F213" s="513"/>
      <c r="G213" s="513"/>
      <c r="H213" s="515"/>
      <c r="I213" s="514"/>
      <c r="J213" s="513"/>
      <c r="K213" s="513"/>
      <c r="L213" s="513"/>
      <c r="M213" s="515"/>
      <c r="N213" s="514"/>
      <c r="O213" s="513"/>
      <c r="P213" s="513"/>
      <c r="Q213" s="513"/>
      <c r="R213" s="515"/>
      <c r="S213" s="1427"/>
      <c r="T213" s="1427"/>
      <c r="U213" s="1427"/>
      <c r="V213" s="517"/>
      <c r="W213" s="518"/>
      <c r="X213" s="518"/>
      <c r="Y213" s="518"/>
      <c r="Z213" s="519"/>
      <c r="AA213" s="517"/>
      <c r="AB213" s="518"/>
      <c r="AC213" s="519"/>
    </row>
    <row r="214" spans="1:29" s="529" customFormat="1" outlineLevel="2">
      <c r="A214" s="308"/>
      <c r="B214" s="3803"/>
      <c r="C214" s="1581" t="s">
        <v>615</v>
      </c>
      <c r="D214" s="517">
        <f>D211+D212+D213</f>
        <v>0</v>
      </c>
      <c r="E214" s="518">
        <f t="shared" ref="E214:R214" si="198">E211+E212+E213</f>
        <v>0</v>
      </c>
      <c r="F214" s="518">
        <f t="shared" si="198"/>
        <v>0</v>
      </c>
      <c r="G214" s="518">
        <f t="shared" si="198"/>
        <v>0</v>
      </c>
      <c r="H214" s="519">
        <f t="shared" si="198"/>
        <v>0</v>
      </c>
      <c r="I214" s="517">
        <f t="shared" si="198"/>
        <v>0</v>
      </c>
      <c r="J214" s="518">
        <f t="shared" si="198"/>
        <v>0</v>
      </c>
      <c r="K214" s="518">
        <f t="shared" si="198"/>
        <v>0</v>
      </c>
      <c r="L214" s="518">
        <f t="shared" si="198"/>
        <v>0</v>
      </c>
      <c r="M214" s="519">
        <f t="shared" si="198"/>
        <v>0</v>
      </c>
      <c r="N214" s="517">
        <f t="shared" si="198"/>
        <v>0</v>
      </c>
      <c r="O214" s="518">
        <f t="shared" si="198"/>
        <v>0</v>
      </c>
      <c r="P214" s="518">
        <f t="shared" si="198"/>
        <v>0</v>
      </c>
      <c r="Q214" s="518">
        <f t="shared" si="198"/>
        <v>0</v>
      </c>
      <c r="R214" s="519">
        <f t="shared" si="198"/>
        <v>0</v>
      </c>
      <c r="S214" s="1427"/>
      <c r="T214" s="1427"/>
      <c r="U214" s="1427"/>
      <c r="V214" s="517">
        <f>V211+V212+V213</f>
        <v>0</v>
      </c>
      <c r="W214" s="518">
        <f t="shared" ref="W214:AC214" si="199">W211+W212+W213</f>
        <v>0</v>
      </c>
      <c r="X214" s="518">
        <f t="shared" si="199"/>
        <v>0</v>
      </c>
      <c r="Y214" s="518">
        <f t="shared" si="199"/>
        <v>0</v>
      </c>
      <c r="Z214" s="519">
        <f t="shared" si="199"/>
        <v>0</v>
      </c>
      <c r="AA214" s="517">
        <f t="shared" si="199"/>
        <v>0</v>
      </c>
      <c r="AB214" s="518">
        <f t="shared" si="199"/>
        <v>0</v>
      </c>
      <c r="AC214" s="519">
        <f t="shared" si="199"/>
        <v>0</v>
      </c>
    </row>
    <row r="215" spans="1:29" s="529" customFormat="1" outlineLevel="2">
      <c r="A215" s="308"/>
      <c r="B215" s="3803"/>
      <c r="C215" s="557" t="s">
        <v>619</v>
      </c>
      <c r="D215" s="514"/>
      <c r="E215" s="513"/>
      <c r="F215" s="513"/>
      <c r="G215" s="513"/>
      <c r="H215" s="515"/>
      <c r="I215" s="483"/>
      <c r="J215" s="531"/>
      <c r="K215" s="531"/>
      <c r="L215" s="531"/>
      <c r="M215" s="489"/>
      <c r="N215" s="636"/>
      <c r="O215" s="532"/>
      <c r="P215" s="532"/>
      <c r="Q215" s="532"/>
      <c r="R215" s="579"/>
      <c r="S215" s="1427"/>
      <c r="T215" s="1427"/>
      <c r="U215" s="1427"/>
      <c r="V215" s="517"/>
      <c r="W215" s="518"/>
      <c r="X215" s="518"/>
      <c r="Y215" s="518"/>
      <c r="Z215" s="519"/>
      <c r="AA215" s="569"/>
      <c r="AB215" s="570"/>
      <c r="AC215" s="608"/>
    </row>
    <row r="216" spans="1:29" s="529" customFormat="1" outlineLevel="2">
      <c r="A216" s="308"/>
      <c r="B216" s="3803"/>
      <c r="C216" s="557" t="s">
        <v>617</v>
      </c>
      <c r="D216" s="514"/>
      <c r="E216" s="513"/>
      <c r="F216" s="513"/>
      <c r="G216" s="513"/>
      <c r="H216" s="515"/>
      <c r="I216" s="514"/>
      <c r="J216" s="513"/>
      <c r="K216" s="513"/>
      <c r="L216" s="513"/>
      <c r="M216" s="515"/>
      <c r="N216" s="514"/>
      <c r="O216" s="513"/>
      <c r="P216" s="513"/>
      <c r="Q216" s="513"/>
      <c r="R216" s="515"/>
      <c r="S216" s="1427"/>
      <c r="T216" s="1427"/>
      <c r="U216" s="1427"/>
      <c r="V216" s="517"/>
      <c r="W216" s="518"/>
      <c r="X216" s="518"/>
      <c r="Y216" s="518"/>
      <c r="Z216" s="519"/>
      <c r="AA216" s="517"/>
      <c r="AB216" s="518"/>
      <c r="AC216" s="519"/>
    </row>
    <row r="217" spans="1:29" s="529" customFormat="1" outlineLevel="2">
      <c r="A217" s="308"/>
      <c r="B217" s="3803"/>
      <c r="C217" s="1581" t="s">
        <v>620</v>
      </c>
      <c r="D217" s="624">
        <f>D214+D215+D216</f>
        <v>0</v>
      </c>
      <c r="E217" s="617">
        <f t="shared" ref="E217" si="200">E214+E215+E216</f>
        <v>0</v>
      </c>
      <c r="F217" s="617">
        <f t="shared" ref="F217" si="201">F214+F215+F216</f>
        <v>0</v>
      </c>
      <c r="G217" s="617">
        <f t="shared" ref="G217" si="202">G214+G215+G216</f>
        <v>0</v>
      </c>
      <c r="H217" s="625">
        <f t="shared" ref="H217" si="203">H214+H215+H216</f>
        <v>0</v>
      </c>
      <c r="I217" s="624">
        <f t="shared" ref="I217" si="204">I214+I215+I216</f>
        <v>0</v>
      </c>
      <c r="J217" s="617">
        <f t="shared" ref="J217" si="205">J214+J215+J216</f>
        <v>0</v>
      </c>
      <c r="K217" s="617">
        <f t="shared" ref="K217" si="206">K214+K215+K216</f>
        <v>0</v>
      </c>
      <c r="L217" s="617">
        <f t="shared" ref="L217" si="207">L214+L215+L216</f>
        <v>0</v>
      </c>
      <c r="M217" s="625">
        <f t="shared" ref="M217" si="208">M214+M215+M216</f>
        <v>0</v>
      </c>
      <c r="N217" s="624">
        <f t="shared" ref="N217" si="209">N214+N215+N216</f>
        <v>0</v>
      </c>
      <c r="O217" s="617">
        <f t="shared" ref="O217" si="210">O214+O215+O216</f>
        <v>0</v>
      </c>
      <c r="P217" s="617">
        <f t="shared" ref="P217" si="211">P214+P215+P216</f>
        <v>0</v>
      </c>
      <c r="Q217" s="617">
        <f t="shared" ref="Q217" si="212">Q214+Q215+Q216</f>
        <v>0</v>
      </c>
      <c r="R217" s="625">
        <f t="shared" ref="R217" si="213">R214+R215+R216</f>
        <v>0</v>
      </c>
      <c r="S217" s="1427"/>
      <c r="T217" s="1427"/>
      <c r="U217" s="1427"/>
      <c r="V217" s="624">
        <f>V214+V215+V216</f>
        <v>0</v>
      </c>
      <c r="W217" s="617">
        <f t="shared" ref="W217:AC217" si="214">W214+W215+W216</f>
        <v>0</v>
      </c>
      <c r="X217" s="617">
        <f t="shared" si="214"/>
        <v>0</v>
      </c>
      <c r="Y217" s="617">
        <f t="shared" si="214"/>
        <v>0</v>
      </c>
      <c r="Z217" s="625">
        <f t="shared" si="214"/>
        <v>0</v>
      </c>
      <c r="AA217" s="624">
        <f t="shared" si="214"/>
        <v>0</v>
      </c>
      <c r="AB217" s="617">
        <f t="shared" si="214"/>
        <v>0</v>
      </c>
      <c r="AC217" s="625">
        <f t="shared" si="214"/>
        <v>0</v>
      </c>
    </row>
    <row r="218" spans="1:29" s="529" customFormat="1" outlineLevel="2">
      <c r="A218" s="308"/>
      <c r="B218" s="3803"/>
      <c r="C218" s="557" t="s">
        <v>641</v>
      </c>
      <c r="D218" s="514"/>
      <c r="E218" s="513"/>
      <c r="F218" s="513"/>
      <c r="G218" s="513"/>
      <c r="H218" s="515"/>
      <c r="I218" s="514"/>
      <c r="J218" s="513"/>
      <c r="K218" s="513"/>
      <c r="L218" s="513"/>
      <c r="M218" s="515"/>
      <c r="N218" s="514"/>
      <c r="O218" s="513"/>
      <c r="P218" s="513"/>
      <c r="Q218" s="513"/>
      <c r="R218" s="515"/>
      <c r="S218" s="1427"/>
      <c r="T218" s="1427"/>
      <c r="U218" s="1427"/>
      <c r="V218" s="517"/>
      <c r="W218" s="518"/>
      <c r="X218" s="518"/>
      <c r="Y218" s="518"/>
      <c r="Z218" s="519"/>
      <c r="AA218" s="517"/>
      <c r="AB218" s="518"/>
      <c r="AC218" s="519"/>
    </row>
    <row r="219" spans="1:29" s="529" customFormat="1" outlineLevel="2">
      <c r="A219" s="308"/>
      <c r="B219" s="3803"/>
      <c r="C219" s="1581" t="s">
        <v>621</v>
      </c>
      <c r="D219" s="624">
        <f>D217-D218</f>
        <v>0</v>
      </c>
      <c r="E219" s="617">
        <f t="shared" ref="E219:R219" si="215">E217-E218</f>
        <v>0</v>
      </c>
      <c r="F219" s="617">
        <f t="shared" si="215"/>
        <v>0</v>
      </c>
      <c r="G219" s="617">
        <f t="shared" si="215"/>
        <v>0</v>
      </c>
      <c r="H219" s="625">
        <f t="shared" si="215"/>
        <v>0</v>
      </c>
      <c r="I219" s="624">
        <f t="shared" si="215"/>
        <v>0</v>
      </c>
      <c r="J219" s="617">
        <f t="shared" si="215"/>
        <v>0</v>
      </c>
      <c r="K219" s="617">
        <f t="shared" si="215"/>
        <v>0</v>
      </c>
      <c r="L219" s="617">
        <f t="shared" si="215"/>
        <v>0</v>
      </c>
      <c r="M219" s="625">
        <f t="shared" si="215"/>
        <v>0</v>
      </c>
      <c r="N219" s="624">
        <f t="shared" si="215"/>
        <v>0</v>
      </c>
      <c r="O219" s="617">
        <f t="shared" si="215"/>
        <v>0</v>
      </c>
      <c r="P219" s="617">
        <f t="shared" si="215"/>
        <v>0</v>
      </c>
      <c r="Q219" s="617">
        <f t="shared" si="215"/>
        <v>0</v>
      </c>
      <c r="R219" s="625">
        <f t="shared" si="215"/>
        <v>0</v>
      </c>
      <c r="S219" s="1427"/>
      <c r="T219" s="1427"/>
      <c r="U219" s="1427"/>
      <c r="V219" s="624">
        <f>V217-V218</f>
        <v>0</v>
      </c>
      <c r="W219" s="617">
        <f t="shared" ref="W219:AC219" si="216">W217-W218</f>
        <v>0</v>
      </c>
      <c r="X219" s="617">
        <f t="shared" si="216"/>
        <v>0</v>
      </c>
      <c r="Y219" s="617">
        <f t="shared" si="216"/>
        <v>0</v>
      </c>
      <c r="Z219" s="625">
        <f t="shared" si="216"/>
        <v>0</v>
      </c>
      <c r="AA219" s="624">
        <f t="shared" si="216"/>
        <v>0</v>
      </c>
      <c r="AB219" s="617">
        <f t="shared" si="216"/>
        <v>0</v>
      </c>
      <c r="AC219" s="625">
        <f t="shared" si="216"/>
        <v>0</v>
      </c>
    </row>
    <row r="220" spans="1:29" s="529" customFormat="1" ht="13.5" outlineLevel="2" thickBot="1">
      <c r="A220" s="308"/>
      <c r="B220" s="3804"/>
      <c r="C220" s="1766" t="s">
        <v>95</v>
      </c>
      <c r="D220" s="566" t="e">
        <f t="shared" ref="D220:R220" si="217">D219/D210</f>
        <v>#DIV/0!</v>
      </c>
      <c r="E220" s="567" t="e">
        <f t="shared" si="217"/>
        <v>#DIV/0!</v>
      </c>
      <c r="F220" s="567" t="e">
        <f t="shared" si="217"/>
        <v>#DIV/0!</v>
      </c>
      <c r="G220" s="567" t="e">
        <f t="shared" si="217"/>
        <v>#DIV/0!</v>
      </c>
      <c r="H220" s="568" t="e">
        <f t="shared" si="217"/>
        <v>#DIV/0!</v>
      </c>
      <c r="I220" s="566" t="e">
        <f t="shared" si="217"/>
        <v>#DIV/0!</v>
      </c>
      <c r="J220" s="567" t="e">
        <f t="shared" si="217"/>
        <v>#DIV/0!</v>
      </c>
      <c r="K220" s="567" t="e">
        <f t="shared" si="217"/>
        <v>#DIV/0!</v>
      </c>
      <c r="L220" s="567" t="e">
        <f t="shared" si="217"/>
        <v>#DIV/0!</v>
      </c>
      <c r="M220" s="568" t="e">
        <f t="shared" si="217"/>
        <v>#DIV/0!</v>
      </c>
      <c r="N220" s="566" t="e">
        <f t="shared" si="217"/>
        <v>#DIV/0!</v>
      </c>
      <c r="O220" s="567" t="e">
        <f t="shared" si="217"/>
        <v>#DIV/0!</v>
      </c>
      <c r="P220" s="567" t="e">
        <f t="shared" si="217"/>
        <v>#DIV/0!</v>
      </c>
      <c r="Q220" s="567" t="e">
        <f t="shared" si="217"/>
        <v>#DIV/0!</v>
      </c>
      <c r="R220" s="568" t="e">
        <f t="shared" si="217"/>
        <v>#DIV/0!</v>
      </c>
      <c r="S220" s="1427"/>
      <c r="T220" s="1427"/>
      <c r="U220" s="1427"/>
      <c r="V220" s="1938" t="e">
        <f t="shared" ref="V220:AC220" si="218">V219/V210</f>
        <v>#DIV/0!</v>
      </c>
      <c r="W220" s="567" t="e">
        <f t="shared" si="218"/>
        <v>#DIV/0!</v>
      </c>
      <c r="X220" s="567" t="e">
        <f t="shared" si="218"/>
        <v>#DIV/0!</v>
      </c>
      <c r="Y220" s="567" t="e">
        <f t="shared" si="218"/>
        <v>#DIV/0!</v>
      </c>
      <c r="Z220" s="568" t="e">
        <f t="shared" si="218"/>
        <v>#DIV/0!</v>
      </c>
      <c r="AA220" s="1938" t="e">
        <f t="shared" si="218"/>
        <v>#DIV/0!</v>
      </c>
      <c r="AB220" s="567" t="e">
        <f t="shared" si="218"/>
        <v>#DIV/0!</v>
      </c>
      <c r="AC220" s="568" t="e">
        <f t="shared" si="218"/>
        <v>#DIV/0!</v>
      </c>
    </row>
    <row r="221" spans="1:29" s="529" customFormat="1" outlineLevel="2">
      <c r="A221" s="308"/>
      <c r="B221" s="3805" t="s">
        <v>651</v>
      </c>
      <c r="C221" s="1618" t="s">
        <v>92</v>
      </c>
      <c r="D221" s="466"/>
      <c r="E221" s="549"/>
      <c r="F221" s="549"/>
      <c r="G221" s="549"/>
      <c r="H221" s="563"/>
      <c r="I221" s="466"/>
      <c r="J221" s="549"/>
      <c r="K221" s="549"/>
      <c r="L221" s="549"/>
      <c r="M221" s="563"/>
      <c r="N221" s="466"/>
      <c r="O221" s="549"/>
      <c r="P221" s="549"/>
      <c r="Q221" s="549"/>
      <c r="R221" s="563"/>
      <c r="S221" s="1427"/>
      <c r="T221" s="1427"/>
      <c r="U221" s="1427"/>
      <c r="V221" s="2170"/>
      <c r="W221" s="2171"/>
      <c r="X221" s="2171"/>
      <c r="Y221" s="2171"/>
      <c r="Z221" s="2172"/>
      <c r="AA221" s="2170"/>
      <c r="AB221" s="2171"/>
      <c r="AC221" s="2172"/>
    </row>
    <row r="222" spans="1:29" s="529" customFormat="1" outlineLevel="2">
      <c r="A222" s="308"/>
      <c r="B222" s="3803"/>
      <c r="C222" s="557" t="s">
        <v>595</v>
      </c>
      <c r="D222" s="514"/>
      <c r="E222" s="513"/>
      <c r="F222" s="513"/>
      <c r="G222" s="513"/>
      <c r="H222" s="515"/>
      <c r="I222" s="514"/>
      <c r="J222" s="513"/>
      <c r="K222" s="513"/>
      <c r="L222" s="513"/>
      <c r="M222" s="515"/>
      <c r="N222" s="514"/>
      <c r="O222" s="513"/>
      <c r="P222" s="513"/>
      <c r="Q222" s="513"/>
      <c r="R222" s="515"/>
      <c r="S222" s="1427"/>
      <c r="T222" s="1427"/>
      <c r="U222" s="1427"/>
      <c r="V222" s="517"/>
      <c r="W222" s="518"/>
      <c r="X222" s="518"/>
      <c r="Y222" s="518"/>
      <c r="Z222" s="519"/>
      <c r="AA222" s="517"/>
      <c r="AB222" s="518"/>
      <c r="AC222" s="519"/>
    </row>
    <row r="223" spans="1:29" s="529" customFormat="1" outlineLevel="2">
      <c r="A223" s="308"/>
      <c r="B223" s="3803"/>
      <c r="C223" s="557" t="s">
        <v>594</v>
      </c>
      <c r="D223" s="514"/>
      <c r="E223" s="513"/>
      <c r="F223" s="513"/>
      <c r="G223" s="513"/>
      <c r="H223" s="515"/>
      <c r="I223" s="514"/>
      <c r="J223" s="513"/>
      <c r="K223" s="513"/>
      <c r="L223" s="513"/>
      <c r="M223" s="515"/>
      <c r="N223" s="514"/>
      <c r="O223" s="513"/>
      <c r="P223" s="513"/>
      <c r="Q223" s="513"/>
      <c r="R223" s="515"/>
      <c r="S223" s="1427"/>
      <c r="T223" s="1427"/>
      <c r="U223" s="1427"/>
      <c r="V223" s="517"/>
      <c r="W223" s="518"/>
      <c r="X223" s="518"/>
      <c r="Y223" s="518"/>
      <c r="Z223" s="519"/>
      <c r="AA223" s="517"/>
      <c r="AB223" s="518"/>
      <c r="AC223" s="519"/>
    </row>
    <row r="224" spans="1:29" s="529" customFormat="1" outlineLevel="2">
      <c r="A224" s="308"/>
      <c r="B224" s="3803"/>
      <c r="C224" s="557" t="s">
        <v>614</v>
      </c>
      <c r="D224" s="514"/>
      <c r="E224" s="513"/>
      <c r="F224" s="513"/>
      <c r="G224" s="513"/>
      <c r="H224" s="515"/>
      <c r="I224" s="514"/>
      <c r="J224" s="513"/>
      <c r="K224" s="513"/>
      <c r="L224" s="513"/>
      <c r="M224" s="515"/>
      <c r="N224" s="514"/>
      <c r="O224" s="513"/>
      <c r="P224" s="513"/>
      <c r="Q224" s="513"/>
      <c r="R224" s="515"/>
      <c r="S224" s="1427"/>
      <c r="T224" s="1427"/>
      <c r="U224" s="1427"/>
      <c r="V224" s="517"/>
      <c r="W224" s="518"/>
      <c r="X224" s="518"/>
      <c r="Y224" s="518"/>
      <c r="Z224" s="519"/>
      <c r="AA224" s="517"/>
      <c r="AB224" s="518"/>
      <c r="AC224" s="519"/>
    </row>
    <row r="225" spans="1:29" s="529" customFormat="1" outlineLevel="2">
      <c r="A225" s="308"/>
      <c r="B225" s="3803"/>
      <c r="C225" s="1581" t="s">
        <v>615</v>
      </c>
      <c r="D225" s="517">
        <f>D222+D223+D224</f>
        <v>0</v>
      </c>
      <c r="E225" s="518">
        <f t="shared" ref="E225:R225" si="219">E222+E223+E224</f>
        <v>0</v>
      </c>
      <c r="F225" s="518">
        <f t="shared" si="219"/>
        <v>0</v>
      </c>
      <c r="G225" s="518">
        <f t="shared" si="219"/>
        <v>0</v>
      </c>
      <c r="H225" s="519">
        <f t="shared" si="219"/>
        <v>0</v>
      </c>
      <c r="I225" s="517">
        <f t="shared" si="219"/>
        <v>0</v>
      </c>
      <c r="J225" s="518">
        <f t="shared" si="219"/>
        <v>0</v>
      </c>
      <c r="K225" s="518">
        <f t="shared" si="219"/>
        <v>0</v>
      </c>
      <c r="L225" s="518">
        <f t="shared" si="219"/>
        <v>0</v>
      </c>
      <c r="M225" s="519">
        <f t="shared" si="219"/>
        <v>0</v>
      </c>
      <c r="N225" s="517">
        <f t="shared" si="219"/>
        <v>0</v>
      </c>
      <c r="O225" s="518">
        <f t="shared" si="219"/>
        <v>0</v>
      </c>
      <c r="P225" s="518">
        <f t="shared" si="219"/>
        <v>0</v>
      </c>
      <c r="Q225" s="518">
        <f t="shared" si="219"/>
        <v>0</v>
      </c>
      <c r="R225" s="519">
        <f t="shared" si="219"/>
        <v>0</v>
      </c>
      <c r="S225" s="1427"/>
      <c r="T225" s="1427"/>
      <c r="U225" s="1427"/>
      <c r="V225" s="517">
        <f>V222+V223+V224</f>
        <v>0</v>
      </c>
      <c r="W225" s="518">
        <f t="shared" ref="W225:AC225" si="220">W222+W223+W224</f>
        <v>0</v>
      </c>
      <c r="X225" s="518">
        <f t="shared" si="220"/>
        <v>0</v>
      </c>
      <c r="Y225" s="518">
        <f t="shared" si="220"/>
        <v>0</v>
      </c>
      <c r="Z225" s="519">
        <f t="shared" si="220"/>
        <v>0</v>
      </c>
      <c r="AA225" s="517">
        <f t="shared" si="220"/>
        <v>0</v>
      </c>
      <c r="AB225" s="518">
        <f t="shared" si="220"/>
        <v>0</v>
      </c>
      <c r="AC225" s="519">
        <f t="shared" si="220"/>
        <v>0</v>
      </c>
    </row>
    <row r="226" spans="1:29" s="529" customFormat="1" outlineLevel="2">
      <c r="A226" s="308"/>
      <c r="B226" s="3803"/>
      <c r="C226" s="557" t="s">
        <v>619</v>
      </c>
      <c r="D226" s="514"/>
      <c r="E226" s="513"/>
      <c r="F226" s="513"/>
      <c r="G226" s="513"/>
      <c r="H226" s="515"/>
      <c r="I226" s="483"/>
      <c r="J226" s="531"/>
      <c r="K226" s="531"/>
      <c r="L226" s="531"/>
      <c r="M226" s="489"/>
      <c r="N226" s="636"/>
      <c r="O226" s="532"/>
      <c r="P226" s="532"/>
      <c r="Q226" s="532"/>
      <c r="R226" s="579"/>
      <c r="S226" s="1427"/>
      <c r="T226" s="1427"/>
      <c r="U226" s="1427"/>
      <c r="V226" s="517"/>
      <c r="W226" s="518"/>
      <c r="X226" s="518"/>
      <c r="Y226" s="518"/>
      <c r="Z226" s="519"/>
      <c r="AA226" s="569"/>
      <c r="AB226" s="570"/>
      <c r="AC226" s="608"/>
    </row>
    <row r="227" spans="1:29" s="529" customFormat="1" outlineLevel="2">
      <c r="A227" s="308"/>
      <c r="B227" s="3803"/>
      <c r="C227" s="557" t="s">
        <v>617</v>
      </c>
      <c r="D227" s="514"/>
      <c r="E227" s="513"/>
      <c r="F227" s="513"/>
      <c r="G227" s="513"/>
      <c r="H227" s="515"/>
      <c r="I227" s="514"/>
      <c r="J227" s="513"/>
      <c r="K227" s="513"/>
      <c r="L227" s="513"/>
      <c r="M227" s="515"/>
      <c r="N227" s="514"/>
      <c r="O227" s="513"/>
      <c r="P227" s="513"/>
      <c r="Q227" s="513"/>
      <c r="R227" s="515"/>
      <c r="S227" s="1427"/>
      <c r="T227" s="1427"/>
      <c r="U227" s="1427"/>
      <c r="V227" s="517"/>
      <c r="W227" s="518"/>
      <c r="X227" s="518"/>
      <c r="Y227" s="518"/>
      <c r="Z227" s="519"/>
      <c r="AA227" s="517"/>
      <c r="AB227" s="518"/>
      <c r="AC227" s="519"/>
    </row>
    <row r="228" spans="1:29" s="529" customFormat="1" outlineLevel="2">
      <c r="A228" s="308"/>
      <c r="B228" s="3803"/>
      <c r="C228" s="1581" t="s">
        <v>620</v>
      </c>
      <c r="D228" s="624">
        <f>D225+D226+D227</f>
        <v>0</v>
      </c>
      <c r="E228" s="617">
        <f t="shared" ref="E228" si="221">E225+E226+E227</f>
        <v>0</v>
      </c>
      <c r="F228" s="617">
        <f t="shared" ref="F228" si="222">F225+F226+F227</f>
        <v>0</v>
      </c>
      <c r="G228" s="617">
        <f t="shared" ref="G228" si="223">G225+G226+G227</f>
        <v>0</v>
      </c>
      <c r="H228" s="625">
        <f t="shared" ref="H228" si="224">H225+H226+H227</f>
        <v>0</v>
      </c>
      <c r="I228" s="624">
        <f t="shared" ref="I228" si="225">I225+I226+I227</f>
        <v>0</v>
      </c>
      <c r="J228" s="617">
        <f t="shared" ref="J228" si="226">J225+J226+J227</f>
        <v>0</v>
      </c>
      <c r="K228" s="617">
        <f t="shared" ref="K228" si="227">K225+K226+K227</f>
        <v>0</v>
      </c>
      <c r="L228" s="617">
        <f t="shared" ref="L228" si="228">L225+L226+L227</f>
        <v>0</v>
      </c>
      <c r="M228" s="625">
        <f t="shared" ref="M228" si="229">M225+M226+M227</f>
        <v>0</v>
      </c>
      <c r="N228" s="624">
        <f t="shared" ref="N228" si="230">N225+N226+N227</f>
        <v>0</v>
      </c>
      <c r="O228" s="617">
        <f t="shared" ref="O228" si="231">O225+O226+O227</f>
        <v>0</v>
      </c>
      <c r="P228" s="617">
        <f t="shared" ref="P228" si="232">P225+P226+P227</f>
        <v>0</v>
      </c>
      <c r="Q228" s="617">
        <f t="shared" ref="Q228" si="233">Q225+Q226+Q227</f>
        <v>0</v>
      </c>
      <c r="R228" s="625">
        <f t="shared" ref="R228" si="234">R225+R226+R227</f>
        <v>0</v>
      </c>
      <c r="S228" s="1427"/>
      <c r="T228" s="1427"/>
      <c r="U228" s="1427"/>
      <c r="V228" s="624">
        <f>V225+V226+V227</f>
        <v>0</v>
      </c>
      <c r="W228" s="617">
        <f t="shared" ref="W228:AC228" si="235">W225+W226+W227</f>
        <v>0</v>
      </c>
      <c r="X228" s="617">
        <f t="shared" si="235"/>
        <v>0</v>
      </c>
      <c r="Y228" s="617">
        <f t="shared" si="235"/>
        <v>0</v>
      </c>
      <c r="Z228" s="625">
        <f t="shared" si="235"/>
        <v>0</v>
      </c>
      <c r="AA228" s="624">
        <f t="shared" si="235"/>
        <v>0</v>
      </c>
      <c r="AB228" s="617">
        <f t="shared" si="235"/>
        <v>0</v>
      </c>
      <c r="AC228" s="625">
        <f t="shared" si="235"/>
        <v>0</v>
      </c>
    </row>
    <row r="229" spans="1:29" s="529" customFormat="1" outlineLevel="2">
      <c r="A229" s="308"/>
      <c r="B229" s="3803"/>
      <c r="C229" s="557" t="s">
        <v>641</v>
      </c>
      <c r="D229" s="514"/>
      <c r="E229" s="513"/>
      <c r="F229" s="513"/>
      <c r="G229" s="513"/>
      <c r="H229" s="515"/>
      <c r="I229" s="514"/>
      <c r="J229" s="513"/>
      <c r="K229" s="513"/>
      <c r="L229" s="513"/>
      <c r="M229" s="515"/>
      <c r="N229" s="514"/>
      <c r="O229" s="513"/>
      <c r="P229" s="513"/>
      <c r="Q229" s="513"/>
      <c r="R229" s="515"/>
      <c r="S229" s="1427"/>
      <c r="T229" s="1427"/>
      <c r="U229" s="1427"/>
      <c r="V229" s="517"/>
      <c r="W229" s="518"/>
      <c r="X229" s="518"/>
      <c r="Y229" s="518"/>
      <c r="Z229" s="519"/>
      <c r="AA229" s="517"/>
      <c r="AB229" s="518"/>
      <c r="AC229" s="519"/>
    </row>
    <row r="230" spans="1:29" s="529" customFormat="1" outlineLevel="2">
      <c r="A230" s="308"/>
      <c r="B230" s="3803"/>
      <c r="C230" s="1581" t="s">
        <v>621</v>
      </c>
      <c r="D230" s="624">
        <f>D228-D229</f>
        <v>0</v>
      </c>
      <c r="E230" s="617">
        <f t="shared" ref="E230:R230" si="236">E228-E229</f>
        <v>0</v>
      </c>
      <c r="F230" s="617">
        <f t="shared" si="236"/>
        <v>0</v>
      </c>
      <c r="G230" s="617">
        <f t="shared" si="236"/>
        <v>0</v>
      </c>
      <c r="H230" s="625">
        <f t="shared" si="236"/>
        <v>0</v>
      </c>
      <c r="I230" s="624">
        <f t="shared" si="236"/>
        <v>0</v>
      </c>
      <c r="J230" s="617">
        <f t="shared" si="236"/>
        <v>0</v>
      </c>
      <c r="K230" s="617">
        <f t="shared" si="236"/>
        <v>0</v>
      </c>
      <c r="L230" s="617">
        <f t="shared" si="236"/>
        <v>0</v>
      </c>
      <c r="M230" s="625">
        <f t="shared" si="236"/>
        <v>0</v>
      </c>
      <c r="N230" s="624">
        <f t="shared" si="236"/>
        <v>0</v>
      </c>
      <c r="O230" s="617">
        <f t="shared" si="236"/>
        <v>0</v>
      </c>
      <c r="P230" s="617">
        <f t="shared" si="236"/>
        <v>0</v>
      </c>
      <c r="Q230" s="617">
        <f t="shared" si="236"/>
        <v>0</v>
      </c>
      <c r="R230" s="625">
        <f t="shared" si="236"/>
        <v>0</v>
      </c>
      <c r="S230" s="1427"/>
      <c r="T230" s="1427"/>
      <c r="U230" s="1427"/>
      <c r="V230" s="624">
        <f>V228-V229</f>
        <v>0</v>
      </c>
      <c r="W230" s="617">
        <f t="shared" ref="W230:AC230" si="237">W228-W229</f>
        <v>0</v>
      </c>
      <c r="X230" s="617">
        <f t="shared" si="237"/>
        <v>0</v>
      </c>
      <c r="Y230" s="617">
        <f t="shared" si="237"/>
        <v>0</v>
      </c>
      <c r="Z230" s="625">
        <f t="shared" si="237"/>
        <v>0</v>
      </c>
      <c r="AA230" s="624">
        <f t="shared" si="237"/>
        <v>0</v>
      </c>
      <c r="AB230" s="617">
        <f t="shared" si="237"/>
        <v>0</v>
      </c>
      <c r="AC230" s="625">
        <f t="shared" si="237"/>
        <v>0</v>
      </c>
    </row>
    <row r="231" spans="1:29" s="529" customFormat="1" ht="13.5" outlineLevel="2" thickBot="1">
      <c r="A231" s="308"/>
      <c r="B231" s="3804"/>
      <c r="C231" s="557" t="s">
        <v>95</v>
      </c>
      <c r="D231" s="566" t="e">
        <f t="shared" ref="D231:R231" si="238">D230/D221</f>
        <v>#DIV/0!</v>
      </c>
      <c r="E231" s="567" t="e">
        <f t="shared" si="238"/>
        <v>#DIV/0!</v>
      </c>
      <c r="F231" s="567" t="e">
        <f t="shared" si="238"/>
        <v>#DIV/0!</v>
      </c>
      <c r="G231" s="567" t="e">
        <f t="shared" si="238"/>
        <v>#DIV/0!</v>
      </c>
      <c r="H231" s="568" t="e">
        <f t="shared" si="238"/>
        <v>#DIV/0!</v>
      </c>
      <c r="I231" s="566" t="e">
        <f t="shared" si="238"/>
        <v>#DIV/0!</v>
      </c>
      <c r="J231" s="567" t="e">
        <f t="shared" si="238"/>
        <v>#DIV/0!</v>
      </c>
      <c r="K231" s="567" t="e">
        <f t="shared" si="238"/>
        <v>#DIV/0!</v>
      </c>
      <c r="L231" s="567" t="e">
        <f t="shared" si="238"/>
        <v>#DIV/0!</v>
      </c>
      <c r="M231" s="568" t="e">
        <f t="shared" si="238"/>
        <v>#DIV/0!</v>
      </c>
      <c r="N231" s="566" t="e">
        <f t="shared" si="238"/>
        <v>#DIV/0!</v>
      </c>
      <c r="O231" s="567" t="e">
        <f t="shared" si="238"/>
        <v>#DIV/0!</v>
      </c>
      <c r="P231" s="567" t="e">
        <f t="shared" si="238"/>
        <v>#DIV/0!</v>
      </c>
      <c r="Q231" s="567" t="e">
        <f t="shared" si="238"/>
        <v>#DIV/0!</v>
      </c>
      <c r="R231" s="568" t="e">
        <f t="shared" si="238"/>
        <v>#DIV/0!</v>
      </c>
      <c r="S231" s="1427"/>
      <c r="T231" s="1427"/>
      <c r="U231" s="1427"/>
      <c r="V231" s="1938" t="e">
        <f t="shared" ref="V231:AC231" si="239">V230/V221</f>
        <v>#DIV/0!</v>
      </c>
      <c r="W231" s="567" t="e">
        <f t="shared" si="239"/>
        <v>#DIV/0!</v>
      </c>
      <c r="X231" s="567" t="e">
        <f t="shared" si="239"/>
        <v>#DIV/0!</v>
      </c>
      <c r="Y231" s="567" t="e">
        <f t="shared" si="239"/>
        <v>#DIV/0!</v>
      </c>
      <c r="Z231" s="568" t="e">
        <f t="shared" si="239"/>
        <v>#DIV/0!</v>
      </c>
      <c r="AA231" s="1938" t="e">
        <f t="shared" si="239"/>
        <v>#DIV/0!</v>
      </c>
      <c r="AB231" s="567" t="e">
        <f t="shared" si="239"/>
        <v>#DIV/0!</v>
      </c>
      <c r="AC231" s="568" t="e">
        <f t="shared" si="239"/>
        <v>#DIV/0!</v>
      </c>
    </row>
    <row r="232" spans="1:29" ht="20.25" customHeight="1" outlineLevel="1">
      <c r="A232" s="308"/>
      <c r="B232" s="3806" t="s">
        <v>172</v>
      </c>
      <c r="C232" s="3817"/>
      <c r="D232" s="1777">
        <f t="shared" ref="D232:R232" si="240">D199+D211+D223</f>
        <v>0</v>
      </c>
      <c r="E232" s="1778">
        <f t="shared" si="240"/>
        <v>0</v>
      </c>
      <c r="F232" s="1778">
        <f t="shared" si="240"/>
        <v>0</v>
      </c>
      <c r="G232" s="1778">
        <f t="shared" si="240"/>
        <v>0</v>
      </c>
      <c r="H232" s="1779">
        <f t="shared" si="240"/>
        <v>0</v>
      </c>
      <c r="I232" s="1777">
        <f t="shared" si="240"/>
        <v>0</v>
      </c>
      <c r="J232" s="1778">
        <f t="shared" si="240"/>
        <v>0</v>
      </c>
      <c r="K232" s="1778">
        <f t="shared" si="240"/>
        <v>0</v>
      </c>
      <c r="L232" s="1778">
        <f t="shared" si="240"/>
        <v>0</v>
      </c>
      <c r="M232" s="1779">
        <f t="shared" si="240"/>
        <v>0</v>
      </c>
      <c r="N232" s="1777">
        <f t="shared" si="240"/>
        <v>0</v>
      </c>
      <c r="O232" s="1778">
        <f t="shared" si="240"/>
        <v>0</v>
      </c>
      <c r="P232" s="1778">
        <f t="shared" si="240"/>
        <v>0</v>
      </c>
      <c r="Q232" s="1778">
        <f t="shared" si="240"/>
        <v>0</v>
      </c>
      <c r="R232" s="1779">
        <f t="shared" si="240"/>
        <v>0</v>
      </c>
      <c r="V232" s="1777">
        <f t="shared" ref="V232:AC232" si="241">V199+V211+V223</f>
        <v>0</v>
      </c>
      <c r="W232" s="1778">
        <f t="shared" si="241"/>
        <v>0</v>
      </c>
      <c r="X232" s="1778">
        <f t="shared" si="241"/>
        <v>0</v>
      </c>
      <c r="Y232" s="1778">
        <f t="shared" si="241"/>
        <v>0</v>
      </c>
      <c r="Z232" s="1779">
        <f t="shared" si="241"/>
        <v>0</v>
      </c>
      <c r="AA232" s="1777">
        <f t="shared" si="241"/>
        <v>0</v>
      </c>
      <c r="AB232" s="1778">
        <f t="shared" si="241"/>
        <v>0</v>
      </c>
      <c r="AC232" s="1779">
        <f t="shared" si="241"/>
        <v>0</v>
      </c>
    </row>
    <row r="233" spans="1:29" ht="20.25" customHeight="1" outlineLevel="1" thickBot="1">
      <c r="A233" s="308"/>
      <c r="B233" s="3808" t="s">
        <v>654</v>
      </c>
      <c r="C233" s="3816"/>
      <c r="D233" s="1780">
        <f t="shared" ref="D233:R233" si="242">D230+D218+D206</f>
        <v>0</v>
      </c>
      <c r="E233" s="1781">
        <f t="shared" si="242"/>
        <v>0</v>
      </c>
      <c r="F233" s="1781">
        <f t="shared" si="242"/>
        <v>0</v>
      </c>
      <c r="G233" s="1781">
        <f t="shared" si="242"/>
        <v>0</v>
      </c>
      <c r="H233" s="1782">
        <f t="shared" si="242"/>
        <v>0</v>
      </c>
      <c r="I233" s="1780">
        <f t="shared" si="242"/>
        <v>0</v>
      </c>
      <c r="J233" s="1781">
        <f t="shared" si="242"/>
        <v>0</v>
      </c>
      <c r="K233" s="1781">
        <f t="shared" si="242"/>
        <v>0</v>
      </c>
      <c r="L233" s="1781">
        <f t="shared" si="242"/>
        <v>0</v>
      </c>
      <c r="M233" s="1782">
        <f t="shared" si="242"/>
        <v>0</v>
      </c>
      <c r="N233" s="1780">
        <f t="shared" si="242"/>
        <v>0</v>
      </c>
      <c r="O233" s="1781">
        <f t="shared" si="242"/>
        <v>0</v>
      </c>
      <c r="P233" s="1781">
        <f t="shared" si="242"/>
        <v>0</v>
      </c>
      <c r="Q233" s="1781">
        <f t="shared" si="242"/>
        <v>0</v>
      </c>
      <c r="R233" s="1782">
        <f t="shared" si="242"/>
        <v>0</v>
      </c>
      <c r="V233" s="1780">
        <f t="shared" ref="V233:AC233" si="243">V230+V218+V206</f>
        <v>0</v>
      </c>
      <c r="W233" s="1781">
        <f t="shared" si="243"/>
        <v>0</v>
      </c>
      <c r="X233" s="1781">
        <f t="shared" si="243"/>
        <v>0</v>
      </c>
      <c r="Y233" s="1781">
        <f t="shared" si="243"/>
        <v>0</v>
      </c>
      <c r="Z233" s="1782">
        <f t="shared" si="243"/>
        <v>0</v>
      </c>
      <c r="AA233" s="1780">
        <f t="shared" si="243"/>
        <v>0</v>
      </c>
      <c r="AB233" s="1781">
        <f t="shared" si="243"/>
        <v>0</v>
      </c>
      <c r="AC233" s="1782">
        <f t="shared" si="243"/>
        <v>0</v>
      </c>
    </row>
    <row r="234" spans="1:29" ht="15.75">
      <c r="A234" s="308"/>
      <c r="B234" s="3814" t="s">
        <v>652</v>
      </c>
      <c r="C234" s="3815"/>
      <c r="D234" s="1774">
        <f t="shared" ref="D234:R234" si="244">D196+D232</f>
        <v>0</v>
      </c>
      <c r="E234" s="1775">
        <f t="shared" si="244"/>
        <v>0</v>
      </c>
      <c r="F234" s="1775">
        <f t="shared" si="244"/>
        <v>0</v>
      </c>
      <c r="G234" s="1775">
        <f t="shared" si="244"/>
        <v>0</v>
      </c>
      <c r="H234" s="1776">
        <f t="shared" si="244"/>
        <v>0</v>
      </c>
      <c r="I234" s="1774">
        <f t="shared" si="244"/>
        <v>0</v>
      </c>
      <c r="J234" s="1775">
        <f t="shared" si="244"/>
        <v>0</v>
      </c>
      <c r="K234" s="1775">
        <f t="shared" si="244"/>
        <v>0</v>
      </c>
      <c r="L234" s="1775">
        <f t="shared" si="244"/>
        <v>0</v>
      </c>
      <c r="M234" s="1776">
        <f t="shared" si="244"/>
        <v>0</v>
      </c>
      <c r="N234" s="1774">
        <f t="shared" si="244"/>
        <v>0</v>
      </c>
      <c r="O234" s="1775">
        <f t="shared" si="244"/>
        <v>0</v>
      </c>
      <c r="P234" s="1775">
        <f t="shared" si="244"/>
        <v>0</v>
      </c>
      <c r="Q234" s="1775">
        <f t="shared" si="244"/>
        <v>0</v>
      </c>
      <c r="R234" s="1776">
        <f t="shared" si="244"/>
        <v>0</v>
      </c>
      <c r="V234" s="1774">
        <f t="shared" ref="V234:AC234" si="245">V196+V232</f>
        <v>0</v>
      </c>
      <c r="W234" s="1775">
        <f t="shared" si="245"/>
        <v>0</v>
      </c>
      <c r="X234" s="1775">
        <f t="shared" si="245"/>
        <v>0</v>
      </c>
      <c r="Y234" s="1775">
        <f t="shared" si="245"/>
        <v>0</v>
      </c>
      <c r="Z234" s="1776">
        <f t="shared" si="245"/>
        <v>0</v>
      </c>
      <c r="AA234" s="1774">
        <f t="shared" si="245"/>
        <v>0</v>
      </c>
      <c r="AB234" s="1775">
        <f t="shared" si="245"/>
        <v>0</v>
      </c>
      <c r="AC234" s="1776">
        <f t="shared" si="245"/>
        <v>0</v>
      </c>
    </row>
    <row r="235" spans="1:29" ht="16.5" thickBot="1">
      <c r="A235" s="308"/>
      <c r="B235" s="3812" t="s">
        <v>653</v>
      </c>
      <c r="C235" s="3813"/>
      <c r="D235" s="640">
        <f t="shared" ref="D235:R235" si="246">D197+D233</f>
        <v>0</v>
      </c>
      <c r="E235" s="638">
        <f t="shared" si="246"/>
        <v>0</v>
      </c>
      <c r="F235" s="638">
        <f t="shared" si="246"/>
        <v>0</v>
      </c>
      <c r="G235" s="638">
        <f t="shared" si="246"/>
        <v>0</v>
      </c>
      <c r="H235" s="639">
        <f t="shared" si="246"/>
        <v>0</v>
      </c>
      <c r="I235" s="640">
        <f t="shared" si="246"/>
        <v>0</v>
      </c>
      <c r="J235" s="638">
        <f t="shared" si="246"/>
        <v>0</v>
      </c>
      <c r="K235" s="638">
        <f t="shared" si="246"/>
        <v>0</v>
      </c>
      <c r="L235" s="638">
        <f t="shared" si="246"/>
        <v>0</v>
      </c>
      <c r="M235" s="639">
        <f t="shared" si="246"/>
        <v>0</v>
      </c>
      <c r="N235" s="640">
        <f t="shared" si="246"/>
        <v>0</v>
      </c>
      <c r="O235" s="638">
        <f t="shared" si="246"/>
        <v>0</v>
      </c>
      <c r="P235" s="638">
        <f t="shared" si="246"/>
        <v>0</v>
      </c>
      <c r="Q235" s="638">
        <f t="shared" si="246"/>
        <v>0</v>
      </c>
      <c r="R235" s="639">
        <f t="shared" si="246"/>
        <v>0</v>
      </c>
      <c r="V235" s="2168">
        <f t="shared" ref="V235:AC235" si="247">V197+V233</f>
        <v>0</v>
      </c>
      <c r="W235" s="638">
        <f t="shared" si="247"/>
        <v>0</v>
      </c>
      <c r="X235" s="638">
        <f t="shared" si="247"/>
        <v>0</v>
      </c>
      <c r="Y235" s="638">
        <f t="shared" si="247"/>
        <v>0</v>
      </c>
      <c r="Z235" s="639">
        <f t="shared" si="247"/>
        <v>0</v>
      </c>
      <c r="AA235" s="2168">
        <f t="shared" si="247"/>
        <v>0</v>
      </c>
      <c r="AB235" s="638">
        <f t="shared" si="247"/>
        <v>0</v>
      </c>
      <c r="AC235" s="639">
        <f t="shared" si="247"/>
        <v>0</v>
      </c>
    </row>
    <row r="236" spans="1:29" s="70" customFormat="1" ht="50.25" customHeight="1" thickBot="1">
      <c r="A236" s="360"/>
      <c r="B236" s="3610" t="s">
        <v>125</v>
      </c>
      <c r="C236" s="3611"/>
      <c r="D236" s="1413"/>
      <c r="E236" s="1414"/>
      <c r="F236" s="1414"/>
      <c r="G236" s="1414"/>
      <c r="H236" s="1414"/>
      <c r="I236" s="1414"/>
      <c r="J236" s="1414"/>
      <c r="K236" s="1414"/>
      <c r="L236" s="1414"/>
      <c r="M236" s="1414"/>
      <c r="N236" s="1414"/>
      <c r="O236" s="1414"/>
      <c r="P236" s="1414"/>
      <c r="Q236" s="1414"/>
      <c r="R236" s="1452"/>
      <c r="S236"/>
      <c r="T236"/>
      <c r="U236"/>
      <c r="V236" s="2135"/>
      <c r="W236" s="2116"/>
      <c r="X236" s="2116"/>
      <c r="Y236" s="2116"/>
      <c r="Z236" s="2116"/>
      <c r="AA236" s="2116"/>
      <c r="AB236" s="2116"/>
      <c r="AC236" s="2119"/>
    </row>
    <row r="237" spans="1:29" s="79" customFormat="1" ht="32.25" customHeight="1" thickBot="1">
      <c r="A237" s="308"/>
      <c r="B237" s="82"/>
      <c r="C237" s="230"/>
      <c r="D237" s="81"/>
      <c r="E237" s="81"/>
      <c r="F237" s="81"/>
      <c r="G237" s="81"/>
      <c r="H237" s="81"/>
      <c r="I237" s="147"/>
      <c r="J237" s="147"/>
      <c r="K237" s="147"/>
      <c r="L237" s="147"/>
      <c r="M237" s="147"/>
      <c r="N237" s="544"/>
      <c r="O237" s="308"/>
      <c r="P237" s="308"/>
      <c r="Q237" s="308"/>
      <c r="R237" s="308"/>
      <c r="S237"/>
      <c r="T237"/>
      <c r="U237"/>
      <c r="V237" s="231"/>
      <c r="W237" s="231"/>
      <c r="X237" s="231"/>
      <c r="Y237" s="231"/>
      <c r="Z237" s="231"/>
      <c r="AA237" s="147"/>
      <c r="AB237" s="147"/>
      <c r="AC237" s="147"/>
    </row>
    <row r="238" spans="1:29" s="229" customFormat="1" ht="24.75" customHeight="1" thickBot="1">
      <c r="A238" s="308"/>
      <c r="B238" s="1576" t="s">
        <v>639</v>
      </c>
      <c r="C238" s="1576"/>
      <c r="D238" s="1577"/>
      <c r="E238" s="1577"/>
      <c r="F238" s="1577"/>
      <c r="G238" s="1577"/>
      <c r="H238" s="1577"/>
      <c r="I238" s="1577"/>
      <c r="J238" s="1577"/>
      <c r="K238" s="1577"/>
      <c r="L238" s="1577"/>
      <c r="M238" s="1577"/>
      <c r="N238" s="1577"/>
      <c r="O238" s="1577"/>
      <c r="P238" s="1577"/>
      <c r="Q238" s="1577"/>
      <c r="R238" s="1578"/>
      <c r="S238" s="1427"/>
      <c r="T238" s="1427"/>
      <c r="U238" s="1427"/>
      <c r="V238" s="1576"/>
      <c r="W238" s="1577"/>
      <c r="X238" s="1577"/>
      <c r="Y238" s="1577"/>
      <c r="Z238" s="1577"/>
      <c r="AA238" s="1577"/>
      <c r="AB238" s="1577"/>
      <c r="AC238" s="1578"/>
    </row>
    <row r="239" spans="1:29" ht="15.75" customHeight="1">
      <c r="A239" s="308"/>
      <c r="B239" s="3736"/>
      <c r="C239" s="3736"/>
      <c r="D239" s="3701" t="s">
        <v>36</v>
      </c>
      <c r="E239" s="3702"/>
      <c r="F239" s="3702"/>
      <c r="G239" s="3702"/>
      <c r="H239" s="3702"/>
      <c r="I239" s="3703" t="s">
        <v>37</v>
      </c>
      <c r="J239" s="3704"/>
      <c r="K239" s="3704"/>
      <c r="L239" s="3704"/>
      <c r="M239" s="3704"/>
      <c r="N239" s="3728" t="s">
        <v>73</v>
      </c>
      <c r="O239" s="3728"/>
      <c r="P239" s="3728"/>
      <c r="Q239" s="3728"/>
      <c r="R239" s="3729"/>
      <c r="V239" s="3701" t="s">
        <v>36</v>
      </c>
      <c r="W239" s="3702"/>
      <c r="X239" s="3702"/>
      <c r="Y239" s="3702"/>
      <c r="Z239" s="3702"/>
      <c r="AA239" s="3703" t="s">
        <v>37</v>
      </c>
      <c r="AB239" s="3704"/>
      <c r="AC239" s="3705"/>
    </row>
    <row r="240" spans="1:29" ht="15.75" customHeight="1">
      <c r="A240" s="308"/>
      <c r="B240" s="3737"/>
      <c r="C240" s="3737"/>
      <c r="D240" s="3550" t="s">
        <v>579</v>
      </c>
      <c r="E240" s="3551"/>
      <c r="F240" s="3551"/>
      <c r="G240" s="3551"/>
      <c r="H240" s="3551"/>
      <c r="I240" s="3551"/>
      <c r="J240" s="3551"/>
      <c r="K240" s="3595"/>
      <c r="L240" s="3589" t="str">
        <f>CONCATENATE("$0's, real ",dms_DollarReal)</f>
        <v>$0's, real December 2017</v>
      </c>
      <c r="M240" s="3590"/>
      <c r="N240" s="3590"/>
      <c r="O240" s="3590"/>
      <c r="P240" s="3590"/>
      <c r="Q240" s="3590"/>
      <c r="R240" s="3734"/>
      <c r="V240" s="3550" t="str">
        <f>CONCATENATE("$0's, real ",dms_DollarReal)</f>
        <v>$0's, real December 2017</v>
      </c>
      <c r="W240" s="3551"/>
      <c r="X240" s="3551"/>
      <c r="Y240" s="3551"/>
      <c r="Z240" s="3551"/>
      <c r="AA240" s="3551"/>
      <c r="AB240" s="3551"/>
      <c r="AC240" s="3552"/>
    </row>
    <row r="241" spans="1:29" ht="15" customHeight="1">
      <c r="A241" s="308"/>
      <c r="B241" s="3737"/>
      <c r="C241" s="3737"/>
      <c r="D241" s="3550" t="s">
        <v>54</v>
      </c>
      <c r="E241" s="3551"/>
      <c r="F241" s="3551"/>
      <c r="G241" s="3551"/>
      <c r="H241" s="3551"/>
      <c r="I241" s="3551"/>
      <c r="J241" s="3551"/>
      <c r="K241" s="3595"/>
      <c r="L241" s="3589" t="s">
        <v>55</v>
      </c>
      <c r="M241" s="3590"/>
      <c r="N241" s="3590"/>
      <c r="O241" s="3590"/>
      <c r="P241" s="3590"/>
      <c r="Q241" s="3590"/>
      <c r="R241" s="3734"/>
      <c r="V241" s="3550" t="s">
        <v>54</v>
      </c>
      <c r="W241" s="3551"/>
      <c r="X241" s="3551"/>
      <c r="Y241" s="3551"/>
      <c r="Z241" s="3551"/>
      <c r="AA241" s="3551"/>
      <c r="AB241" s="3551"/>
      <c r="AC241" s="3552"/>
    </row>
    <row r="242" spans="1:29" ht="15.75" thickBot="1">
      <c r="A242" s="308"/>
      <c r="B242" s="3737"/>
      <c r="C242" s="3737"/>
      <c r="D242" s="1789">
        <f t="array" ref="D242:H242">PRCP</f>
        <v>2008</v>
      </c>
      <c r="E242" s="390">
        <v>2009</v>
      </c>
      <c r="F242" s="390">
        <v>2010</v>
      </c>
      <c r="G242" s="390">
        <v>2011</v>
      </c>
      <c r="H242" s="390">
        <v>2012</v>
      </c>
      <c r="I242" s="392">
        <f>CRCP_y1</f>
        <v>2013</v>
      </c>
      <c r="J242" s="392">
        <f>CRCP_y2</f>
        <v>2014</v>
      </c>
      <c r="K242" s="392">
        <f>CRCP_y3</f>
        <v>2015</v>
      </c>
      <c r="L242" s="392">
        <f>CRCP_y4</f>
        <v>2016</v>
      </c>
      <c r="M242" s="392">
        <f>CRCP_y5</f>
        <v>2017</v>
      </c>
      <c r="N242" s="390" t="str">
        <f t="array" ref="N242:R242">FRCP</f>
        <v>2018</v>
      </c>
      <c r="O242" s="390">
        <v>2019</v>
      </c>
      <c r="P242" s="390">
        <v>2020</v>
      </c>
      <c r="Q242" s="390">
        <v>2021</v>
      </c>
      <c r="R242" s="498">
        <v>2022</v>
      </c>
      <c r="V242" s="1789">
        <f t="array" ref="V242:Z242">PRCP</f>
        <v>2008</v>
      </c>
      <c r="W242" s="390">
        <v>2009</v>
      </c>
      <c r="X242" s="390">
        <v>2010</v>
      </c>
      <c r="Y242" s="390">
        <v>2011</v>
      </c>
      <c r="Z242" s="390">
        <v>2012</v>
      </c>
      <c r="AA242" s="392">
        <f>CRCP_y1</f>
        <v>2013</v>
      </c>
      <c r="AB242" s="392">
        <f>CRCP_y2</f>
        <v>2014</v>
      </c>
      <c r="AC242" s="603">
        <f>CRCP_y3</f>
        <v>2015</v>
      </c>
    </row>
    <row r="243" spans="1:29" ht="15" customHeight="1" outlineLevel="1">
      <c r="A243" s="308"/>
      <c r="B243" s="3769" t="s">
        <v>190</v>
      </c>
      <c r="C243" s="1788" t="s">
        <v>191</v>
      </c>
      <c r="D243" s="466"/>
      <c r="E243" s="549"/>
      <c r="F243" s="549"/>
      <c r="G243" s="549"/>
      <c r="H243" s="563"/>
      <c r="I243" s="466"/>
      <c r="J243" s="549"/>
      <c r="K243" s="549"/>
      <c r="L243" s="549"/>
      <c r="M243" s="549"/>
      <c r="N243" s="466"/>
      <c r="O243" s="549"/>
      <c r="P243" s="549"/>
      <c r="Q243" s="549"/>
      <c r="R243" s="563"/>
      <c r="V243" s="2170"/>
      <c r="W243" s="2171"/>
      <c r="X243" s="2171"/>
      <c r="Y243" s="2171"/>
      <c r="Z243" s="2172"/>
      <c r="AA243" s="2170"/>
      <c r="AB243" s="2171"/>
      <c r="AC243" s="2172"/>
    </row>
    <row r="244" spans="1:29" outlineLevel="1">
      <c r="A244" s="308"/>
      <c r="B244" s="3770"/>
      <c r="C244" s="547" t="s">
        <v>595</v>
      </c>
      <c r="D244" s="514"/>
      <c r="E244" s="513"/>
      <c r="F244" s="513"/>
      <c r="G244" s="513"/>
      <c r="H244" s="515"/>
      <c r="I244" s="514"/>
      <c r="J244" s="513"/>
      <c r="K244" s="513"/>
      <c r="L244" s="513"/>
      <c r="M244" s="513"/>
      <c r="N244" s="514"/>
      <c r="O244" s="513"/>
      <c r="P244" s="513"/>
      <c r="Q244" s="513"/>
      <c r="R244" s="515"/>
      <c r="V244" s="517"/>
      <c r="W244" s="518"/>
      <c r="X244" s="518"/>
      <c r="Y244" s="518"/>
      <c r="Z244" s="519"/>
      <c r="AA244" s="517"/>
      <c r="AB244" s="518"/>
      <c r="AC244" s="519"/>
    </row>
    <row r="245" spans="1:29" outlineLevel="1">
      <c r="A245" s="308"/>
      <c r="B245" s="3770"/>
      <c r="C245" s="547" t="s">
        <v>594</v>
      </c>
      <c r="D245" s="514"/>
      <c r="E245" s="513"/>
      <c r="F245" s="513"/>
      <c r="G245" s="513"/>
      <c r="H245" s="515"/>
      <c r="I245" s="514"/>
      <c r="J245" s="513"/>
      <c r="K245" s="513"/>
      <c r="L245" s="513"/>
      <c r="M245" s="513"/>
      <c r="N245" s="514"/>
      <c r="O245" s="513"/>
      <c r="P245" s="513"/>
      <c r="Q245" s="513"/>
      <c r="R245" s="515"/>
      <c r="V245" s="517"/>
      <c r="W245" s="518"/>
      <c r="X245" s="518"/>
      <c r="Y245" s="518"/>
      <c r="Z245" s="519"/>
      <c r="AA245" s="517"/>
      <c r="AB245" s="518"/>
      <c r="AC245" s="519"/>
    </row>
    <row r="246" spans="1:29" outlineLevel="1">
      <c r="A246" s="308"/>
      <c r="B246" s="3770"/>
      <c r="C246" s="547" t="s">
        <v>614</v>
      </c>
      <c r="D246" s="514"/>
      <c r="E246" s="513"/>
      <c r="F246" s="513"/>
      <c r="G246" s="513"/>
      <c r="H246" s="515"/>
      <c r="I246" s="514"/>
      <c r="J246" s="513"/>
      <c r="K246" s="513"/>
      <c r="L246" s="513"/>
      <c r="M246" s="513"/>
      <c r="N246" s="514"/>
      <c r="O246" s="513"/>
      <c r="P246" s="513"/>
      <c r="Q246" s="513"/>
      <c r="R246" s="515"/>
      <c r="V246" s="517"/>
      <c r="W246" s="518"/>
      <c r="X246" s="518"/>
      <c r="Y246" s="518"/>
      <c r="Z246" s="519"/>
      <c r="AA246" s="517"/>
      <c r="AB246" s="518"/>
      <c r="AC246" s="519"/>
    </row>
    <row r="247" spans="1:29" outlineLevel="1">
      <c r="A247" s="308"/>
      <c r="B247" s="3770"/>
      <c r="C247" s="1785" t="s">
        <v>615</v>
      </c>
      <c r="D247" s="533">
        <f>D244+D245+D246</f>
        <v>0</v>
      </c>
      <c r="E247" s="534">
        <f t="shared" ref="E247:R247" si="248">E244+E245+E246</f>
        <v>0</v>
      </c>
      <c r="F247" s="534">
        <f t="shared" si="248"/>
        <v>0</v>
      </c>
      <c r="G247" s="534">
        <f t="shared" si="248"/>
        <v>0</v>
      </c>
      <c r="H247" s="479">
        <f t="shared" si="248"/>
        <v>0</v>
      </c>
      <c r="I247" s="533">
        <f t="shared" si="248"/>
        <v>0</v>
      </c>
      <c r="J247" s="534">
        <f t="shared" ref="J247" si="249">J244+J245+J246</f>
        <v>0</v>
      </c>
      <c r="K247" s="534">
        <f t="shared" si="248"/>
        <v>0</v>
      </c>
      <c r="L247" s="534">
        <f t="shared" si="248"/>
        <v>0</v>
      </c>
      <c r="M247" s="534">
        <f t="shared" si="248"/>
        <v>0</v>
      </c>
      <c r="N247" s="533">
        <f t="shared" si="248"/>
        <v>0</v>
      </c>
      <c r="O247" s="534">
        <f t="shared" si="248"/>
        <v>0</v>
      </c>
      <c r="P247" s="534">
        <f t="shared" si="248"/>
        <v>0</v>
      </c>
      <c r="Q247" s="534">
        <f t="shared" si="248"/>
        <v>0</v>
      </c>
      <c r="R247" s="479">
        <f t="shared" si="248"/>
        <v>0</v>
      </c>
      <c r="V247" s="517">
        <f>V244+V245+V246</f>
        <v>0</v>
      </c>
      <c r="W247" s="518">
        <f t="shared" ref="W247:AC247" si="250">W244+W245+W246</f>
        <v>0</v>
      </c>
      <c r="X247" s="518">
        <f t="shared" si="250"/>
        <v>0</v>
      </c>
      <c r="Y247" s="518">
        <f t="shared" si="250"/>
        <v>0</v>
      </c>
      <c r="Z247" s="519">
        <f t="shared" si="250"/>
        <v>0</v>
      </c>
      <c r="AA247" s="517">
        <f t="shared" si="250"/>
        <v>0</v>
      </c>
      <c r="AB247" s="518">
        <f t="shared" si="250"/>
        <v>0</v>
      </c>
      <c r="AC247" s="519">
        <f t="shared" si="250"/>
        <v>0</v>
      </c>
    </row>
    <row r="248" spans="1:29" outlineLevel="1">
      <c r="A248" s="308"/>
      <c r="B248" s="3770"/>
      <c r="C248" s="547" t="s">
        <v>619</v>
      </c>
      <c r="D248" s="514"/>
      <c r="E248" s="513"/>
      <c r="F248" s="513"/>
      <c r="G248" s="513"/>
      <c r="H248" s="515"/>
      <c r="I248" s="483"/>
      <c r="J248" s="531"/>
      <c r="K248" s="531"/>
      <c r="L248" s="531"/>
      <c r="M248" s="531"/>
      <c r="N248" s="636"/>
      <c r="O248" s="532"/>
      <c r="P248" s="532"/>
      <c r="Q248" s="532"/>
      <c r="R248" s="579"/>
      <c r="V248" s="517"/>
      <c r="W248" s="518"/>
      <c r="X248" s="518"/>
      <c r="Y248" s="518"/>
      <c r="Z248" s="519"/>
      <c r="AA248" s="569"/>
      <c r="AB248" s="570"/>
      <c r="AC248" s="608"/>
    </row>
    <row r="249" spans="1:29" outlineLevel="1">
      <c r="A249" s="308"/>
      <c r="B249" s="3770"/>
      <c r="C249" s="547" t="s">
        <v>617</v>
      </c>
      <c r="D249" s="514"/>
      <c r="E249" s="513"/>
      <c r="F249" s="513"/>
      <c r="G249" s="513"/>
      <c r="H249" s="515"/>
      <c r="I249" s="514"/>
      <c r="J249" s="513"/>
      <c r="K249" s="513"/>
      <c r="L249" s="513"/>
      <c r="M249" s="513"/>
      <c r="N249" s="514"/>
      <c r="O249" s="513"/>
      <c r="P249" s="513"/>
      <c r="Q249" s="513"/>
      <c r="R249" s="515"/>
      <c r="V249" s="517"/>
      <c r="W249" s="518"/>
      <c r="X249" s="518"/>
      <c r="Y249" s="518"/>
      <c r="Z249" s="519"/>
      <c r="AA249" s="517"/>
      <c r="AB249" s="518"/>
      <c r="AC249" s="519"/>
    </row>
    <row r="250" spans="1:29" outlineLevel="1">
      <c r="A250" s="308"/>
      <c r="B250" s="3770"/>
      <c r="C250" s="1786" t="s">
        <v>620</v>
      </c>
      <c r="D250" s="624">
        <f>D247+D248+D249</f>
        <v>0</v>
      </c>
      <c r="E250" s="617">
        <f t="shared" ref="E250:R250" si="251">E247+E248+E249</f>
        <v>0</v>
      </c>
      <c r="F250" s="617">
        <f t="shared" si="251"/>
        <v>0</v>
      </c>
      <c r="G250" s="617">
        <f t="shared" si="251"/>
        <v>0</v>
      </c>
      <c r="H250" s="625">
        <f t="shared" si="251"/>
        <v>0</v>
      </c>
      <c r="I250" s="624">
        <f t="shared" si="251"/>
        <v>0</v>
      </c>
      <c r="J250" s="617">
        <f t="shared" si="251"/>
        <v>0</v>
      </c>
      <c r="K250" s="617">
        <f t="shared" si="251"/>
        <v>0</v>
      </c>
      <c r="L250" s="617">
        <f t="shared" si="251"/>
        <v>0</v>
      </c>
      <c r="M250" s="617">
        <f t="shared" si="251"/>
        <v>0</v>
      </c>
      <c r="N250" s="624">
        <f t="shared" si="251"/>
        <v>0</v>
      </c>
      <c r="O250" s="617">
        <f t="shared" si="251"/>
        <v>0</v>
      </c>
      <c r="P250" s="617">
        <f t="shared" si="251"/>
        <v>0</v>
      </c>
      <c r="Q250" s="617">
        <f t="shared" si="251"/>
        <v>0</v>
      </c>
      <c r="R250" s="625">
        <f t="shared" si="251"/>
        <v>0</v>
      </c>
      <c r="V250" s="624">
        <f>V247+V248+V249</f>
        <v>0</v>
      </c>
      <c r="W250" s="617">
        <f t="shared" ref="W250:AC250" si="252">W247+W248+W249</f>
        <v>0</v>
      </c>
      <c r="X250" s="617">
        <f t="shared" si="252"/>
        <v>0</v>
      </c>
      <c r="Y250" s="617">
        <f t="shared" si="252"/>
        <v>0</v>
      </c>
      <c r="Z250" s="625">
        <f t="shared" si="252"/>
        <v>0</v>
      </c>
      <c r="AA250" s="624">
        <f t="shared" si="252"/>
        <v>0</v>
      </c>
      <c r="AB250" s="617">
        <f t="shared" si="252"/>
        <v>0</v>
      </c>
      <c r="AC250" s="625">
        <f t="shared" si="252"/>
        <v>0</v>
      </c>
    </row>
    <row r="251" spans="1:29" outlineLevel="1">
      <c r="A251" s="308"/>
      <c r="B251" s="3770"/>
      <c r="C251" s="547" t="s">
        <v>641</v>
      </c>
      <c r="D251" s="514"/>
      <c r="E251" s="513"/>
      <c r="F251" s="513"/>
      <c r="G251" s="513"/>
      <c r="H251" s="515"/>
      <c r="I251" s="514"/>
      <c r="J251" s="513"/>
      <c r="K251" s="513"/>
      <c r="L251" s="513"/>
      <c r="M251" s="513"/>
      <c r="N251" s="514"/>
      <c r="O251" s="513"/>
      <c r="P251" s="513"/>
      <c r="Q251" s="513"/>
      <c r="R251" s="515"/>
      <c r="V251" s="517"/>
      <c r="W251" s="518"/>
      <c r="X251" s="518"/>
      <c r="Y251" s="518"/>
      <c r="Z251" s="519"/>
      <c r="AA251" s="517"/>
      <c r="AB251" s="518"/>
      <c r="AC251" s="519"/>
    </row>
    <row r="252" spans="1:29" ht="13.5" outlineLevel="1" thickBot="1">
      <c r="A252" s="308"/>
      <c r="B252" s="3771"/>
      <c r="C252" s="1787" t="s">
        <v>621</v>
      </c>
      <c r="D252" s="619">
        <f>D250-D251</f>
        <v>0</v>
      </c>
      <c r="E252" s="618">
        <f t="shared" ref="E252:R252" si="253">E250-E251</f>
        <v>0</v>
      </c>
      <c r="F252" s="618">
        <f t="shared" si="253"/>
        <v>0</v>
      </c>
      <c r="G252" s="618">
        <f t="shared" si="253"/>
        <v>0</v>
      </c>
      <c r="H252" s="620">
        <f t="shared" si="253"/>
        <v>0</v>
      </c>
      <c r="I252" s="619">
        <f t="shared" si="253"/>
        <v>0</v>
      </c>
      <c r="J252" s="618">
        <f t="shared" ref="J252" si="254">J250-J251</f>
        <v>0</v>
      </c>
      <c r="K252" s="618">
        <f t="shared" si="253"/>
        <v>0</v>
      </c>
      <c r="L252" s="618">
        <f t="shared" si="253"/>
        <v>0</v>
      </c>
      <c r="M252" s="618">
        <f t="shared" si="253"/>
        <v>0</v>
      </c>
      <c r="N252" s="619">
        <f t="shared" si="253"/>
        <v>0</v>
      </c>
      <c r="O252" s="618">
        <f t="shared" si="253"/>
        <v>0</v>
      </c>
      <c r="P252" s="618">
        <f t="shared" si="253"/>
        <v>0</v>
      </c>
      <c r="Q252" s="618">
        <f t="shared" si="253"/>
        <v>0</v>
      </c>
      <c r="R252" s="620">
        <f t="shared" si="253"/>
        <v>0</v>
      </c>
      <c r="V252" s="2167">
        <f>V250-V251</f>
        <v>0</v>
      </c>
      <c r="W252" s="618">
        <f t="shared" ref="W252:AC252" si="255">W250-W251</f>
        <v>0</v>
      </c>
      <c r="X252" s="618">
        <f t="shared" si="255"/>
        <v>0</v>
      </c>
      <c r="Y252" s="618">
        <f t="shared" si="255"/>
        <v>0</v>
      </c>
      <c r="Z252" s="620">
        <f t="shared" si="255"/>
        <v>0</v>
      </c>
      <c r="AA252" s="2167">
        <f t="shared" si="255"/>
        <v>0</v>
      </c>
      <c r="AB252" s="618">
        <f t="shared" si="255"/>
        <v>0</v>
      </c>
      <c r="AC252" s="620">
        <f t="shared" si="255"/>
        <v>0</v>
      </c>
    </row>
    <row r="253" spans="1:29" s="529" customFormat="1" ht="15" customHeight="1" outlineLevel="1">
      <c r="A253" s="308"/>
      <c r="B253" s="3769" t="s">
        <v>190</v>
      </c>
      <c r="C253" s="1788" t="s">
        <v>191</v>
      </c>
      <c r="D253" s="514"/>
      <c r="E253" s="513"/>
      <c r="F253" s="513"/>
      <c r="G253" s="513"/>
      <c r="H253" s="515"/>
      <c r="I253" s="514"/>
      <c r="J253" s="513"/>
      <c r="K253" s="513"/>
      <c r="L253" s="513"/>
      <c r="M253" s="513"/>
      <c r="N253" s="514"/>
      <c r="O253" s="513"/>
      <c r="P253" s="513"/>
      <c r="Q253" s="513"/>
      <c r="R253" s="515"/>
      <c r="S253" s="1427"/>
      <c r="T253" s="1427"/>
      <c r="U253" s="1427"/>
      <c r="V253" s="517"/>
      <c r="W253" s="518"/>
      <c r="X253" s="518"/>
      <c r="Y253" s="518"/>
      <c r="Z253" s="519"/>
      <c r="AA253" s="517"/>
      <c r="AB253" s="518"/>
      <c r="AC253" s="519"/>
    </row>
    <row r="254" spans="1:29" s="529" customFormat="1" outlineLevel="1">
      <c r="A254" s="308"/>
      <c r="B254" s="3770"/>
      <c r="C254" s="547" t="s">
        <v>595</v>
      </c>
      <c r="D254" s="514"/>
      <c r="E254" s="513"/>
      <c r="F254" s="513"/>
      <c r="G254" s="513"/>
      <c r="H254" s="515"/>
      <c r="I254" s="514"/>
      <c r="J254" s="513"/>
      <c r="K254" s="513"/>
      <c r="L254" s="513"/>
      <c r="M254" s="513"/>
      <c r="N254" s="514"/>
      <c r="O254" s="513"/>
      <c r="P254" s="513"/>
      <c r="Q254" s="513"/>
      <c r="R254" s="515"/>
      <c r="S254" s="1427"/>
      <c r="T254" s="1427"/>
      <c r="U254" s="1427"/>
      <c r="V254" s="517"/>
      <c r="W254" s="518"/>
      <c r="X254" s="518"/>
      <c r="Y254" s="518"/>
      <c r="Z254" s="519"/>
      <c r="AA254" s="517"/>
      <c r="AB254" s="518"/>
      <c r="AC254" s="519"/>
    </row>
    <row r="255" spans="1:29" s="529" customFormat="1" outlineLevel="1">
      <c r="A255" s="308"/>
      <c r="B255" s="3770"/>
      <c r="C255" s="547" t="s">
        <v>594</v>
      </c>
      <c r="D255" s="514"/>
      <c r="E255" s="513"/>
      <c r="F255" s="513"/>
      <c r="G255" s="513"/>
      <c r="H255" s="515"/>
      <c r="I255" s="514"/>
      <c r="J255" s="513"/>
      <c r="K255" s="513"/>
      <c r="L255" s="513"/>
      <c r="M255" s="513"/>
      <c r="N255" s="514"/>
      <c r="O255" s="513"/>
      <c r="P255" s="513"/>
      <c r="Q255" s="513"/>
      <c r="R255" s="515"/>
      <c r="S255" s="1427"/>
      <c r="T255" s="1427"/>
      <c r="U255" s="1427"/>
      <c r="V255" s="517"/>
      <c r="W255" s="518"/>
      <c r="X255" s="518"/>
      <c r="Y255" s="518"/>
      <c r="Z255" s="519"/>
      <c r="AA255" s="517"/>
      <c r="AB255" s="518"/>
      <c r="AC255" s="519"/>
    </row>
    <row r="256" spans="1:29" s="529" customFormat="1" outlineLevel="1">
      <c r="A256" s="308"/>
      <c r="B256" s="3770"/>
      <c r="C256" s="547" t="s">
        <v>614</v>
      </c>
      <c r="D256" s="514"/>
      <c r="E256" s="513"/>
      <c r="F256" s="513"/>
      <c r="G256" s="513"/>
      <c r="H256" s="515"/>
      <c r="I256" s="514"/>
      <c r="J256" s="513"/>
      <c r="K256" s="513"/>
      <c r="L256" s="513"/>
      <c r="M256" s="513"/>
      <c r="N256" s="514"/>
      <c r="O256" s="513"/>
      <c r="P256" s="513"/>
      <c r="Q256" s="513"/>
      <c r="R256" s="515"/>
      <c r="S256" s="1427"/>
      <c r="T256" s="1427"/>
      <c r="U256" s="1427"/>
      <c r="V256" s="517"/>
      <c r="W256" s="518"/>
      <c r="X256" s="518"/>
      <c r="Y256" s="518"/>
      <c r="Z256" s="519"/>
      <c r="AA256" s="517"/>
      <c r="AB256" s="518"/>
      <c r="AC256" s="519"/>
    </row>
    <row r="257" spans="1:29" s="529" customFormat="1" outlineLevel="1">
      <c r="A257" s="308"/>
      <c r="B257" s="3770"/>
      <c r="C257" s="1785" t="s">
        <v>615</v>
      </c>
      <c r="D257" s="533">
        <f>D254+D255+D256</f>
        <v>0</v>
      </c>
      <c r="E257" s="534">
        <f t="shared" ref="E257:R257" si="256">E254+E255+E256</f>
        <v>0</v>
      </c>
      <c r="F257" s="534">
        <f t="shared" si="256"/>
        <v>0</v>
      </c>
      <c r="G257" s="534">
        <f t="shared" si="256"/>
        <v>0</v>
      </c>
      <c r="H257" s="479">
        <f t="shared" si="256"/>
        <v>0</v>
      </c>
      <c r="I257" s="533">
        <f t="shared" si="256"/>
        <v>0</v>
      </c>
      <c r="J257" s="534">
        <f t="shared" si="256"/>
        <v>0</v>
      </c>
      <c r="K257" s="534">
        <f t="shared" si="256"/>
        <v>0</v>
      </c>
      <c r="L257" s="534">
        <f t="shared" si="256"/>
        <v>0</v>
      </c>
      <c r="M257" s="534">
        <f t="shared" si="256"/>
        <v>0</v>
      </c>
      <c r="N257" s="533">
        <f t="shared" si="256"/>
        <v>0</v>
      </c>
      <c r="O257" s="534">
        <f t="shared" si="256"/>
        <v>0</v>
      </c>
      <c r="P257" s="534">
        <f t="shared" si="256"/>
        <v>0</v>
      </c>
      <c r="Q257" s="534">
        <f t="shared" si="256"/>
        <v>0</v>
      </c>
      <c r="R257" s="479">
        <f t="shared" si="256"/>
        <v>0</v>
      </c>
      <c r="S257" s="1427"/>
      <c r="T257" s="1427"/>
      <c r="U257" s="1427"/>
      <c r="V257" s="517">
        <f>V254+V255+V256</f>
        <v>0</v>
      </c>
      <c r="W257" s="518">
        <f t="shared" ref="W257:AC257" si="257">W254+W255+W256</f>
        <v>0</v>
      </c>
      <c r="X257" s="518">
        <f t="shared" si="257"/>
        <v>0</v>
      </c>
      <c r="Y257" s="518">
        <f t="shared" si="257"/>
        <v>0</v>
      </c>
      <c r="Z257" s="519">
        <f t="shared" si="257"/>
        <v>0</v>
      </c>
      <c r="AA257" s="517">
        <f t="shared" si="257"/>
        <v>0</v>
      </c>
      <c r="AB257" s="518">
        <f t="shared" si="257"/>
        <v>0</v>
      </c>
      <c r="AC257" s="519">
        <f t="shared" si="257"/>
        <v>0</v>
      </c>
    </row>
    <row r="258" spans="1:29" s="529" customFormat="1" outlineLevel="1">
      <c r="A258" s="308"/>
      <c r="B258" s="3770"/>
      <c r="C258" s="547" t="s">
        <v>619</v>
      </c>
      <c r="D258" s="514"/>
      <c r="E258" s="513"/>
      <c r="F258" s="513"/>
      <c r="G258" s="513"/>
      <c r="H258" s="515"/>
      <c r="I258" s="483"/>
      <c r="J258" s="531"/>
      <c r="K258" s="531"/>
      <c r="L258" s="531"/>
      <c r="M258" s="531"/>
      <c r="N258" s="636"/>
      <c r="O258" s="532"/>
      <c r="P258" s="532"/>
      <c r="Q258" s="532"/>
      <c r="R258" s="579"/>
      <c r="S258" s="1427"/>
      <c r="T258" s="1427"/>
      <c r="U258" s="1427"/>
      <c r="V258" s="517"/>
      <c r="W258" s="518"/>
      <c r="X258" s="518"/>
      <c r="Y258" s="518"/>
      <c r="Z258" s="519"/>
      <c r="AA258" s="569"/>
      <c r="AB258" s="570"/>
      <c r="AC258" s="608"/>
    </row>
    <row r="259" spans="1:29" s="529" customFormat="1" outlineLevel="1">
      <c r="A259" s="308"/>
      <c r="B259" s="3770"/>
      <c r="C259" s="547" t="s">
        <v>617</v>
      </c>
      <c r="D259" s="514"/>
      <c r="E259" s="513"/>
      <c r="F259" s="513"/>
      <c r="G259" s="513"/>
      <c r="H259" s="515"/>
      <c r="I259" s="514"/>
      <c r="J259" s="513"/>
      <c r="K259" s="513"/>
      <c r="L259" s="513"/>
      <c r="M259" s="513"/>
      <c r="N259" s="514"/>
      <c r="O259" s="513"/>
      <c r="P259" s="513"/>
      <c r="Q259" s="513"/>
      <c r="R259" s="515"/>
      <c r="S259" s="1427"/>
      <c r="T259" s="1427"/>
      <c r="U259" s="1427"/>
      <c r="V259" s="517"/>
      <c r="W259" s="518"/>
      <c r="X259" s="518"/>
      <c r="Y259" s="518"/>
      <c r="Z259" s="519"/>
      <c r="AA259" s="517"/>
      <c r="AB259" s="518"/>
      <c r="AC259" s="519"/>
    </row>
    <row r="260" spans="1:29" s="529" customFormat="1" outlineLevel="1">
      <c r="A260" s="308"/>
      <c r="B260" s="3770"/>
      <c r="C260" s="1786" t="s">
        <v>620</v>
      </c>
      <c r="D260" s="624">
        <f>D257+D258+D259</f>
        <v>0</v>
      </c>
      <c r="E260" s="617">
        <f t="shared" ref="E260" si="258">E257+E258+E259</f>
        <v>0</v>
      </c>
      <c r="F260" s="617">
        <f t="shared" ref="F260" si="259">F257+F258+F259</f>
        <v>0</v>
      </c>
      <c r="G260" s="617">
        <f t="shared" ref="G260" si="260">G257+G258+G259</f>
        <v>0</v>
      </c>
      <c r="H260" s="625">
        <f t="shared" ref="H260" si="261">H257+H258+H259</f>
        <v>0</v>
      </c>
      <c r="I260" s="624">
        <f t="shared" ref="I260" si="262">I257+I258+I259</f>
        <v>0</v>
      </c>
      <c r="J260" s="617">
        <f t="shared" ref="J260" si="263">J257+J258+J259</f>
        <v>0</v>
      </c>
      <c r="K260" s="617">
        <f t="shared" ref="K260" si="264">K257+K258+K259</f>
        <v>0</v>
      </c>
      <c r="L260" s="617">
        <f t="shared" ref="L260" si="265">L257+L258+L259</f>
        <v>0</v>
      </c>
      <c r="M260" s="617">
        <f t="shared" ref="M260" si="266">M257+M258+M259</f>
        <v>0</v>
      </c>
      <c r="N260" s="624">
        <f t="shared" ref="N260" si="267">N257+N258+N259</f>
        <v>0</v>
      </c>
      <c r="O260" s="617">
        <f t="shared" ref="O260" si="268">O257+O258+O259</f>
        <v>0</v>
      </c>
      <c r="P260" s="617">
        <f t="shared" ref="P260" si="269">P257+P258+P259</f>
        <v>0</v>
      </c>
      <c r="Q260" s="617">
        <f t="shared" ref="Q260" si="270">Q257+Q258+Q259</f>
        <v>0</v>
      </c>
      <c r="R260" s="625">
        <f t="shared" ref="R260" si="271">R257+R258+R259</f>
        <v>0</v>
      </c>
      <c r="S260" s="1427"/>
      <c r="T260" s="1427"/>
      <c r="U260" s="1427"/>
      <c r="V260" s="624">
        <f>V257+V258+V259</f>
        <v>0</v>
      </c>
      <c r="W260" s="617">
        <f t="shared" ref="W260:AC260" si="272">W257+W258+W259</f>
        <v>0</v>
      </c>
      <c r="X260" s="617">
        <f t="shared" si="272"/>
        <v>0</v>
      </c>
      <c r="Y260" s="617">
        <f t="shared" si="272"/>
        <v>0</v>
      </c>
      <c r="Z260" s="625">
        <f t="shared" si="272"/>
        <v>0</v>
      </c>
      <c r="AA260" s="624">
        <f t="shared" si="272"/>
        <v>0</v>
      </c>
      <c r="AB260" s="617">
        <f t="shared" si="272"/>
        <v>0</v>
      </c>
      <c r="AC260" s="625">
        <f t="shared" si="272"/>
        <v>0</v>
      </c>
    </row>
    <row r="261" spans="1:29" s="529" customFormat="1" outlineLevel="1">
      <c r="A261" s="308"/>
      <c r="B261" s="3770"/>
      <c r="C261" s="547" t="s">
        <v>641</v>
      </c>
      <c r="D261" s="514"/>
      <c r="E261" s="513"/>
      <c r="F261" s="513"/>
      <c r="G261" s="513"/>
      <c r="H261" s="515"/>
      <c r="I261" s="514"/>
      <c r="J261" s="513"/>
      <c r="K261" s="513"/>
      <c r="L261" s="513"/>
      <c r="M261" s="513"/>
      <c r="N261" s="514"/>
      <c r="O261" s="513"/>
      <c r="P261" s="513"/>
      <c r="Q261" s="513"/>
      <c r="R261" s="515"/>
      <c r="S261" s="1427"/>
      <c r="T261" s="1427"/>
      <c r="U261" s="1427"/>
      <c r="V261" s="517"/>
      <c r="W261" s="518"/>
      <c r="X261" s="518"/>
      <c r="Y261" s="518"/>
      <c r="Z261" s="519"/>
      <c r="AA261" s="517"/>
      <c r="AB261" s="518"/>
      <c r="AC261" s="519"/>
    </row>
    <row r="262" spans="1:29" s="529" customFormat="1" ht="13.5" outlineLevel="1" thickBot="1">
      <c r="A262" s="308"/>
      <c r="B262" s="3771"/>
      <c r="C262" s="1787" t="s">
        <v>621</v>
      </c>
      <c r="D262" s="619">
        <f>D260-D261</f>
        <v>0</v>
      </c>
      <c r="E262" s="618">
        <f t="shared" ref="E262:R262" si="273">E260-E261</f>
        <v>0</v>
      </c>
      <c r="F262" s="618">
        <f t="shared" si="273"/>
        <v>0</v>
      </c>
      <c r="G262" s="618">
        <f t="shared" si="273"/>
        <v>0</v>
      </c>
      <c r="H262" s="620">
        <f t="shared" si="273"/>
        <v>0</v>
      </c>
      <c r="I262" s="619">
        <f t="shared" si="273"/>
        <v>0</v>
      </c>
      <c r="J262" s="618">
        <f t="shared" si="273"/>
        <v>0</v>
      </c>
      <c r="K262" s="618">
        <f t="shared" si="273"/>
        <v>0</v>
      </c>
      <c r="L262" s="618">
        <f t="shared" si="273"/>
        <v>0</v>
      </c>
      <c r="M262" s="618">
        <f t="shared" si="273"/>
        <v>0</v>
      </c>
      <c r="N262" s="619">
        <f t="shared" si="273"/>
        <v>0</v>
      </c>
      <c r="O262" s="618">
        <f t="shared" si="273"/>
        <v>0</v>
      </c>
      <c r="P262" s="618">
        <f t="shared" si="273"/>
        <v>0</v>
      </c>
      <c r="Q262" s="618">
        <f t="shared" si="273"/>
        <v>0</v>
      </c>
      <c r="R262" s="620">
        <f t="shared" si="273"/>
        <v>0</v>
      </c>
      <c r="S262" s="1427"/>
      <c r="T262" s="1427"/>
      <c r="U262" s="1427"/>
      <c r="V262" s="2167">
        <f>V260-V261</f>
        <v>0</v>
      </c>
      <c r="W262" s="618">
        <f t="shared" ref="W262:AC262" si="274">W260-W261</f>
        <v>0</v>
      </c>
      <c r="X262" s="618">
        <f t="shared" si="274"/>
        <v>0</v>
      </c>
      <c r="Y262" s="618">
        <f t="shared" si="274"/>
        <v>0</v>
      </c>
      <c r="Z262" s="620">
        <f t="shared" si="274"/>
        <v>0</v>
      </c>
      <c r="AA262" s="2167">
        <f t="shared" si="274"/>
        <v>0</v>
      </c>
      <c r="AB262" s="618">
        <f t="shared" si="274"/>
        <v>0</v>
      </c>
      <c r="AC262" s="620">
        <f t="shared" si="274"/>
        <v>0</v>
      </c>
    </row>
    <row r="263" spans="1:29" s="529" customFormat="1" ht="15" customHeight="1" outlineLevel="1">
      <c r="A263" s="308"/>
      <c r="B263" s="3769" t="s">
        <v>190</v>
      </c>
      <c r="C263" s="1788" t="s">
        <v>191</v>
      </c>
      <c r="D263" s="514"/>
      <c r="E263" s="513"/>
      <c r="F263" s="513"/>
      <c r="G263" s="513"/>
      <c r="H263" s="515"/>
      <c r="I263" s="514"/>
      <c r="J263" s="513"/>
      <c r="K263" s="513"/>
      <c r="L263" s="513"/>
      <c r="M263" s="513"/>
      <c r="N263" s="514"/>
      <c r="O263" s="513"/>
      <c r="P263" s="513"/>
      <c r="Q263" s="513"/>
      <c r="R263" s="515"/>
      <c r="S263" s="1427"/>
      <c r="T263" s="1427"/>
      <c r="U263" s="1427"/>
      <c r="V263" s="517"/>
      <c r="W263" s="518"/>
      <c r="X263" s="518"/>
      <c r="Y263" s="518"/>
      <c r="Z263" s="519"/>
      <c r="AA263" s="517"/>
      <c r="AB263" s="518"/>
      <c r="AC263" s="519"/>
    </row>
    <row r="264" spans="1:29" s="529" customFormat="1" outlineLevel="1">
      <c r="A264" s="308"/>
      <c r="B264" s="3770"/>
      <c r="C264" s="547" t="s">
        <v>595</v>
      </c>
      <c r="D264" s="514"/>
      <c r="E264" s="513"/>
      <c r="F264" s="513"/>
      <c r="G264" s="513"/>
      <c r="H264" s="515"/>
      <c r="I264" s="514"/>
      <c r="J264" s="513"/>
      <c r="K264" s="513"/>
      <c r="L264" s="513"/>
      <c r="M264" s="513"/>
      <c r="N264" s="514"/>
      <c r="O264" s="513"/>
      <c r="P264" s="513"/>
      <c r="Q264" s="513"/>
      <c r="R264" s="515"/>
      <c r="S264" s="1427"/>
      <c r="T264" s="1427"/>
      <c r="U264" s="1427"/>
      <c r="V264" s="517"/>
      <c r="W264" s="518"/>
      <c r="X264" s="518"/>
      <c r="Y264" s="518"/>
      <c r="Z264" s="519"/>
      <c r="AA264" s="517"/>
      <c r="AB264" s="518"/>
      <c r="AC264" s="519"/>
    </row>
    <row r="265" spans="1:29" s="529" customFormat="1" outlineLevel="1">
      <c r="A265" s="308"/>
      <c r="B265" s="3770"/>
      <c r="C265" s="547" t="s">
        <v>594</v>
      </c>
      <c r="D265" s="514"/>
      <c r="E265" s="513"/>
      <c r="F265" s="513"/>
      <c r="G265" s="513"/>
      <c r="H265" s="515"/>
      <c r="I265" s="514"/>
      <c r="J265" s="513"/>
      <c r="K265" s="513"/>
      <c r="L265" s="513"/>
      <c r="M265" s="513"/>
      <c r="N265" s="514"/>
      <c r="O265" s="513"/>
      <c r="P265" s="513"/>
      <c r="Q265" s="513"/>
      <c r="R265" s="515"/>
      <c r="S265" s="1427"/>
      <c r="T265" s="1427"/>
      <c r="U265" s="1427"/>
      <c r="V265" s="517"/>
      <c r="W265" s="518"/>
      <c r="X265" s="518"/>
      <c r="Y265" s="518"/>
      <c r="Z265" s="519"/>
      <c r="AA265" s="517"/>
      <c r="AB265" s="518"/>
      <c r="AC265" s="519"/>
    </row>
    <row r="266" spans="1:29" s="529" customFormat="1" outlineLevel="1">
      <c r="A266" s="308"/>
      <c r="B266" s="3770"/>
      <c r="C266" s="547" t="s">
        <v>614</v>
      </c>
      <c r="D266" s="514"/>
      <c r="E266" s="513"/>
      <c r="F266" s="513"/>
      <c r="G266" s="513"/>
      <c r="H266" s="515"/>
      <c r="I266" s="514"/>
      <c r="J266" s="513"/>
      <c r="K266" s="513"/>
      <c r="L266" s="513"/>
      <c r="M266" s="513"/>
      <c r="N266" s="514"/>
      <c r="O266" s="513"/>
      <c r="P266" s="513"/>
      <c r="Q266" s="513"/>
      <c r="R266" s="515"/>
      <c r="S266" s="1427"/>
      <c r="T266" s="1427"/>
      <c r="U266" s="1427"/>
      <c r="V266" s="517"/>
      <c r="W266" s="518"/>
      <c r="X266" s="518"/>
      <c r="Y266" s="518"/>
      <c r="Z266" s="519"/>
      <c r="AA266" s="517"/>
      <c r="AB266" s="518"/>
      <c r="AC266" s="519"/>
    </row>
    <row r="267" spans="1:29" s="529" customFormat="1" outlineLevel="1">
      <c r="A267" s="308"/>
      <c r="B267" s="3770"/>
      <c r="C267" s="1785" t="s">
        <v>615</v>
      </c>
      <c r="D267" s="533">
        <f>D264+D265+D266</f>
        <v>0</v>
      </c>
      <c r="E267" s="534">
        <f t="shared" ref="E267:R267" si="275">E264+E265+E266</f>
        <v>0</v>
      </c>
      <c r="F267" s="534">
        <f t="shared" si="275"/>
        <v>0</v>
      </c>
      <c r="G267" s="534">
        <f t="shared" si="275"/>
        <v>0</v>
      </c>
      <c r="H267" s="479">
        <f t="shared" si="275"/>
        <v>0</v>
      </c>
      <c r="I267" s="533">
        <f t="shared" si="275"/>
        <v>0</v>
      </c>
      <c r="J267" s="534">
        <f t="shared" si="275"/>
        <v>0</v>
      </c>
      <c r="K267" s="534">
        <f t="shared" si="275"/>
        <v>0</v>
      </c>
      <c r="L267" s="534">
        <f t="shared" si="275"/>
        <v>0</v>
      </c>
      <c r="M267" s="534">
        <f t="shared" si="275"/>
        <v>0</v>
      </c>
      <c r="N267" s="533">
        <f t="shared" si="275"/>
        <v>0</v>
      </c>
      <c r="O267" s="534">
        <f t="shared" si="275"/>
        <v>0</v>
      </c>
      <c r="P267" s="534">
        <f t="shared" si="275"/>
        <v>0</v>
      </c>
      <c r="Q267" s="534">
        <f t="shared" si="275"/>
        <v>0</v>
      </c>
      <c r="R267" s="479">
        <f t="shared" si="275"/>
        <v>0</v>
      </c>
      <c r="S267" s="1427"/>
      <c r="T267" s="1427"/>
      <c r="U267" s="1427"/>
      <c r="V267" s="517">
        <f>V264+V265+V266</f>
        <v>0</v>
      </c>
      <c r="W267" s="518">
        <f t="shared" ref="W267:AC267" si="276">W264+W265+W266</f>
        <v>0</v>
      </c>
      <c r="X267" s="518">
        <f t="shared" si="276"/>
        <v>0</v>
      </c>
      <c r="Y267" s="518">
        <f t="shared" si="276"/>
        <v>0</v>
      </c>
      <c r="Z267" s="519">
        <f t="shared" si="276"/>
        <v>0</v>
      </c>
      <c r="AA267" s="517">
        <f t="shared" si="276"/>
        <v>0</v>
      </c>
      <c r="AB267" s="518">
        <f t="shared" si="276"/>
        <v>0</v>
      </c>
      <c r="AC267" s="519">
        <f t="shared" si="276"/>
        <v>0</v>
      </c>
    </row>
    <row r="268" spans="1:29" s="529" customFormat="1" outlineLevel="1">
      <c r="A268" s="308"/>
      <c r="B268" s="3770"/>
      <c r="C268" s="547" t="s">
        <v>619</v>
      </c>
      <c r="D268" s="514"/>
      <c r="E268" s="513"/>
      <c r="F268" s="513"/>
      <c r="G268" s="513"/>
      <c r="H268" s="515"/>
      <c r="I268" s="483"/>
      <c r="J268" s="531"/>
      <c r="K268" s="531"/>
      <c r="L268" s="531"/>
      <c r="M268" s="531"/>
      <c r="N268" s="636"/>
      <c r="O268" s="532"/>
      <c r="P268" s="532"/>
      <c r="Q268" s="532"/>
      <c r="R268" s="579"/>
      <c r="S268" s="1427"/>
      <c r="T268" s="1427"/>
      <c r="U268" s="1427"/>
      <c r="V268" s="517"/>
      <c r="W268" s="518"/>
      <c r="X268" s="518"/>
      <c r="Y268" s="518"/>
      <c r="Z268" s="519"/>
      <c r="AA268" s="569"/>
      <c r="AB268" s="570"/>
      <c r="AC268" s="608"/>
    </row>
    <row r="269" spans="1:29" s="529" customFormat="1" outlineLevel="1">
      <c r="A269" s="308"/>
      <c r="B269" s="3770"/>
      <c r="C269" s="547" t="s">
        <v>617</v>
      </c>
      <c r="D269" s="514"/>
      <c r="E269" s="513"/>
      <c r="F269" s="513"/>
      <c r="G269" s="513"/>
      <c r="H269" s="515"/>
      <c r="I269" s="514"/>
      <c r="J269" s="513"/>
      <c r="K269" s="513"/>
      <c r="L269" s="513"/>
      <c r="M269" s="513"/>
      <c r="N269" s="514"/>
      <c r="O269" s="513"/>
      <c r="P269" s="513"/>
      <c r="Q269" s="513"/>
      <c r="R269" s="515"/>
      <c r="S269" s="1427"/>
      <c r="T269" s="1427"/>
      <c r="U269" s="1427"/>
      <c r="V269" s="517"/>
      <c r="W269" s="518"/>
      <c r="X269" s="518"/>
      <c r="Y269" s="518"/>
      <c r="Z269" s="519"/>
      <c r="AA269" s="517"/>
      <c r="AB269" s="518"/>
      <c r="AC269" s="519"/>
    </row>
    <row r="270" spans="1:29" s="529" customFormat="1" outlineLevel="1">
      <c r="A270" s="308"/>
      <c r="B270" s="3770"/>
      <c r="C270" s="1786" t="s">
        <v>620</v>
      </c>
      <c r="D270" s="624">
        <f>D267+D268+D269</f>
        <v>0</v>
      </c>
      <c r="E270" s="617">
        <f t="shared" ref="E270" si="277">E267+E268+E269</f>
        <v>0</v>
      </c>
      <c r="F270" s="617">
        <f t="shared" ref="F270" si="278">F267+F268+F269</f>
        <v>0</v>
      </c>
      <c r="G270" s="617">
        <f t="shared" ref="G270" si="279">G267+G268+G269</f>
        <v>0</v>
      </c>
      <c r="H270" s="625">
        <f t="shared" ref="H270" si="280">H267+H268+H269</f>
        <v>0</v>
      </c>
      <c r="I270" s="624">
        <f t="shared" ref="I270" si="281">I267+I268+I269</f>
        <v>0</v>
      </c>
      <c r="J270" s="617">
        <f t="shared" ref="J270" si="282">J267+J268+J269</f>
        <v>0</v>
      </c>
      <c r="K270" s="617">
        <f t="shared" ref="K270" si="283">K267+K268+K269</f>
        <v>0</v>
      </c>
      <c r="L270" s="617">
        <f t="shared" ref="L270" si="284">L267+L268+L269</f>
        <v>0</v>
      </c>
      <c r="M270" s="617">
        <f t="shared" ref="M270" si="285">M267+M268+M269</f>
        <v>0</v>
      </c>
      <c r="N270" s="624">
        <f t="shared" ref="N270" si="286">N267+N268+N269</f>
        <v>0</v>
      </c>
      <c r="O270" s="617">
        <f t="shared" ref="O270" si="287">O267+O268+O269</f>
        <v>0</v>
      </c>
      <c r="P270" s="617">
        <f t="shared" ref="P270" si="288">P267+P268+P269</f>
        <v>0</v>
      </c>
      <c r="Q270" s="617">
        <f t="shared" ref="Q270" si="289">Q267+Q268+Q269</f>
        <v>0</v>
      </c>
      <c r="R270" s="625">
        <f t="shared" ref="R270" si="290">R267+R268+R269</f>
        <v>0</v>
      </c>
      <c r="S270" s="1427"/>
      <c r="T270" s="1427"/>
      <c r="U270" s="1427"/>
      <c r="V270" s="624">
        <f>V267+V268+V269</f>
        <v>0</v>
      </c>
      <c r="W270" s="617">
        <f t="shared" ref="W270:AC270" si="291">W267+W268+W269</f>
        <v>0</v>
      </c>
      <c r="X270" s="617">
        <f t="shared" si="291"/>
        <v>0</v>
      </c>
      <c r="Y270" s="617">
        <f t="shared" si="291"/>
        <v>0</v>
      </c>
      <c r="Z270" s="625">
        <f t="shared" si="291"/>
        <v>0</v>
      </c>
      <c r="AA270" s="624">
        <f t="shared" si="291"/>
        <v>0</v>
      </c>
      <c r="AB270" s="617">
        <f t="shared" si="291"/>
        <v>0</v>
      </c>
      <c r="AC270" s="625">
        <f t="shared" si="291"/>
        <v>0</v>
      </c>
    </row>
    <row r="271" spans="1:29" s="529" customFormat="1" outlineLevel="1">
      <c r="A271" s="308"/>
      <c r="B271" s="3770"/>
      <c r="C271" s="547" t="s">
        <v>641</v>
      </c>
      <c r="D271" s="514"/>
      <c r="E271" s="513"/>
      <c r="F271" s="513"/>
      <c r="G271" s="513"/>
      <c r="H271" s="515"/>
      <c r="I271" s="514"/>
      <c r="J271" s="513"/>
      <c r="K271" s="513"/>
      <c r="L271" s="513"/>
      <c r="M271" s="513"/>
      <c r="N271" s="514"/>
      <c r="O271" s="513"/>
      <c r="P271" s="513"/>
      <c r="Q271" s="513"/>
      <c r="R271" s="515"/>
      <c r="S271" s="1427"/>
      <c r="T271" s="1427"/>
      <c r="U271" s="1427"/>
      <c r="V271" s="517"/>
      <c r="W271" s="518"/>
      <c r="X271" s="518"/>
      <c r="Y271" s="518"/>
      <c r="Z271" s="519"/>
      <c r="AA271" s="517"/>
      <c r="AB271" s="518"/>
      <c r="AC271" s="519"/>
    </row>
    <row r="272" spans="1:29" s="529" customFormat="1" ht="13.5" outlineLevel="1" thickBot="1">
      <c r="A272" s="308"/>
      <c r="B272" s="3771"/>
      <c r="C272" s="1787" t="s">
        <v>621</v>
      </c>
      <c r="D272" s="619">
        <f>D270-D271</f>
        <v>0</v>
      </c>
      <c r="E272" s="618">
        <f t="shared" ref="E272:R272" si="292">E270-E271</f>
        <v>0</v>
      </c>
      <c r="F272" s="618">
        <f t="shared" si="292"/>
        <v>0</v>
      </c>
      <c r="G272" s="618">
        <f t="shared" si="292"/>
        <v>0</v>
      </c>
      <c r="H272" s="620">
        <f t="shared" si="292"/>
        <v>0</v>
      </c>
      <c r="I272" s="619">
        <f t="shared" si="292"/>
        <v>0</v>
      </c>
      <c r="J272" s="618">
        <f t="shared" si="292"/>
        <v>0</v>
      </c>
      <c r="K272" s="618">
        <f t="shared" si="292"/>
        <v>0</v>
      </c>
      <c r="L272" s="618">
        <f t="shared" si="292"/>
        <v>0</v>
      </c>
      <c r="M272" s="618">
        <f t="shared" si="292"/>
        <v>0</v>
      </c>
      <c r="N272" s="619">
        <f t="shared" si="292"/>
        <v>0</v>
      </c>
      <c r="O272" s="618">
        <f t="shared" si="292"/>
        <v>0</v>
      </c>
      <c r="P272" s="618">
        <f t="shared" si="292"/>
        <v>0</v>
      </c>
      <c r="Q272" s="618">
        <f t="shared" si="292"/>
        <v>0</v>
      </c>
      <c r="R272" s="620">
        <f t="shared" si="292"/>
        <v>0</v>
      </c>
      <c r="S272" s="1427"/>
      <c r="T272" s="1427"/>
      <c r="U272" s="1427"/>
      <c r="V272" s="2167">
        <f>V270-V271</f>
        <v>0</v>
      </c>
      <c r="W272" s="618">
        <f t="shared" ref="W272:AC272" si="293">W270-W271</f>
        <v>0</v>
      </c>
      <c r="X272" s="618">
        <f t="shared" si="293"/>
        <v>0</v>
      </c>
      <c r="Y272" s="618">
        <f t="shared" si="293"/>
        <v>0</v>
      </c>
      <c r="Z272" s="620">
        <f t="shared" si="293"/>
        <v>0</v>
      </c>
      <c r="AA272" s="2167">
        <f t="shared" si="293"/>
        <v>0</v>
      </c>
      <c r="AB272" s="618">
        <f t="shared" si="293"/>
        <v>0</v>
      </c>
      <c r="AC272" s="620">
        <f t="shared" si="293"/>
        <v>0</v>
      </c>
    </row>
    <row r="273" spans="1:30" s="529" customFormat="1" ht="16.5" thickBot="1">
      <c r="A273" s="308"/>
      <c r="B273" s="3772" t="s">
        <v>640</v>
      </c>
      <c r="C273" s="3773"/>
      <c r="D273" s="640">
        <f t="shared" ref="D273:R273" si="294">D272+D261+D250</f>
        <v>0</v>
      </c>
      <c r="E273" s="638">
        <f t="shared" si="294"/>
        <v>0</v>
      </c>
      <c r="F273" s="638">
        <f t="shared" si="294"/>
        <v>0</v>
      </c>
      <c r="G273" s="638">
        <f t="shared" si="294"/>
        <v>0</v>
      </c>
      <c r="H273" s="639">
        <f t="shared" si="294"/>
        <v>0</v>
      </c>
      <c r="I273" s="640">
        <f t="shared" si="294"/>
        <v>0</v>
      </c>
      <c r="J273" s="638">
        <f t="shared" si="294"/>
        <v>0</v>
      </c>
      <c r="K273" s="638">
        <f t="shared" si="294"/>
        <v>0</v>
      </c>
      <c r="L273" s="638">
        <f t="shared" si="294"/>
        <v>0</v>
      </c>
      <c r="M273" s="638">
        <f t="shared" si="294"/>
        <v>0</v>
      </c>
      <c r="N273" s="640">
        <f t="shared" si="294"/>
        <v>0</v>
      </c>
      <c r="O273" s="638">
        <f t="shared" si="294"/>
        <v>0</v>
      </c>
      <c r="P273" s="638">
        <f t="shared" si="294"/>
        <v>0</v>
      </c>
      <c r="Q273" s="638">
        <f t="shared" si="294"/>
        <v>0</v>
      </c>
      <c r="R273" s="639">
        <f t="shared" si="294"/>
        <v>0</v>
      </c>
      <c r="S273"/>
      <c r="T273"/>
      <c r="U273"/>
      <c r="V273" s="2168">
        <f t="shared" ref="V273:AC273" si="295">V272+V261+V250</f>
        <v>0</v>
      </c>
      <c r="W273" s="638">
        <f t="shared" si="295"/>
        <v>0</v>
      </c>
      <c r="X273" s="638">
        <f t="shared" si="295"/>
        <v>0</v>
      </c>
      <c r="Y273" s="638">
        <f t="shared" si="295"/>
        <v>0</v>
      </c>
      <c r="Z273" s="639">
        <f t="shared" si="295"/>
        <v>0</v>
      </c>
      <c r="AA273" s="2168">
        <f t="shared" si="295"/>
        <v>0</v>
      </c>
      <c r="AB273" s="638">
        <f t="shared" si="295"/>
        <v>0</v>
      </c>
      <c r="AC273" s="639">
        <f t="shared" si="295"/>
        <v>0</v>
      </c>
    </row>
    <row r="274" spans="1:30" s="70" customFormat="1" ht="50.25" customHeight="1" thickBot="1">
      <c r="A274" s="360"/>
      <c r="B274" s="3610" t="s">
        <v>125</v>
      </c>
      <c r="C274" s="3611"/>
      <c r="D274" s="1413"/>
      <c r="E274" s="1414"/>
      <c r="F274" s="1414"/>
      <c r="G274" s="1414"/>
      <c r="H274" s="1414"/>
      <c r="I274" s="1414"/>
      <c r="J274" s="1414"/>
      <c r="K274" s="1414"/>
      <c r="L274" s="1414"/>
      <c r="M274" s="1414"/>
      <c r="N274" s="1414"/>
      <c r="O274" s="1414"/>
      <c r="P274" s="1414"/>
      <c r="Q274" s="1414"/>
      <c r="R274" s="1452"/>
      <c r="S274"/>
      <c r="T274"/>
      <c r="U274"/>
      <c r="V274" s="2135"/>
      <c r="W274" s="2116"/>
      <c r="X274" s="2116"/>
      <c r="Y274" s="2116"/>
      <c r="Z274" s="2116"/>
      <c r="AA274" s="2116"/>
      <c r="AB274" s="2116"/>
      <c r="AC274" s="2119"/>
    </row>
    <row r="275" spans="1:30" s="79" customFormat="1" ht="43.5" customHeight="1" thickBot="1">
      <c r="A275" s="308"/>
      <c r="B275" s="1462"/>
      <c r="C275" s="1462"/>
      <c r="D275" s="544"/>
      <c r="E275" s="544"/>
      <c r="F275" s="544"/>
      <c r="G275" s="544"/>
      <c r="H275" s="544"/>
      <c r="I275" s="288"/>
      <c r="J275" s="288"/>
      <c r="K275" s="288"/>
      <c r="L275" s="288"/>
      <c r="M275" s="288"/>
      <c r="N275" s="288"/>
      <c r="O275" s="288"/>
      <c r="P275" s="288"/>
      <c r="Q275" s="288"/>
      <c r="R275" s="288"/>
      <c r="S275"/>
      <c r="T275"/>
      <c r="U275"/>
      <c r="V275" s="544"/>
      <c r="W275" s="544"/>
      <c r="X275" s="544"/>
      <c r="Y275" s="544"/>
      <c r="Z275" s="544"/>
      <c r="AA275" s="1429"/>
      <c r="AB275" s="1429"/>
      <c r="AC275" s="1429"/>
    </row>
    <row r="276" spans="1:30" s="229" customFormat="1" ht="24.75" customHeight="1" thickBot="1">
      <c r="A276" s="308"/>
      <c r="B276" s="1576" t="str">
        <f>CONCATENATE("Table 8.7 - Meter family expected lives in ", dms_DollarReal, " (actual)*")</f>
        <v>Table 8.7 - Meter family expected lives in December 2017 (actual)*</v>
      </c>
      <c r="C276" s="1576"/>
      <c r="D276" s="1584"/>
      <c r="E276" s="1584"/>
      <c r="F276" s="1584"/>
      <c r="G276" s="1584"/>
      <c r="H276" s="2174"/>
      <c r="I276"/>
      <c r="J276"/>
      <c r="K276"/>
      <c r="L276"/>
      <c r="M276"/>
      <c r="N276"/>
      <c r="O276"/>
      <c r="P276"/>
      <c r="Q276"/>
      <c r="R276"/>
      <c r="S276" s="1427"/>
      <c r="T276" s="1427"/>
      <c r="U276" s="1427"/>
      <c r="V276"/>
      <c r="W276"/>
      <c r="X276"/>
      <c r="Y276"/>
      <c r="Z276"/>
      <c r="AA276"/>
      <c r="AB276"/>
      <c r="AC276"/>
      <c r="AD276"/>
    </row>
    <row r="277" spans="1:30" ht="12.75" customHeight="1">
      <c r="A277" s="308"/>
      <c r="B277" s="3757"/>
      <c r="C277" s="3758"/>
      <c r="D277" s="3722" t="s">
        <v>179</v>
      </c>
      <c r="E277" s="3724" t="s">
        <v>180</v>
      </c>
      <c r="F277" s="3724" t="s">
        <v>256</v>
      </c>
      <c r="G277" s="3724" t="s">
        <v>257</v>
      </c>
      <c r="H277" s="3720" t="s">
        <v>181</v>
      </c>
      <c r="I277" s="288"/>
      <c r="J277" s="288"/>
      <c r="K277" s="288"/>
      <c r="L277" s="288"/>
      <c r="M277" s="288"/>
      <c r="N277" s="288"/>
      <c r="O277" s="288"/>
      <c r="P277" s="288"/>
      <c r="Q277" s="288"/>
      <c r="R277" s="288"/>
      <c r="V277"/>
      <c r="W277"/>
      <c r="X277"/>
      <c r="Y277"/>
      <c r="Z277"/>
      <c r="AA277"/>
      <c r="AB277"/>
      <c r="AC277"/>
      <c r="AD277"/>
    </row>
    <row r="278" spans="1:30" ht="12.75" customHeight="1">
      <c r="A278" s="308"/>
      <c r="B278" s="3759"/>
      <c r="C278" s="3760"/>
      <c r="D278" s="3723"/>
      <c r="E278" s="3725"/>
      <c r="F278" s="3725"/>
      <c r="G278" s="3725"/>
      <c r="H278" s="3721"/>
      <c r="I278" s="308"/>
      <c r="J278" s="308"/>
      <c r="K278" s="308"/>
      <c r="L278" s="308"/>
      <c r="M278" s="308"/>
      <c r="N278" s="308"/>
      <c r="O278" s="308"/>
      <c r="P278" s="308"/>
      <c r="Q278" s="308"/>
      <c r="R278" s="308"/>
      <c r="V278"/>
      <c r="W278"/>
      <c r="X278"/>
      <c r="Y278"/>
      <c r="Z278"/>
      <c r="AA278"/>
      <c r="AB278"/>
      <c r="AC278"/>
      <c r="AD278"/>
    </row>
    <row r="279" spans="1:30" ht="12.75" customHeight="1">
      <c r="A279" s="308"/>
      <c r="B279" s="3759"/>
      <c r="C279" s="3760"/>
      <c r="D279" s="3723"/>
      <c r="E279" s="3725"/>
      <c r="F279" s="3725"/>
      <c r="G279" s="3725"/>
      <c r="H279" s="3721"/>
      <c r="I279" s="308"/>
      <c r="J279" s="308"/>
      <c r="K279" s="308"/>
      <c r="L279" s="308"/>
      <c r="M279" s="308"/>
      <c r="N279" s="308"/>
      <c r="O279" s="308"/>
      <c r="P279" s="308"/>
      <c r="Q279" s="308"/>
      <c r="R279" s="308"/>
      <c r="V279"/>
      <c r="W279"/>
      <c r="X279"/>
      <c r="Y279"/>
      <c r="Z279"/>
      <c r="AA279"/>
      <c r="AB279"/>
      <c r="AC279"/>
      <c r="AD279"/>
    </row>
    <row r="280" spans="1:30" ht="13.5" customHeight="1">
      <c r="A280" s="308"/>
      <c r="B280" s="3759"/>
      <c r="C280" s="3760"/>
      <c r="D280" s="3723"/>
      <c r="E280" s="3725"/>
      <c r="F280" s="3725"/>
      <c r="G280" s="3725"/>
      <c r="H280" s="3721"/>
      <c r="I280" s="308"/>
      <c r="J280" s="308"/>
      <c r="K280" s="308"/>
      <c r="L280" s="308"/>
      <c r="M280" s="308"/>
      <c r="N280" s="308"/>
      <c r="O280" s="308"/>
      <c r="P280" s="308"/>
      <c r="Q280" s="308"/>
      <c r="R280" s="308"/>
      <c r="V280"/>
      <c r="W280"/>
      <c r="X280"/>
      <c r="Y280"/>
      <c r="Z280"/>
      <c r="AA280"/>
      <c r="AB280"/>
      <c r="AC280"/>
      <c r="AD280"/>
    </row>
    <row r="281" spans="1:30" s="529" customFormat="1" ht="15" customHeight="1" thickBot="1">
      <c r="A281" s="308"/>
      <c r="B281" s="3777"/>
      <c r="C281" s="3762"/>
      <c r="D281" s="1589" t="s">
        <v>417</v>
      </c>
      <c r="E281" s="1567" t="s">
        <v>366</v>
      </c>
      <c r="F281" s="1567" t="s">
        <v>417</v>
      </c>
      <c r="G281" s="1567" t="s">
        <v>417</v>
      </c>
      <c r="H281" s="2175" t="s">
        <v>366</v>
      </c>
      <c r="I281" s="308"/>
      <c r="J281" s="308"/>
      <c r="K281" s="308"/>
      <c r="L281" s="308"/>
      <c r="M281" s="308"/>
      <c r="N281" s="308"/>
      <c r="O281" s="308"/>
      <c r="P281" s="308"/>
      <c r="Q281" s="308"/>
      <c r="R281" s="308"/>
      <c r="S281"/>
      <c r="T281"/>
      <c r="U281"/>
      <c r="V281"/>
      <c r="W281"/>
      <c r="X281"/>
      <c r="Y281"/>
      <c r="Z281"/>
      <c r="AA281"/>
      <c r="AB281"/>
      <c r="AC281"/>
      <c r="AD281"/>
    </row>
    <row r="282" spans="1:30" ht="15" outlineLevel="1">
      <c r="A282" s="308"/>
      <c r="B282" s="3767" t="s">
        <v>178</v>
      </c>
      <c r="C282" s="3776"/>
      <c r="D282" s="1709"/>
      <c r="E282" s="463"/>
      <c r="F282" s="463"/>
      <c r="G282" s="463"/>
      <c r="H282" s="587">
        <f t="shared" ref="H282:H288" si="296">G282-D282</f>
        <v>0</v>
      </c>
      <c r="I282" s="308"/>
      <c r="J282" s="308"/>
      <c r="K282" s="308"/>
      <c r="L282" s="308"/>
      <c r="M282" s="308"/>
      <c r="N282" s="308"/>
      <c r="O282" s="308"/>
      <c r="P282" s="308"/>
      <c r="Q282" s="308"/>
      <c r="R282" s="308"/>
      <c r="V282"/>
      <c r="W282"/>
      <c r="X282"/>
      <c r="Y282"/>
      <c r="Z282"/>
      <c r="AA282"/>
      <c r="AB282"/>
      <c r="AC282"/>
      <c r="AD282"/>
    </row>
    <row r="283" spans="1:30" ht="15" outlineLevel="1">
      <c r="A283" s="308"/>
      <c r="B283" s="3765" t="s">
        <v>178</v>
      </c>
      <c r="C283" s="3775"/>
      <c r="D283" s="514"/>
      <c r="E283" s="513"/>
      <c r="F283" s="513"/>
      <c r="G283" s="513"/>
      <c r="H283" s="519">
        <f t="shared" si="296"/>
        <v>0</v>
      </c>
      <c r="I283" s="308"/>
      <c r="J283" s="308"/>
      <c r="K283" s="308"/>
      <c r="L283" s="308"/>
      <c r="M283" s="308"/>
      <c r="N283" s="308"/>
      <c r="O283" s="308"/>
      <c r="P283" s="308"/>
      <c r="Q283" s="308"/>
      <c r="R283" s="308"/>
      <c r="V283"/>
      <c r="W283"/>
      <c r="X283"/>
      <c r="Y283"/>
      <c r="Z283"/>
      <c r="AA283"/>
      <c r="AB283"/>
      <c r="AC283"/>
      <c r="AD283"/>
    </row>
    <row r="284" spans="1:30" ht="15" outlineLevel="1">
      <c r="A284" s="308"/>
      <c r="B284" s="3765" t="s">
        <v>178</v>
      </c>
      <c r="C284" s="3775"/>
      <c r="D284" s="514"/>
      <c r="E284" s="513"/>
      <c r="F284" s="513"/>
      <c r="G284" s="513"/>
      <c r="H284" s="519">
        <f t="shared" si="296"/>
        <v>0</v>
      </c>
      <c r="I284" s="308"/>
      <c r="J284" s="308"/>
      <c r="K284" s="308"/>
      <c r="L284" s="308"/>
      <c r="M284" s="308"/>
      <c r="N284" s="308"/>
      <c r="O284" s="308"/>
      <c r="P284" s="308"/>
      <c r="Q284" s="308"/>
      <c r="R284" s="308"/>
      <c r="V284"/>
      <c r="W284"/>
      <c r="X284"/>
      <c r="Y284"/>
      <c r="Z284"/>
      <c r="AA284"/>
      <c r="AB284"/>
      <c r="AC284"/>
      <c r="AD284"/>
    </row>
    <row r="285" spans="1:30" ht="15" outlineLevel="1">
      <c r="A285" s="308"/>
      <c r="B285" s="3765" t="s">
        <v>178</v>
      </c>
      <c r="C285" s="3775"/>
      <c r="D285" s="514"/>
      <c r="E285" s="513"/>
      <c r="F285" s="513"/>
      <c r="G285" s="513"/>
      <c r="H285" s="519">
        <f t="shared" si="296"/>
        <v>0</v>
      </c>
      <c r="I285" s="308"/>
      <c r="J285" s="308"/>
      <c r="K285" s="308"/>
      <c r="L285" s="308"/>
      <c r="M285" s="308"/>
      <c r="N285" s="308"/>
      <c r="O285" s="308"/>
      <c r="P285" s="308"/>
      <c r="Q285" s="308"/>
      <c r="R285" s="308"/>
      <c r="V285"/>
      <c r="W285"/>
      <c r="X285"/>
      <c r="Y285"/>
      <c r="Z285"/>
      <c r="AA285"/>
      <c r="AB285"/>
      <c r="AC285"/>
      <c r="AD285"/>
    </row>
    <row r="286" spans="1:30" ht="15" outlineLevel="1">
      <c r="A286" s="308"/>
      <c r="B286" s="3765" t="s">
        <v>178</v>
      </c>
      <c r="C286" s="3775"/>
      <c r="D286" s="514"/>
      <c r="E286" s="513"/>
      <c r="F286" s="513"/>
      <c r="G286" s="513"/>
      <c r="H286" s="519">
        <f t="shared" si="296"/>
        <v>0</v>
      </c>
      <c r="I286" s="308"/>
      <c r="J286" s="308"/>
      <c r="K286" s="308"/>
      <c r="L286" s="308"/>
      <c r="M286" s="308"/>
      <c r="N286" s="308"/>
      <c r="O286" s="308"/>
      <c r="P286" s="308"/>
      <c r="Q286" s="308"/>
      <c r="R286" s="308"/>
      <c r="V286"/>
      <c r="W286"/>
      <c r="X286"/>
      <c r="Y286"/>
      <c r="Z286"/>
      <c r="AA286"/>
      <c r="AB286"/>
      <c r="AC286"/>
      <c r="AD286"/>
    </row>
    <row r="287" spans="1:30" ht="15" outlineLevel="1">
      <c r="A287" s="308"/>
      <c r="B287" s="3765" t="s">
        <v>178</v>
      </c>
      <c r="C287" s="3775"/>
      <c r="D287" s="514"/>
      <c r="E287" s="513"/>
      <c r="F287" s="513"/>
      <c r="G287" s="513"/>
      <c r="H287" s="519">
        <f t="shared" si="296"/>
        <v>0</v>
      </c>
      <c r="I287" s="308"/>
      <c r="J287" s="308"/>
      <c r="K287" s="308"/>
      <c r="L287" s="308"/>
      <c r="M287" s="308"/>
      <c r="N287" s="308"/>
      <c r="O287" s="308"/>
      <c r="P287" s="308"/>
      <c r="Q287" s="308"/>
      <c r="R287" s="308"/>
      <c r="V287"/>
      <c r="W287"/>
      <c r="X287"/>
      <c r="Y287"/>
      <c r="Z287"/>
      <c r="AA287"/>
      <c r="AB287"/>
      <c r="AC287"/>
      <c r="AD287"/>
    </row>
    <row r="288" spans="1:30" ht="15.75" outlineLevel="1" thickBot="1">
      <c r="A288" s="308"/>
      <c r="B288" s="3763" t="s">
        <v>178</v>
      </c>
      <c r="C288" s="3774"/>
      <c r="D288" s="1792"/>
      <c r="E288" s="465"/>
      <c r="F288" s="465"/>
      <c r="G288" s="465"/>
      <c r="H288" s="568">
        <f t="shared" si="296"/>
        <v>0</v>
      </c>
      <c r="I288" s="308"/>
      <c r="J288" s="308"/>
      <c r="K288" s="308"/>
      <c r="L288" s="308"/>
      <c r="M288" s="308"/>
      <c r="N288" s="308"/>
      <c r="O288" s="308"/>
      <c r="P288" s="308"/>
      <c r="Q288" s="308"/>
      <c r="R288" s="308"/>
      <c r="V288"/>
      <c r="W288"/>
      <c r="X288"/>
      <c r="Y288"/>
      <c r="Z288"/>
      <c r="AA288"/>
      <c r="AB288"/>
      <c r="AC288"/>
      <c r="AD288"/>
    </row>
    <row r="289" spans="1:30">
      <c r="A289" s="308"/>
      <c r="B289" s="78" t="str">
        <f>CONCATENATE("*Only relates to meters expected to fail or be tested in the period  ", FRCP_span)</f>
        <v>*Only relates to meters expected to fail or be tested in the period  2018 to 2022</v>
      </c>
      <c r="C289" s="529" t="str">
        <f>CONCATENATE("*Only relates to meters expected to fail or be tested in the period  ", FRCP_span)</f>
        <v>*Only relates to meters expected to fail or be tested in the period  2018 to 2022</v>
      </c>
      <c r="G289" s="308"/>
      <c r="H289" s="308"/>
      <c r="I289" s="308"/>
      <c r="J289" s="308"/>
      <c r="K289" s="308"/>
      <c r="L289" s="308"/>
      <c r="M289" s="308"/>
      <c r="N289" s="308"/>
      <c r="O289" s="308"/>
      <c r="P289" s="308"/>
      <c r="Q289" s="308"/>
      <c r="R289" s="308"/>
      <c r="V289"/>
      <c r="W289"/>
      <c r="X289"/>
      <c r="Y289"/>
      <c r="Z289"/>
      <c r="AA289"/>
      <c r="AB289"/>
      <c r="AC289"/>
      <c r="AD289"/>
    </row>
    <row r="290" spans="1:30" s="79" customFormat="1" ht="43.5" customHeight="1" thickBot="1">
      <c r="A290" s="308"/>
      <c r="B290" s="82"/>
      <c r="C290" s="230"/>
      <c r="D290" s="81"/>
      <c r="E290" s="81"/>
      <c r="F290" s="81"/>
      <c r="G290" s="81"/>
      <c r="H290" s="81"/>
      <c r="I290" s="66"/>
      <c r="J290" s="66"/>
      <c r="K290" s="66"/>
      <c r="L290" s="66"/>
      <c r="M290" s="66"/>
      <c r="N290" s="66"/>
      <c r="O290" s="66"/>
      <c r="P290" s="66"/>
      <c r="Q290" s="66"/>
      <c r="R290" s="66"/>
      <c r="S290"/>
      <c r="T290"/>
      <c r="U290"/>
      <c r="V290"/>
      <c r="W290"/>
      <c r="X290"/>
      <c r="Y290"/>
      <c r="Z290"/>
      <c r="AA290"/>
      <c r="AB290"/>
      <c r="AC290"/>
      <c r="AD290"/>
    </row>
    <row r="291" spans="1:30" s="229" customFormat="1" ht="24.75" customHeight="1" thickBot="1">
      <c r="A291" s="308"/>
      <c r="B291" s="1576" t="s">
        <v>525</v>
      </c>
      <c r="C291" s="1576"/>
      <c r="D291" s="1584"/>
      <c r="E291" s="1584"/>
      <c r="F291" s="1584"/>
      <c r="G291" s="1577"/>
      <c r="H291" s="1577"/>
      <c r="I291" s="1577"/>
      <c r="J291" s="1577"/>
      <c r="K291" s="1577"/>
      <c r="L291" s="1577"/>
      <c r="M291" s="1577"/>
      <c r="N291" s="1577"/>
      <c r="O291" s="1577"/>
      <c r="P291" s="1577"/>
      <c r="Q291" s="1577"/>
      <c r="R291" s="1578"/>
      <c r="S291" s="1427"/>
      <c r="T291" s="1427"/>
      <c r="U291" s="1427"/>
      <c r="V291"/>
      <c r="W291"/>
      <c r="X291"/>
      <c r="Y291"/>
      <c r="Z291"/>
      <c r="AA291"/>
      <c r="AB291"/>
      <c r="AC291"/>
      <c r="AD291"/>
    </row>
    <row r="292" spans="1:30" s="529" customFormat="1" ht="22.5" customHeight="1" thickBot="1">
      <c r="B292" s="3757"/>
      <c r="C292" s="3758"/>
      <c r="D292" s="3717">
        <f>CRCP_y1</f>
        <v>2013</v>
      </c>
      <c r="E292" s="3718"/>
      <c r="F292" s="3719"/>
      <c r="G292" s="3709">
        <f>CRCP_y2</f>
        <v>2014</v>
      </c>
      <c r="H292" s="3709"/>
      <c r="I292" s="3710"/>
      <c r="J292" s="3714">
        <f>CRCP_y3</f>
        <v>2015</v>
      </c>
      <c r="K292" s="3715"/>
      <c r="L292" s="3716"/>
      <c r="M292" s="3708">
        <f>CRCP_y4</f>
        <v>2016</v>
      </c>
      <c r="N292" s="3709"/>
      <c r="O292" s="3710"/>
      <c r="P292" s="3711">
        <f>CRCP_y5</f>
        <v>2017</v>
      </c>
      <c r="Q292" s="3712"/>
      <c r="R292" s="3713"/>
      <c r="S292"/>
      <c r="T292"/>
      <c r="U292"/>
      <c r="V292"/>
      <c r="W292"/>
      <c r="X292"/>
      <c r="Y292"/>
      <c r="Z292"/>
      <c r="AA292"/>
      <c r="AB292"/>
      <c r="AC292"/>
      <c r="AD292"/>
    </row>
    <row r="293" spans="1:30" s="529" customFormat="1" ht="73.5" customHeight="1">
      <c r="B293" s="3759"/>
      <c r="C293" s="3760"/>
      <c r="D293" s="1598" t="s">
        <v>182</v>
      </c>
      <c r="E293" s="1599" t="s">
        <v>180</v>
      </c>
      <c r="F293" s="1600" t="s">
        <v>183</v>
      </c>
      <c r="G293" s="1590" t="s">
        <v>182</v>
      </c>
      <c r="H293" s="1566" t="s">
        <v>180</v>
      </c>
      <c r="I293" s="1591" t="s">
        <v>183</v>
      </c>
      <c r="J293" s="1593" t="s">
        <v>182</v>
      </c>
      <c r="K293" s="1594" t="s">
        <v>180</v>
      </c>
      <c r="L293" s="1595" t="s">
        <v>183</v>
      </c>
      <c r="M293" s="1590" t="s">
        <v>182</v>
      </c>
      <c r="N293" s="1566" t="s">
        <v>180</v>
      </c>
      <c r="O293" s="1591" t="s">
        <v>183</v>
      </c>
      <c r="P293" s="1596" t="s">
        <v>182</v>
      </c>
      <c r="Q293" s="1594" t="s">
        <v>180</v>
      </c>
      <c r="R293" s="1597" t="s">
        <v>183</v>
      </c>
      <c r="S293"/>
      <c r="T293"/>
      <c r="U293"/>
      <c r="V293"/>
      <c r="W293"/>
      <c r="X293"/>
      <c r="Y293"/>
      <c r="Z293"/>
      <c r="AA293"/>
      <c r="AB293"/>
      <c r="AC293"/>
      <c r="AD293"/>
    </row>
    <row r="294" spans="1:30" s="529" customFormat="1" ht="25.5" customHeight="1" thickBot="1">
      <c r="B294" s="3761"/>
      <c r="C294" s="3762"/>
      <c r="D294" s="1585" t="s">
        <v>418</v>
      </c>
      <c r="E294" s="641" t="s">
        <v>366</v>
      </c>
      <c r="F294" s="1587"/>
      <c r="G294" s="1589" t="s">
        <v>418</v>
      </c>
      <c r="H294" s="1567" t="s">
        <v>366</v>
      </c>
      <c r="I294" s="1592"/>
      <c r="J294" s="1588" t="s">
        <v>418</v>
      </c>
      <c r="K294" s="641" t="s">
        <v>366</v>
      </c>
      <c r="L294" s="1587"/>
      <c r="M294" s="1589" t="s">
        <v>418</v>
      </c>
      <c r="N294" s="1567" t="s">
        <v>366</v>
      </c>
      <c r="O294" s="1592"/>
      <c r="P294" s="1585" t="s">
        <v>418</v>
      </c>
      <c r="Q294" s="641" t="s">
        <v>366</v>
      </c>
      <c r="R294" s="1586"/>
      <c r="S294"/>
      <c r="T294"/>
      <c r="U294"/>
      <c r="V294"/>
      <c r="W294"/>
      <c r="X294"/>
      <c r="Y294"/>
      <c r="Z294"/>
      <c r="AA294"/>
      <c r="AB294"/>
      <c r="AC294"/>
      <c r="AD294"/>
    </row>
    <row r="295" spans="1:30" s="529" customFormat="1" ht="15" outlineLevel="1">
      <c r="A295" s="308"/>
      <c r="B295" s="3767" t="s">
        <v>178</v>
      </c>
      <c r="C295" s="3768"/>
      <c r="D295" s="466"/>
      <c r="E295" s="549"/>
      <c r="F295" s="563"/>
      <c r="G295" s="466"/>
      <c r="H295" s="549"/>
      <c r="I295" s="563"/>
      <c r="J295" s="466"/>
      <c r="K295" s="549"/>
      <c r="L295" s="563"/>
      <c r="M295" s="466"/>
      <c r="N295" s="549"/>
      <c r="O295" s="563"/>
      <c r="P295" s="466"/>
      <c r="Q295" s="549"/>
      <c r="R295" s="563"/>
      <c r="S295"/>
      <c r="T295"/>
      <c r="U295"/>
      <c r="V295"/>
      <c r="W295"/>
      <c r="X295"/>
      <c r="Y295"/>
      <c r="Z295"/>
      <c r="AA295"/>
      <c r="AB295"/>
      <c r="AC295"/>
      <c r="AD295"/>
    </row>
    <row r="296" spans="1:30" s="529" customFormat="1" ht="15" outlineLevel="1">
      <c r="A296" s="308"/>
      <c r="B296" s="3765" t="s">
        <v>178</v>
      </c>
      <c r="C296" s="3766"/>
      <c r="D296" s="514"/>
      <c r="E296" s="513"/>
      <c r="F296" s="515"/>
      <c r="G296" s="514"/>
      <c r="H296" s="513"/>
      <c r="I296" s="515"/>
      <c r="J296" s="514"/>
      <c r="K296" s="513"/>
      <c r="L296" s="515"/>
      <c r="M296" s="514"/>
      <c r="N296" s="513"/>
      <c r="O296" s="515"/>
      <c r="P296" s="514"/>
      <c r="Q296" s="513"/>
      <c r="R296" s="515"/>
      <c r="S296"/>
      <c r="T296"/>
      <c r="U296"/>
      <c r="V296"/>
      <c r="W296"/>
      <c r="X296"/>
      <c r="Y296"/>
      <c r="Z296"/>
      <c r="AA296"/>
      <c r="AB296"/>
      <c r="AC296"/>
      <c r="AD296"/>
    </row>
    <row r="297" spans="1:30" s="529" customFormat="1" ht="15" outlineLevel="1">
      <c r="A297" s="308"/>
      <c r="B297" s="3765" t="s">
        <v>178</v>
      </c>
      <c r="C297" s="3766"/>
      <c r="D297" s="514"/>
      <c r="E297" s="513"/>
      <c r="F297" s="515"/>
      <c r="G297" s="514"/>
      <c r="H297" s="513"/>
      <c r="I297" s="515"/>
      <c r="J297" s="514"/>
      <c r="K297" s="513"/>
      <c r="L297" s="515"/>
      <c r="M297" s="514"/>
      <c r="N297" s="513"/>
      <c r="O297" s="515"/>
      <c r="P297" s="514"/>
      <c r="Q297" s="513"/>
      <c r="R297" s="515"/>
      <c r="S297"/>
      <c r="T297"/>
      <c r="U297"/>
      <c r="V297"/>
      <c r="W297"/>
      <c r="X297"/>
      <c r="Y297"/>
      <c r="Z297"/>
      <c r="AA297"/>
      <c r="AB297"/>
      <c r="AC297"/>
      <c r="AD297"/>
    </row>
    <row r="298" spans="1:30" s="529" customFormat="1" ht="15" outlineLevel="1">
      <c r="A298" s="308"/>
      <c r="B298" s="3765" t="s">
        <v>178</v>
      </c>
      <c r="C298" s="3766"/>
      <c r="D298" s="514"/>
      <c r="E298" s="513"/>
      <c r="F298" s="515"/>
      <c r="G298" s="514"/>
      <c r="H298" s="513"/>
      <c r="I298" s="515"/>
      <c r="J298" s="514"/>
      <c r="K298" s="513"/>
      <c r="L298" s="515"/>
      <c r="M298" s="514"/>
      <c r="N298" s="513"/>
      <c r="O298" s="515"/>
      <c r="P298" s="514"/>
      <c r="Q298" s="513"/>
      <c r="R298" s="515"/>
      <c r="S298"/>
      <c r="T298"/>
      <c r="U298"/>
      <c r="V298"/>
      <c r="W298"/>
      <c r="X298"/>
      <c r="Y298"/>
      <c r="Z298"/>
      <c r="AA298"/>
      <c r="AB298"/>
      <c r="AC298"/>
      <c r="AD298"/>
    </row>
    <row r="299" spans="1:30" s="529" customFormat="1" ht="15" outlineLevel="1">
      <c r="A299" s="308"/>
      <c r="B299" s="3765" t="s">
        <v>178</v>
      </c>
      <c r="C299" s="3766"/>
      <c r="D299" s="514"/>
      <c r="E299" s="513"/>
      <c r="F299" s="515"/>
      <c r="G299" s="514"/>
      <c r="H299" s="513"/>
      <c r="I299" s="515"/>
      <c r="J299" s="514"/>
      <c r="K299" s="513"/>
      <c r="L299" s="515"/>
      <c r="M299" s="514"/>
      <c r="N299" s="513"/>
      <c r="O299" s="515"/>
      <c r="P299" s="514"/>
      <c r="Q299" s="513"/>
      <c r="R299" s="515"/>
      <c r="S299"/>
      <c r="T299"/>
      <c r="U299"/>
      <c r="V299"/>
      <c r="W299"/>
      <c r="X299"/>
      <c r="Y299"/>
      <c r="Z299"/>
      <c r="AA299"/>
      <c r="AB299"/>
      <c r="AC299"/>
      <c r="AD299"/>
    </row>
    <row r="300" spans="1:30" s="529" customFormat="1" ht="15" outlineLevel="1">
      <c r="A300" s="308"/>
      <c r="B300" s="3765" t="s">
        <v>178</v>
      </c>
      <c r="C300" s="3766"/>
      <c r="D300" s="514"/>
      <c r="E300" s="513"/>
      <c r="F300" s="515"/>
      <c r="G300" s="514"/>
      <c r="H300" s="513"/>
      <c r="I300" s="515"/>
      <c r="J300" s="514"/>
      <c r="K300" s="513"/>
      <c r="L300" s="515"/>
      <c r="M300" s="514"/>
      <c r="N300" s="513"/>
      <c r="O300" s="515"/>
      <c r="P300" s="514"/>
      <c r="Q300" s="513"/>
      <c r="R300" s="515"/>
      <c r="S300"/>
      <c r="T300"/>
      <c r="U300"/>
      <c r="V300"/>
      <c r="W300"/>
      <c r="X300"/>
      <c r="Y300"/>
      <c r="Z300"/>
      <c r="AA300"/>
      <c r="AB300"/>
      <c r="AC300"/>
      <c r="AD300"/>
    </row>
    <row r="301" spans="1:30" s="529" customFormat="1" ht="15.75" outlineLevel="1" thickBot="1">
      <c r="A301" s="308"/>
      <c r="B301" s="3763" t="s">
        <v>178</v>
      </c>
      <c r="C301" s="3764"/>
      <c r="D301" s="642"/>
      <c r="E301" s="465"/>
      <c r="F301" s="643"/>
      <c r="G301" s="642"/>
      <c r="H301" s="465"/>
      <c r="I301" s="643"/>
      <c r="J301" s="642"/>
      <c r="K301" s="465"/>
      <c r="L301" s="643"/>
      <c r="M301" s="642"/>
      <c r="N301" s="465"/>
      <c r="O301" s="643"/>
      <c r="P301" s="642"/>
      <c r="Q301" s="465"/>
      <c r="R301" s="643"/>
      <c r="S301"/>
      <c r="T301"/>
      <c r="U301"/>
      <c r="V301"/>
      <c r="W301"/>
      <c r="X301"/>
      <c r="Y301"/>
      <c r="Z301"/>
      <c r="AA301"/>
      <c r="AB301"/>
      <c r="AC301"/>
      <c r="AD301"/>
    </row>
    <row r="302" spans="1:30" s="79" customFormat="1" ht="43.5" customHeight="1" thickBot="1">
      <c r="A302" s="308"/>
      <c r="B302" s="82"/>
      <c r="C302" s="230"/>
      <c r="D302" s="81"/>
      <c r="E302" s="81"/>
      <c r="F302" s="81"/>
      <c r="G302" s="81"/>
      <c r="H302" s="81"/>
      <c r="I302" s="66"/>
      <c r="J302" s="66"/>
      <c r="K302" s="66"/>
      <c r="L302" s="66"/>
      <c r="M302" s="66"/>
      <c r="N302" s="66"/>
      <c r="O302" s="66"/>
      <c r="P302" s="66"/>
      <c r="Q302" s="66"/>
      <c r="R302" s="66"/>
      <c r="S302"/>
      <c r="T302"/>
      <c r="U302"/>
      <c r="V302"/>
      <c r="W302"/>
      <c r="X302"/>
      <c r="Y302"/>
      <c r="Z302"/>
      <c r="AA302"/>
      <c r="AB302"/>
      <c r="AC302"/>
      <c r="AD302"/>
    </row>
    <row r="303" spans="1:30" s="229" customFormat="1" ht="24.75" customHeight="1" thickBot="1">
      <c r="A303" s="308"/>
      <c r="B303" s="1576" t="s">
        <v>522</v>
      </c>
      <c r="C303" s="1577"/>
      <c r="D303" s="1577"/>
      <c r="E303" s="1577"/>
      <c r="F303" s="1577"/>
      <c r="G303" s="1577"/>
      <c r="H303" s="1577"/>
      <c r="I303" s="1577"/>
      <c r="J303" s="1577"/>
      <c r="K303" s="1577"/>
      <c r="L303" s="1577"/>
      <c r="M303" s="1577"/>
      <c r="N303" s="1577"/>
      <c r="O303" s="1577"/>
      <c r="P303" s="1577"/>
      <c r="Q303" s="1577"/>
      <c r="R303" s="1578"/>
      <c r="S303" s="1427"/>
      <c r="T303" s="1427"/>
      <c r="U303" s="1427"/>
      <c r="V303"/>
      <c r="W303"/>
      <c r="X303"/>
      <c r="Y303"/>
      <c r="Z303"/>
      <c r="AA303"/>
      <c r="AB303"/>
      <c r="AC303"/>
      <c r="AD303"/>
    </row>
    <row r="304" spans="1:30" s="529" customFormat="1" ht="20.25" customHeight="1" thickBot="1">
      <c r="A304" s="308"/>
      <c r="B304" s="858" t="s">
        <v>523</v>
      </c>
      <c r="C304" s="859"/>
      <c r="D304" s="1764"/>
      <c r="E304" s="1764"/>
      <c r="F304" s="1764"/>
      <c r="G304" s="1764"/>
      <c r="H304" s="1764"/>
      <c r="I304" s="1764"/>
      <c r="J304" s="1764"/>
      <c r="K304" s="1764"/>
      <c r="L304" s="1764"/>
      <c r="M304" s="1764"/>
      <c r="N304" s="1764"/>
      <c r="O304" s="1764"/>
      <c r="P304" s="1764"/>
      <c r="Q304" s="1764"/>
      <c r="R304" s="1765"/>
      <c r="S304" s="1427"/>
      <c r="T304" s="1427"/>
      <c r="U304" s="1427"/>
      <c r="V304"/>
      <c r="W304"/>
      <c r="X304"/>
      <c r="Y304"/>
      <c r="Z304"/>
      <c r="AA304"/>
      <c r="AB304"/>
      <c r="AC304"/>
      <c r="AD304"/>
    </row>
    <row r="305" spans="1:30" s="529" customFormat="1" ht="22.5" customHeight="1" thickBot="1">
      <c r="B305" s="3795"/>
      <c r="C305" s="3796"/>
      <c r="D305" s="3717">
        <f>CRCP_y1</f>
        <v>2013</v>
      </c>
      <c r="E305" s="3718"/>
      <c r="F305" s="3719"/>
      <c r="G305" s="3709">
        <f>CRCP_y2</f>
        <v>2014</v>
      </c>
      <c r="H305" s="3709"/>
      <c r="I305" s="3710"/>
      <c r="J305" s="3714">
        <f>CRCP_y3</f>
        <v>2015</v>
      </c>
      <c r="K305" s="3715"/>
      <c r="L305" s="3716"/>
      <c r="M305" s="3708">
        <f>CRCP_y4</f>
        <v>2016</v>
      </c>
      <c r="N305" s="3709"/>
      <c r="O305" s="3710"/>
      <c r="P305" s="3711">
        <f>CRCP_y5</f>
        <v>2017</v>
      </c>
      <c r="Q305" s="3712"/>
      <c r="R305" s="3713"/>
      <c r="S305"/>
      <c r="T305"/>
      <c r="U305"/>
      <c r="V305"/>
      <c r="W305"/>
      <c r="X305"/>
      <c r="Y305"/>
      <c r="Z305"/>
      <c r="AA305"/>
      <c r="AB305"/>
      <c r="AC305"/>
      <c r="AD305"/>
    </row>
    <row r="306" spans="1:30" s="529" customFormat="1" ht="73.5" customHeight="1">
      <c r="B306" s="3797"/>
      <c r="C306" s="3798"/>
      <c r="D306" s="1598" t="s">
        <v>182</v>
      </c>
      <c r="E306" s="1599" t="s">
        <v>180</v>
      </c>
      <c r="F306" s="1600" t="s">
        <v>214</v>
      </c>
      <c r="G306" s="1590" t="s">
        <v>182</v>
      </c>
      <c r="H306" s="1566" t="s">
        <v>180</v>
      </c>
      <c r="I306" s="1591" t="s">
        <v>214</v>
      </c>
      <c r="J306" s="1593" t="s">
        <v>182</v>
      </c>
      <c r="K306" s="1594" t="s">
        <v>180</v>
      </c>
      <c r="L306" s="1595" t="s">
        <v>214</v>
      </c>
      <c r="M306" s="1590" t="s">
        <v>182</v>
      </c>
      <c r="N306" s="1566" t="s">
        <v>180</v>
      </c>
      <c r="O306" s="1591" t="s">
        <v>214</v>
      </c>
      <c r="P306" s="1596" t="s">
        <v>182</v>
      </c>
      <c r="Q306" s="1594" t="s">
        <v>180</v>
      </c>
      <c r="R306" s="1597" t="s">
        <v>214</v>
      </c>
      <c r="S306"/>
      <c r="T306"/>
      <c r="U306"/>
      <c r="V306"/>
      <c r="W306"/>
      <c r="X306"/>
      <c r="Y306"/>
      <c r="Z306"/>
      <c r="AA306"/>
      <c r="AB306"/>
      <c r="AC306"/>
      <c r="AD306"/>
    </row>
    <row r="307" spans="1:30" s="529" customFormat="1" ht="24" customHeight="1" thickBot="1">
      <c r="B307" s="3797"/>
      <c r="C307" s="3798"/>
      <c r="D307" s="1585" t="s">
        <v>418</v>
      </c>
      <c r="E307" s="641" t="s">
        <v>366</v>
      </c>
      <c r="F307" s="1587"/>
      <c r="G307" s="1589" t="s">
        <v>418</v>
      </c>
      <c r="H307" s="1567" t="s">
        <v>366</v>
      </c>
      <c r="I307" s="1592"/>
      <c r="J307" s="1588" t="s">
        <v>418</v>
      </c>
      <c r="K307" s="641" t="s">
        <v>366</v>
      </c>
      <c r="L307" s="1587"/>
      <c r="M307" s="1589" t="s">
        <v>418</v>
      </c>
      <c r="N307" s="1567" t="s">
        <v>366</v>
      </c>
      <c r="O307" s="1592"/>
      <c r="P307" s="1585" t="s">
        <v>418</v>
      </c>
      <c r="Q307" s="641" t="s">
        <v>366</v>
      </c>
      <c r="R307" s="1586"/>
      <c r="S307"/>
      <c r="T307"/>
      <c r="U307"/>
      <c r="V307"/>
      <c r="W307"/>
      <c r="X307"/>
      <c r="Y307"/>
      <c r="Z307"/>
      <c r="AA307"/>
      <c r="AB307"/>
      <c r="AC307"/>
      <c r="AD307"/>
    </row>
    <row r="308" spans="1:30" s="529" customFormat="1" ht="15" outlineLevel="1">
      <c r="A308" s="308"/>
      <c r="B308" s="3799" t="s">
        <v>178</v>
      </c>
      <c r="C308" s="3800"/>
      <c r="D308" s="1791"/>
      <c r="E308" s="463"/>
      <c r="F308" s="562"/>
      <c r="G308" s="462"/>
      <c r="H308" s="463"/>
      <c r="I308" s="562"/>
      <c r="J308" s="462"/>
      <c r="K308" s="463"/>
      <c r="L308" s="562"/>
      <c r="M308" s="462"/>
      <c r="N308" s="463"/>
      <c r="O308" s="562"/>
      <c r="P308" s="462"/>
      <c r="Q308" s="463"/>
      <c r="R308" s="562"/>
      <c r="S308"/>
      <c r="T308"/>
      <c r="U308"/>
      <c r="V308"/>
      <c r="W308"/>
      <c r="X308"/>
      <c r="Y308"/>
      <c r="Z308"/>
      <c r="AA308"/>
      <c r="AB308"/>
      <c r="AC308"/>
      <c r="AD308"/>
    </row>
    <row r="309" spans="1:30" s="529" customFormat="1" ht="15" outlineLevel="1">
      <c r="A309" s="308"/>
      <c r="B309" s="3706" t="s">
        <v>178</v>
      </c>
      <c r="C309" s="3707"/>
      <c r="D309" s="467"/>
      <c r="E309" s="513"/>
      <c r="F309" s="515"/>
      <c r="G309" s="514"/>
      <c r="H309" s="513"/>
      <c r="I309" s="515"/>
      <c r="J309" s="514"/>
      <c r="K309" s="513"/>
      <c r="L309" s="515"/>
      <c r="M309" s="514"/>
      <c r="N309" s="513"/>
      <c r="O309" s="515"/>
      <c r="P309" s="514"/>
      <c r="Q309" s="513"/>
      <c r="R309" s="515"/>
      <c r="S309"/>
      <c r="T309"/>
      <c r="U309"/>
      <c r="V309"/>
      <c r="W309"/>
      <c r="X309"/>
      <c r="Y309"/>
      <c r="Z309"/>
      <c r="AA309"/>
      <c r="AB309"/>
      <c r="AC309"/>
      <c r="AD309"/>
    </row>
    <row r="310" spans="1:30" s="529" customFormat="1" ht="15" outlineLevel="1">
      <c r="A310" s="308"/>
      <c r="B310" s="3706" t="s">
        <v>178</v>
      </c>
      <c r="C310" s="3707"/>
      <c r="D310" s="467"/>
      <c r="E310" s="513"/>
      <c r="F310" s="515"/>
      <c r="G310" s="514"/>
      <c r="H310" s="513"/>
      <c r="I310" s="515"/>
      <c r="J310" s="514"/>
      <c r="K310" s="513"/>
      <c r="L310" s="515"/>
      <c r="M310" s="514"/>
      <c r="N310" s="513"/>
      <c r="O310" s="515"/>
      <c r="P310" s="514"/>
      <c r="Q310" s="513"/>
      <c r="R310" s="515"/>
      <c r="S310"/>
      <c r="T310"/>
      <c r="U310"/>
      <c r="V310"/>
      <c r="W310"/>
      <c r="X310"/>
      <c r="Y310"/>
      <c r="Z310"/>
      <c r="AA310"/>
      <c r="AB310"/>
      <c r="AC310"/>
      <c r="AD310"/>
    </row>
    <row r="311" spans="1:30" s="529" customFormat="1" ht="15" outlineLevel="1">
      <c r="A311" s="308"/>
      <c r="B311" s="3706" t="s">
        <v>178</v>
      </c>
      <c r="C311" s="3707"/>
      <c r="D311" s="467"/>
      <c r="E311" s="513"/>
      <c r="F311" s="515"/>
      <c r="G311" s="514"/>
      <c r="H311" s="513"/>
      <c r="I311" s="515"/>
      <c r="J311" s="514"/>
      <c r="K311" s="513"/>
      <c r="L311" s="515"/>
      <c r="M311" s="514"/>
      <c r="N311" s="513"/>
      <c r="O311" s="515"/>
      <c r="P311" s="514"/>
      <c r="Q311" s="513"/>
      <c r="R311" s="515"/>
      <c r="S311"/>
      <c r="T311"/>
      <c r="U311"/>
      <c r="V311"/>
      <c r="W311"/>
      <c r="X311"/>
      <c r="Y311"/>
      <c r="Z311"/>
      <c r="AA311"/>
      <c r="AB311"/>
      <c r="AC311"/>
      <c r="AD311"/>
    </row>
    <row r="312" spans="1:30" s="529" customFormat="1" ht="15" outlineLevel="1">
      <c r="A312" s="308"/>
      <c r="B312" s="3706" t="s">
        <v>178</v>
      </c>
      <c r="C312" s="3707"/>
      <c r="D312" s="467"/>
      <c r="E312" s="513"/>
      <c r="F312" s="515"/>
      <c r="G312" s="514"/>
      <c r="H312" s="513"/>
      <c r="I312" s="515"/>
      <c r="J312" s="514"/>
      <c r="K312" s="513"/>
      <c r="L312" s="515"/>
      <c r="M312" s="514"/>
      <c r="N312" s="513"/>
      <c r="O312" s="515"/>
      <c r="P312" s="514"/>
      <c r="Q312" s="513"/>
      <c r="R312" s="515"/>
      <c r="S312"/>
      <c r="T312"/>
      <c r="U312"/>
      <c r="V312"/>
      <c r="W312"/>
      <c r="X312"/>
      <c r="Y312"/>
      <c r="Z312"/>
      <c r="AA312"/>
      <c r="AB312"/>
      <c r="AC312"/>
      <c r="AD312"/>
    </row>
    <row r="313" spans="1:30" s="529" customFormat="1" ht="15" outlineLevel="1">
      <c r="A313" s="308"/>
      <c r="B313" s="3706" t="s">
        <v>178</v>
      </c>
      <c r="C313" s="3707"/>
      <c r="D313" s="467"/>
      <c r="E313" s="513"/>
      <c r="F313" s="515"/>
      <c r="G313" s="514"/>
      <c r="H313" s="513"/>
      <c r="I313" s="515"/>
      <c r="J313" s="514"/>
      <c r="K313" s="513"/>
      <c r="L313" s="515"/>
      <c r="M313" s="514"/>
      <c r="N313" s="513"/>
      <c r="O313" s="515"/>
      <c r="P313" s="514"/>
      <c r="Q313" s="513"/>
      <c r="R313" s="515"/>
      <c r="S313"/>
      <c r="T313"/>
      <c r="U313"/>
      <c r="V313"/>
      <c r="W313"/>
      <c r="X313"/>
      <c r="Y313"/>
      <c r="Z313"/>
      <c r="AA313"/>
      <c r="AB313"/>
      <c r="AC313"/>
      <c r="AD313"/>
    </row>
    <row r="314" spans="1:30" s="529" customFormat="1" ht="15.75" outlineLevel="1" thickBot="1">
      <c r="A314" s="308"/>
      <c r="B314" s="3793" t="s">
        <v>178</v>
      </c>
      <c r="C314" s="3794"/>
      <c r="D314" s="1790"/>
      <c r="E314" s="465"/>
      <c r="F314" s="643"/>
      <c r="G314" s="642"/>
      <c r="H314" s="465"/>
      <c r="I314" s="643"/>
      <c r="J314" s="642"/>
      <c r="K314" s="465"/>
      <c r="L314" s="643"/>
      <c r="M314" s="642"/>
      <c r="N314" s="465"/>
      <c r="O314" s="643"/>
      <c r="P314" s="642"/>
      <c r="Q314" s="465"/>
      <c r="R314" s="643"/>
      <c r="S314"/>
      <c r="T314"/>
      <c r="U314"/>
      <c r="V314"/>
      <c r="W314"/>
      <c r="X314"/>
      <c r="Y314"/>
      <c r="Z314"/>
      <c r="AA314"/>
      <c r="AB314"/>
      <c r="AC314"/>
      <c r="AD314"/>
    </row>
    <row r="315" spans="1:30" s="529" customFormat="1" ht="20.25" customHeight="1" thickBot="1">
      <c r="A315" s="308"/>
      <c r="B315" s="858" t="s">
        <v>524</v>
      </c>
      <c r="C315" s="859"/>
      <c r="D315" s="1764"/>
      <c r="E315" s="1764"/>
      <c r="F315" s="1764"/>
      <c r="G315" s="1764"/>
      <c r="H315" s="1764"/>
      <c r="I315" s="1764"/>
      <c r="J315" s="1764"/>
      <c r="K315" s="1764"/>
      <c r="L315" s="1764"/>
      <c r="M315" s="1764"/>
      <c r="N315" s="1764"/>
      <c r="O315" s="1764"/>
      <c r="P315" s="1764"/>
      <c r="Q315" s="1764"/>
      <c r="R315" s="1765"/>
      <c r="S315" s="1427"/>
      <c r="T315" s="1427"/>
      <c r="U315" s="1427"/>
      <c r="V315"/>
      <c r="W315"/>
      <c r="X315"/>
      <c r="Y315"/>
      <c r="Z315"/>
      <c r="AA315"/>
      <c r="AB315"/>
      <c r="AC315"/>
      <c r="AD315"/>
    </row>
    <row r="316" spans="1:30" s="529" customFormat="1" ht="22.5" customHeight="1" thickBot="1">
      <c r="B316" s="3795"/>
      <c r="C316" s="3796"/>
      <c r="D316" s="3717">
        <f>CRCP_y1</f>
        <v>2013</v>
      </c>
      <c r="E316" s="3718"/>
      <c r="F316" s="3719"/>
      <c r="G316" s="3709">
        <f>CRCP_y2</f>
        <v>2014</v>
      </c>
      <c r="H316" s="3709"/>
      <c r="I316" s="3710"/>
      <c r="J316" s="3714">
        <f>CRCP_y3</f>
        <v>2015</v>
      </c>
      <c r="K316" s="3715"/>
      <c r="L316" s="3716"/>
      <c r="M316" s="3708">
        <f>CRCP_y4</f>
        <v>2016</v>
      </c>
      <c r="N316" s="3709"/>
      <c r="O316" s="3710"/>
      <c r="P316" s="3711">
        <f>CRCP_y5</f>
        <v>2017</v>
      </c>
      <c r="Q316" s="3712"/>
      <c r="R316" s="3713"/>
      <c r="S316"/>
      <c r="T316"/>
      <c r="U316"/>
      <c r="V316"/>
      <c r="W316"/>
      <c r="X316"/>
      <c r="Y316"/>
      <c r="Z316"/>
      <c r="AA316"/>
      <c r="AB316"/>
      <c r="AC316"/>
      <c r="AD316"/>
    </row>
    <row r="317" spans="1:30" s="529" customFormat="1" ht="73.5" customHeight="1">
      <c r="B317" s="3797"/>
      <c r="C317" s="3798"/>
      <c r="D317" s="1598" t="s">
        <v>182</v>
      </c>
      <c r="E317" s="1599" t="s">
        <v>180</v>
      </c>
      <c r="F317" s="1600" t="s">
        <v>214</v>
      </c>
      <c r="G317" s="1590" t="s">
        <v>182</v>
      </c>
      <c r="H317" s="1566" t="s">
        <v>180</v>
      </c>
      <c r="I317" s="1591" t="s">
        <v>214</v>
      </c>
      <c r="J317" s="1593" t="s">
        <v>182</v>
      </c>
      <c r="K317" s="1594" t="s">
        <v>180</v>
      </c>
      <c r="L317" s="1595" t="s">
        <v>214</v>
      </c>
      <c r="M317" s="1590" t="s">
        <v>182</v>
      </c>
      <c r="N317" s="1566" t="s">
        <v>180</v>
      </c>
      <c r="O317" s="1591" t="s">
        <v>214</v>
      </c>
      <c r="P317" s="1596" t="s">
        <v>182</v>
      </c>
      <c r="Q317" s="1594" t="s">
        <v>180</v>
      </c>
      <c r="R317" s="1597" t="s">
        <v>214</v>
      </c>
      <c r="S317"/>
      <c r="T317"/>
      <c r="U317"/>
      <c r="V317"/>
      <c r="W317"/>
      <c r="X317"/>
      <c r="Y317"/>
      <c r="Z317"/>
      <c r="AA317"/>
      <c r="AB317"/>
      <c r="AC317"/>
      <c r="AD317"/>
    </row>
    <row r="318" spans="1:30" s="529" customFormat="1" ht="13.5" thickBot="1">
      <c r="B318" s="3797"/>
      <c r="C318" s="3798"/>
      <c r="D318" s="1585" t="s">
        <v>418</v>
      </c>
      <c r="E318" s="641" t="s">
        <v>366</v>
      </c>
      <c r="F318" s="1587"/>
      <c r="G318" s="1589" t="s">
        <v>418</v>
      </c>
      <c r="H318" s="1567" t="s">
        <v>366</v>
      </c>
      <c r="I318" s="1592"/>
      <c r="J318" s="1588" t="s">
        <v>418</v>
      </c>
      <c r="K318" s="641" t="s">
        <v>366</v>
      </c>
      <c r="L318" s="1587"/>
      <c r="M318" s="1589" t="s">
        <v>418</v>
      </c>
      <c r="N318" s="1567" t="s">
        <v>366</v>
      </c>
      <c r="O318" s="1592"/>
      <c r="P318" s="1585" t="s">
        <v>418</v>
      </c>
      <c r="Q318" s="641" t="s">
        <v>366</v>
      </c>
      <c r="R318" s="1586"/>
      <c r="S318"/>
      <c r="T318"/>
      <c r="U318"/>
      <c r="V318"/>
      <c r="W318"/>
      <c r="X318"/>
      <c r="Y318"/>
      <c r="Z318"/>
      <c r="AA318"/>
      <c r="AB318"/>
      <c r="AC318"/>
      <c r="AD318"/>
    </row>
    <row r="319" spans="1:30" s="529" customFormat="1" ht="15" outlineLevel="1">
      <c r="A319" s="308"/>
      <c r="B319" s="3799" t="s">
        <v>178</v>
      </c>
      <c r="C319" s="3800"/>
      <c r="D319" s="462"/>
      <c r="E319" s="463"/>
      <c r="F319" s="562"/>
      <c r="G319" s="462"/>
      <c r="H319" s="463"/>
      <c r="I319" s="562"/>
      <c r="J319" s="462"/>
      <c r="K319" s="463"/>
      <c r="L319" s="562"/>
      <c r="M319" s="462"/>
      <c r="N319" s="463"/>
      <c r="O319" s="562"/>
      <c r="P319" s="462"/>
      <c r="Q319" s="463"/>
      <c r="R319" s="562"/>
      <c r="S319"/>
      <c r="T319"/>
      <c r="U319"/>
      <c r="V319"/>
      <c r="W319"/>
      <c r="X319"/>
      <c r="Y319"/>
      <c r="Z319"/>
      <c r="AA319"/>
      <c r="AB319"/>
      <c r="AC319"/>
      <c r="AD319"/>
    </row>
    <row r="320" spans="1:30" s="529" customFormat="1" ht="15" outlineLevel="1">
      <c r="A320" s="308"/>
      <c r="B320" s="3706" t="s">
        <v>178</v>
      </c>
      <c r="C320" s="3707"/>
      <c r="D320" s="514"/>
      <c r="E320" s="513"/>
      <c r="F320" s="515"/>
      <c r="G320" s="514"/>
      <c r="H320" s="513"/>
      <c r="I320" s="515"/>
      <c r="J320" s="514"/>
      <c r="K320" s="513"/>
      <c r="L320" s="515"/>
      <c r="M320" s="514"/>
      <c r="N320" s="513"/>
      <c r="O320" s="515"/>
      <c r="P320" s="514"/>
      <c r="Q320" s="513"/>
      <c r="R320" s="515"/>
      <c r="S320"/>
      <c r="T320"/>
      <c r="U320"/>
      <c r="V320"/>
      <c r="W320"/>
      <c r="X320"/>
      <c r="Y320"/>
      <c r="Z320"/>
      <c r="AA320"/>
      <c r="AB320"/>
      <c r="AC320"/>
      <c r="AD320"/>
    </row>
    <row r="321" spans="1:30" s="529" customFormat="1" ht="15" outlineLevel="1">
      <c r="A321" s="308"/>
      <c r="B321" s="3706" t="s">
        <v>178</v>
      </c>
      <c r="C321" s="3707"/>
      <c r="D321" s="514"/>
      <c r="E321" s="513"/>
      <c r="F321" s="515"/>
      <c r="G321" s="514"/>
      <c r="H321" s="513"/>
      <c r="I321" s="515"/>
      <c r="J321" s="514"/>
      <c r="K321" s="513"/>
      <c r="L321" s="515"/>
      <c r="M321" s="514"/>
      <c r="N321" s="513"/>
      <c r="O321" s="515"/>
      <c r="P321" s="514"/>
      <c r="Q321" s="513"/>
      <c r="R321" s="515"/>
      <c r="S321"/>
      <c r="T321"/>
      <c r="U321"/>
      <c r="V321"/>
      <c r="W321"/>
      <c r="X321"/>
      <c r="Y321"/>
      <c r="Z321"/>
      <c r="AA321"/>
      <c r="AB321"/>
      <c r="AC321"/>
      <c r="AD321"/>
    </row>
    <row r="322" spans="1:30" s="529" customFormat="1" ht="15" outlineLevel="1">
      <c r="A322" s="308"/>
      <c r="B322" s="3706" t="s">
        <v>178</v>
      </c>
      <c r="C322" s="3707"/>
      <c r="D322" s="514"/>
      <c r="E322" s="513"/>
      <c r="F322" s="515"/>
      <c r="G322" s="514"/>
      <c r="H322" s="513"/>
      <c r="I322" s="515"/>
      <c r="J322" s="514"/>
      <c r="K322" s="513"/>
      <c r="L322" s="515"/>
      <c r="M322" s="514"/>
      <c r="N322" s="513"/>
      <c r="O322" s="515"/>
      <c r="P322" s="514"/>
      <c r="Q322" s="513"/>
      <c r="R322" s="515"/>
      <c r="S322"/>
      <c r="T322"/>
      <c r="U322"/>
      <c r="V322"/>
      <c r="W322"/>
      <c r="X322"/>
      <c r="Y322"/>
      <c r="Z322"/>
      <c r="AA322"/>
      <c r="AB322"/>
      <c r="AC322"/>
      <c r="AD322"/>
    </row>
    <row r="323" spans="1:30" s="529" customFormat="1" ht="15" outlineLevel="1">
      <c r="A323" s="308"/>
      <c r="B323" s="3706" t="s">
        <v>178</v>
      </c>
      <c r="C323" s="3707"/>
      <c r="D323" s="514"/>
      <c r="E323" s="513"/>
      <c r="F323" s="515"/>
      <c r="G323" s="514"/>
      <c r="H323" s="513"/>
      <c r="I323" s="515"/>
      <c r="J323" s="514"/>
      <c r="K323" s="513"/>
      <c r="L323" s="515"/>
      <c r="M323" s="514"/>
      <c r="N323" s="513"/>
      <c r="O323" s="515"/>
      <c r="P323" s="514"/>
      <c r="Q323" s="513"/>
      <c r="R323" s="515"/>
      <c r="S323"/>
      <c r="T323"/>
      <c r="U323"/>
      <c r="V323"/>
      <c r="W323"/>
      <c r="X323"/>
      <c r="Y323"/>
      <c r="Z323"/>
      <c r="AA323"/>
      <c r="AB323"/>
      <c r="AC323"/>
      <c r="AD323"/>
    </row>
    <row r="324" spans="1:30" s="529" customFormat="1" ht="15" outlineLevel="1">
      <c r="A324" s="308"/>
      <c r="B324" s="3706" t="s">
        <v>178</v>
      </c>
      <c r="C324" s="3707"/>
      <c r="D324" s="514"/>
      <c r="E324" s="513"/>
      <c r="F324" s="515"/>
      <c r="G324" s="514"/>
      <c r="H324" s="513"/>
      <c r="I324" s="515"/>
      <c r="J324" s="514"/>
      <c r="K324" s="513"/>
      <c r="L324" s="515"/>
      <c r="M324" s="514"/>
      <c r="N324" s="513"/>
      <c r="O324" s="515"/>
      <c r="P324" s="514"/>
      <c r="Q324" s="513"/>
      <c r="R324" s="515"/>
      <c r="S324"/>
      <c r="T324"/>
      <c r="U324"/>
      <c r="V324"/>
      <c r="W324"/>
      <c r="X324"/>
      <c r="Y324"/>
      <c r="Z324"/>
      <c r="AA324"/>
      <c r="AB324"/>
      <c r="AC324"/>
      <c r="AD324"/>
    </row>
    <row r="325" spans="1:30" s="529" customFormat="1" ht="15.75" outlineLevel="1" thickBot="1">
      <c r="A325" s="308"/>
      <c r="B325" s="3793" t="s">
        <v>178</v>
      </c>
      <c r="C325" s="3794"/>
      <c r="D325" s="642"/>
      <c r="E325" s="465"/>
      <c r="F325" s="643"/>
      <c r="G325" s="642"/>
      <c r="H325" s="465"/>
      <c r="I325" s="643"/>
      <c r="J325" s="642"/>
      <c r="K325" s="465"/>
      <c r="L325" s="643"/>
      <c r="M325" s="642"/>
      <c r="N325" s="465"/>
      <c r="O325" s="643"/>
      <c r="P325" s="642"/>
      <c r="Q325" s="465"/>
      <c r="R325" s="643"/>
      <c r="S325"/>
      <c r="T325"/>
      <c r="U325"/>
      <c r="V325"/>
      <c r="W325"/>
      <c r="X325"/>
      <c r="Y325"/>
      <c r="Z325"/>
      <c r="AA325"/>
      <c r="AB325"/>
      <c r="AC325"/>
      <c r="AD325"/>
    </row>
    <row r="326" spans="1:30">
      <c r="A326" s="308"/>
      <c r="B326" s="308"/>
      <c r="C326" s="308"/>
      <c r="D326" s="308"/>
      <c r="E326" s="308"/>
      <c r="F326" s="308"/>
      <c r="G326" s="308"/>
      <c r="H326" s="308"/>
      <c r="I326" s="308"/>
      <c r="J326" s="308"/>
      <c r="K326" s="308"/>
      <c r="L326" s="308"/>
      <c r="M326" s="308"/>
      <c r="N326" s="308"/>
      <c r="O326" s="308"/>
      <c r="P326" s="308"/>
      <c r="Q326" s="308"/>
      <c r="R326" s="308"/>
      <c r="V326"/>
      <c r="W326"/>
      <c r="X326"/>
      <c r="Y326"/>
      <c r="Z326"/>
      <c r="AA326"/>
      <c r="AB326"/>
      <c r="AC326"/>
      <c r="AD326"/>
    </row>
    <row r="327" spans="1:30">
      <c r="A327" s="308"/>
      <c r="B327" s="308"/>
      <c r="C327" s="308"/>
      <c r="D327" s="308"/>
      <c r="E327" s="308"/>
      <c r="F327" s="308"/>
      <c r="G327" s="308"/>
      <c r="H327" s="308"/>
      <c r="I327" s="308"/>
      <c r="J327" s="308"/>
      <c r="K327" s="308"/>
      <c r="L327" s="308"/>
      <c r="M327" s="308"/>
      <c r="N327" s="308"/>
      <c r="O327" s="308"/>
      <c r="P327" s="308"/>
      <c r="Q327" s="308"/>
      <c r="R327" s="308"/>
      <c r="V327"/>
      <c r="W327"/>
      <c r="X327"/>
      <c r="Y327"/>
      <c r="Z327"/>
      <c r="AA327"/>
      <c r="AB327"/>
      <c r="AC327"/>
      <c r="AD327"/>
    </row>
    <row r="328" spans="1:30">
      <c r="A328" s="308"/>
      <c r="B328" s="308"/>
      <c r="C328" s="308"/>
      <c r="D328" s="308"/>
      <c r="E328" s="308"/>
      <c r="F328" s="308"/>
      <c r="G328" s="308"/>
      <c r="H328" s="308"/>
      <c r="I328" s="308"/>
      <c r="J328" s="308"/>
      <c r="K328" s="308"/>
      <c r="L328" s="308"/>
      <c r="M328" s="308"/>
      <c r="N328" s="308"/>
      <c r="O328" s="308"/>
      <c r="P328" s="308"/>
      <c r="Q328" s="308"/>
      <c r="R328" s="308"/>
      <c r="V328" s="308"/>
      <c r="W328" s="308"/>
      <c r="X328" s="308"/>
      <c r="Y328" s="308"/>
      <c r="Z328" s="308"/>
      <c r="AA328" s="308"/>
      <c r="AB328" s="308"/>
      <c r="AC328" s="308"/>
    </row>
    <row r="329" spans="1:30">
      <c r="B329" s="78"/>
      <c r="C329" s="529"/>
    </row>
    <row r="330" spans="1:30">
      <c r="B330" s="78"/>
      <c r="C330" s="529"/>
    </row>
    <row r="331" spans="1:30">
      <c r="B331" s="78"/>
      <c r="C331" s="529"/>
    </row>
    <row r="332" spans="1:30">
      <c r="B332" s="78"/>
      <c r="C332" s="529"/>
    </row>
    <row r="333" spans="1:30">
      <c r="B333" s="78"/>
      <c r="C333" s="529"/>
    </row>
    <row r="334" spans="1:30">
      <c r="B334" s="78"/>
      <c r="C334" s="529"/>
    </row>
    <row r="335" spans="1:30">
      <c r="B335" s="78"/>
      <c r="C335" s="529"/>
    </row>
    <row r="336" spans="1:30">
      <c r="B336" s="78"/>
      <c r="C336" s="529"/>
    </row>
    <row r="337" spans="2:3">
      <c r="B337" s="78"/>
      <c r="C337" s="529"/>
    </row>
    <row r="338" spans="2:3">
      <c r="B338" s="78"/>
      <c r="C338" s="529"/>
    </row>
    <row r="339" spans="2:3">
      <c r="B339" s="78"/>
      <c r="C339" s="529"/>
    </row>
  </sheetData>
  <mergeCells count="206">
    <mergeCell ref="B42:C42"/>
    <mergeCell ref="B305:C307"/>
    <mergeCell ref="B308:C308"/>
    <mergeCell ref="B309:C309"/>
    <mergeCell ref="B167:C170"/>
    <mergeCell ref="B172:B179"/>
    <mergeCell ref="B180:B187"/>
    <mergeCell ref="B188:B195"/>
    <mergeCell ref="B199:B209"/>
    <mergeCell ref="B210:B220"/>
    <mergeCell ref="B221:B231"/>
    <mergeCell ref="B196:C196"/>
    <mergeCell ref="B197:C197"/>
    <mergeCell ref="B146:B154"/>
    <mergeCell ref="B99:C99"/>
    <mergeCell ref="B100:C100"/>
    <mergeCell ref="B102:C102"/>
    <mergeCell ref="B103:C103"/>
    <mergeCell ref="B235:C235"/>
    <mergeCell ref="B234:C234"/>
    <mergeCell ref="B233:C233"/>
    <mergeCell ref="B232:C232"/>
    <mergeCell ref="B109:C109"/>
    <mergeCell ref="B110:C110"/>
    <mergeCell ref="B322:C322"/>
    <mergeCell ref="B323:C323"/>
    <mergeCell ref="B324:C324"/>
    <mergeCell ref="B325:C325"/>
    <mergeCell ref="B314:C314"/>
    <mergeCell ref="B316:C318"/>
    <mergeCell ref="B319:C319"/>
    <mergeCell ref="B320:C320"/>
    <mergeCell ref="B321:C321"/>
    <mergeCell ref="B111:C111"/>
    <mergeCell ref="B128:B136"/>
    <mergeCell ref="B137:B145"/>
    <mergeCell ref="B164:C164"/>
    <mergeCell ref="B155:B163"/>
    <mergeCell ref="B47:C50"/>
    <mergeCell ref="B51:C51"/>
    <mergeCell ref="B60:C60"/>
    <mergeCell ref="B59:C59"/>
    <mergeCell ref="B58:C58"/>
    <mergeCell ref="B57:C57"/>
    <mergeCell ref="B56:C56"/>
    <mergeCell ref="B55:C55"/>
    <mergeCell ref="B54:C54"/>
    <mergeCell ref="B53:C53"/>
    <mergeCell ref="B52:C52"/>
    <mergeCell ref="B92:C92"/>
    <mergeCell ref="B104:C104"/>
    <mergeCell ref="B105:C105"/>
    <mergeCell ref="B106:C106"/>
    <mergeCell ref="B107:C107"/>
    <mergeCell ref="B108:C108"/>
    <mergeCell ref="B95:C95"/>
    <mergeCell ref="B96:C96"/>
    <mergeCell ref="B277:C281"/>
    <mergeCell ref="B274:C274"/>
    <mergeCell ref="B43:C43"/>
    <mergeCell ref="B61:C61"/>
    <mergeCell ref="B112:C112"/>
    <mergeCell ref="B7:F7"/>
    <mergeCell ref="B8:F8"/>
    <mergeCell ref="B20:C23"/>
    <mergeCell ref="B9:F9"/>
    <mergeCell ref="B10:F10"/>
    <mergeCell ref="B11:F11"/>
    <mergeCell ref="B12:F12"/>
    <mergeCell ref="B13:F13"/>
    <mergeCell ref="B14:F14"/>
    <mergeCell ref="B15:F15"/>
    <mergeCell ref="B24:B26"/>
    <mergeCell ref="B27:B29"/>
    <mergeCell ref="B30:B32"/>
    <mergeCell ref="B33:B35"/>
    <mergeCell ref="B36:B38"/>
    <mergeCell ref="B39:B41"/>
    <mergeCell ref="B76:C76"/>
    <mergeCell ref="B75:C75"/>
    <mergeCell ref="B74:C74"/>
    <mergeCell ref="B64:C67"/>
    <mergeCell ref="B78:C78"/>
    <mergeCell ref="B77:C77"/>
    <mergeCell ref="B93:C93"/>
    <mergeCell ref="B94:C94"/>
    <mergeCell ref="B292:C294"/>
    <mergeCell ref="B301:C301"/>
    <mergeCell ref="B300:C300"/>
    <mergeCell ref="B299:C299"/>
    <mergeCell ref="B298:C298"/>
    <mergeCell ref="B297:C297"/>
    <mergeCell ref="B296:C296"/>
    <mergeCell ref="B295:C295"/>
    <mergeCell ref="B243:B252"/>
    <mergeCell ref="B253:B262"/>
    <mergeCell ref="B263:B272"/>
    <mergeCell ref="B273:C273"/>
    <mergeCell ref="B288:C288"/>
    <mergeCell ref="B287:C287"/>
    <mergeCell ref="B286:C286"/>
    <mergeCell ref="B285:C285"/>
    <mergeCell ref="B284:C284"/>
    <mergeCell ref="B283:C283"/>
    <mergeCell ref="B282:C282"/>
    <mergeCell ref="B97:C97"/>
    <mergeCell ref="B71:C71"/>
    <mergeCell ref="B70:C70"/>
    <mergeCell ref="B69:C69"/>
    <mergeCell ref="B80:C80"/>
    <mergeCell ref="B81:C81"/>
    <mergeCell ref="B98:C98"/>
    <mergeCell ref="B82:C82"/>
    <mergeCell ref="B83:C83"/>
    <mergeCell ref="B84:C84"/>
    <mergeCell ref="B85:C85"/>
    <mergeCell ref="B86:C86"/>
    <mergeCell ref="B87:C87"/>
    <mergeCell ref="B88:C88"/>
    <mergeCell ref="B89:C89"/>
    <mergeCell ref="B91:C91"/>
    <mergeCell ref="B73:C73"/>
    <mergeCell ref="B72:C72"/>
    <mergeCell ref="I239:M239"/>
    <mergeCell ref="N239:R239"/>
    <mergeCell ref="I167:M167"/>
    <mergeCell ref="N167:R167"/>
    <mergeCell ref="D117:M117"/>
    <mergeCell ref="L168:R168"/>
    <mergeCell ref="D169:K169"/>
    <mergeCell ref="L169:R169"/>
    <mergeCell ref="B239:B242"/>
    <mergeCell ref="D239:H239"/>
    <mergeCell ref="D167:H167"/>
    <mergeCell ref="D240:K240"/>
    <mergeCell ref="L240:R240"/>
    <mergeCell ref="D241:K241"/>
    <mergeCell ref="L241:R241"/>
    <mergeCell ref="B119:B127"/>
    <mergeCell ref="B115:C118"/>
    <mergeCell ref="C239:C242"/>
    <mergeCell ref="B236:C236"/>
    <mergeCell ref="D20:H20"/>
    <mergeCell ref="D47:H47"/>
    <mergeCell ref="D168:K168"/>
    <mergeCell ref="N20:R20"/>
    <mergeCell ref="I20:M20"/>
    <mergeCell ref="D64:H64"/>
    <mergeCell ref="I47:M47"/>
    <mergeCell ref="N47:R47"/>
    <mergeCell ref="I64:M64"/>
    <mergeCell ref="N64:R64"/>
    <mergeCell ref="L22:R22"/>
    <mergeCell ref="D22:K22"/>
    <mergeCell ref="D49:K49"/>
    <mergeCell ref="L49:R49"/>
    <mergeCell ref="I115:M115"/>
    <mergeCell ref="D116:M116"/>
    <mergeCell ref="D48:K48"/>
    <mergeCell ref="L48:R48"/>
    <mergeCell ref="D115:H115"/>
    <mergeCell ref="D21:R21"/>
    <mergeCell ref="D65:K65"/>
    <mergeCell ref="L65:R65"/>
    <mergeCell ref="D66:K66"/>
    <mergeCell ref="L66:R66"/>
    <mergeCell ref="J292:L292"/>
    <mergeCell ref="M292:O292"/>
    <mergeCell ref="P292:R292"/>
    <mergeCell ref="H277:H280"/>
    <mergeCell ref="D292:F292"/>
    <mergeCell ref="G292:I292"/>
    <mergeCell ref="D277:D280"/>
    <mergeCell ref="E277:E280"/>
    <mergeCell ref="F277:F280"/>
    <mergeCell ref="G277:G280"/>
    <mergeCell ref="B310:C310"/>
    <mergeCell ref="B311:C311"/>
    <mergeCell ref="B312:C312"/>
    <mergeCell ref="B313:C313"/>
    <mergeCell ref="M316:O316"/>
    <mergeCell ref="P316:R316"/>
    <mergeCell ref="J305:L305"/>
    <mergeCell ref="D316:F316"/>
    <mergeCell ref="G316:I316"/>
    <mergeCell ref="J316:L316"/>
    <mergeCell ref="D305:F305"/>
    <mergeCell ref="G305:I305"/>
    <mergeCell ref="M305:O305"/>
    <mergeCell ref="P305:R305"/>
    <mergeCell ref="V240:AC240"/>
    <mergeCell ref="V241:AC241"/>
    <mergeCell ref="V65:AC65"/>
    <mergeCell ref="V66:AC66"/>
    <mergeCell ref="V167:Z167"/>
    <mergeCell ref="AA167:AC167"/>
    <mergeCell ref="V168:AC168"/>
    <mergeCell ref="V47:Z47"/>
    <mergeCell ref="AA47:AC47"/>
    <mergeCell ref="V48:AC48"/>
    <mergeCell ref="V49:AC49"/>
    <mergeCell ref="V64:Z64"/>
    <mergeCell ref="AA64:AC64"/>
    <mergeCell ref="V169:AC169"/>
    <mergeCell ref="V239:Z239"/>
    <mergeCell ref="AA239:AC239"/>
  </mergeCells>
  <pageMargins left="0.75" right="0.75" top="1" bottom="1" header="0.5" footer="0.5"/>
  <pageSetup paperSize="9" orientation="portrait" r:id="rId1"/>
  <headerFooter alignWithMargins="0"/>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pageSetUpPr autoPageBreaks="0"/>
  </sheetPr>
  <dimension ref="A1:AH102"/>
  <sheetViews>
    <sheetView showGridLines="0" topLeftCell="D1" zoomScaleNormal="100" workbookViewId="0"/>
  </sheetViews>
  <sheetFormatPr defaultColWidth="9.140625" defaultRowHeight="12.75"/>
  <cols>
    <col min="1" max="1" width="12" style="529" hidden="1" customWidth="1"/>
    <col min="2" max="3" width="14.42578125" style="78" hidden="1" customWidth="1"/>
    <col min="4" max="4" width="14.42578125" style="78" customWidth="1"/>
    <col min="5" max="5" width="53.42578125" style="78" customWidth="1"/>
    <col min="6" max="6" width="56" style="529" customWidth="1"/>
    <col min="7" max="11" width="15.7109375" style="78" customWidth="1"/>
    <col min="12" max="12" width="15.7109375" style="529" customWidth="1"/>
    <col min="13" max="15" width="15.7109375" style="78" customWidth="1"/>
    <col min="16" max="16" width="17.7109375" style="78" customWidth="1"/>
    <col min="17" max="20" width="15.7109375" style="78" customWidth="1"/>
    <col min="21" max="21" width="12.5703125" style="78" customWidth="1"/>
    <col min="22" max="22" width="33.140625" style="78" customWidth="1"/>
    <col min="23" max="25" width="8.7109375"/>
    <col min="26" max="33" width="15.7109375" style="529" customWidth="1"/>
    <col min="34" max="16384" width="9.140625" style="78"/>
  </cols>
  <sheetData>
    <row r="1" spans="1:33" s="223" customFormat="1" ht="24" customHeight="1">
      <c r="E1" s="3050" t="str">
        <f>IF(dms_DataQuality="backcast",INDEX(dms_Worksheet_List,MATCH(dms_Model,dms_Model_List))&amp;" BACKCAST",INDEX(dms_Worksheet_List,MATCH(dms_Model,dms_Model_List)))</f>
        <v>REGULATORY REPORTING STATEMENT</v>
      </c>
      <c r="F1" s="546"/>
      <c r="G1" s="546"/>
      <c r="H1" s="546"/>
      <c r="I1" s="546"/>
      <c r="J1" s="546"/>
      <c r="K1" s="225"/>
      <c r="L1" s="225"/>
      <c r="M1" s="225"/>
      <c r="N1" s="225"/>
      <c r="O1" s="225"/>
      <c r="P1" s="225"/>
      <c r="Q1" s="225"/>
      <c r="R1" s="225"/>
      <c r="S1" s="225"/>
      <c r="T1" s="225"/>
      <c r="U1" s="225"/>
      <c r="V1" s="225"/>
      <c r="W1" s="225"/>
      <c r="X1" s="225"/>
      <c r="Y1" s="225"/>
      <c r="Z1" s="225"/>
      <c r="AA1" s="546"/>
      <c r="AB1" s="546"/>
      <c r="AC1" s="546"/>
      <c r="AD1" s="225"/>
      <c r="AE1" s="225"/>
      <c r="AF1" s="225"/>
      <c r="AG1" s="225"/>
    </row>
    <row r="2" spans="1:33" s="223" customFormat="1" ht="24" customHeight="1">
      <c r="E2" s="3054" t="str">
        <f>INDEX(dms_TradingNameFull_List,MATCH(dms_TradingName,dms_TradingName_List))</f>
        <v>AusNet Gas Services</v>
      </c>
      <c r="F2" s="226"/>
      <c r="G2" s="226"/>
      <c r="H2" s="226"/>
      <c r="I2" s="226"/>
      <c r="J2" s="226"/>
      <c r="K2" s="225"/>
      <c r="L2" s="225"/>
      <c r="M2" s="225"/>
      <c r="N2" s="225"/>
      <c r="O2" s="225"/>
      <c r="P2" s="225"/>
      <c r="Q2" s="225"/>
      <c r="R2" s="225"/>
      <c r="S2" s="225"/>
      <c r="T2" s="225"/>
      <c r="U2" s="225"/>
      <c r="V2" s="225"/>
      <c r="W2" s="225"/>
      <c r="X2" s="225"/>
      <c r="Y2" s="225"/>
      <c r="Z2" s="225"/>
      <c r="AA2" s="1428"/>
      <c r="AB2" s="1428"/>
      <c r="AC2" s="1428"/>
      <c r="AD2" s="225"/>
      <c r="AE2" s="225"/>
      <c r="AF2" s="225"/>
      <c r="AG2" s="225"/>
    </row>
    <row r="3" spans="1:33" s="223" customFormat="1" ht="24" customHeight="1">
      <c r="E3" s="3054" t="str">
        <f ca="1">IF(SUM(dms_SingleYear_Model)&gt;0,CRY,CONCATENATE(FRCP_y1," to ",dms_MultiYear_FinalYear_Result))</f>
        <v>2018 to 2022</v>
      </c>
      <c r="F3" s="227"/>
      <c r="G3" s="227"/>
      <c r="H3" s="227"/>
      <c r="I3" s="227"/>
      <c r="J3" s="227"/>
      <c r="K3" s="228" t="str">
        <f>CONCATENATE(LEFT(FRCP_y1,4),"-",LEFT(FRCP_y5,2),RIGHT(FRCP_y5,2))</f>
        <v>2018-2022</v>
      </c>
      <c r="L3" s="227"/>
      <c r="M3" s="227"/>
      <c r="N3" s="227"/>
      <c r="O3" s="227"/>
      <c r="P3" s="227"/>
      <c r="Q3" s="227"/>
      <c r="R3" s="227"/>
      <c r="S3" s="227"/>
      <c r="T3" s="227"/>
      <c r="U3" s="227"/>
      <c r="V3" s="227"/>
      <c r="W3" s="1426"/>
      <c r="X3" s="1426"/>
      <c r="Y3" s="1426"/>
      <c r="Z3" s="1426"/>
      <c r="AA3" s="1426"/>
      <c r="AB3" s="1426"/>
      <c r="AC3" s="1426"/>
      <c r="AD3" s="228"/>
      <c r="AE3" s="1426"/>
      <c r="AF3" s="1426"/>
      <c r="AG3" s="1426"/>
    </row>
    <row r="4" spans="1:33" s="165" customFormat="1" ht="24" customHeight="1">
      <c r="B4" s="10"/>
      <c r="C4" s="12"/>
      <c r="D4"/>
      <c r="E4" s="12" t="s">
        <v>471</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row>
    <row r="5" spans="1:33" customFormat="1"/>
    <row r="6" spans="1:33" customFormat="1"/>
    <row r="7" spans="1:33">
      <c r="A7" s="308"/>
      <c r="B7" s="308"/>
      <c r="C7" s="308"/>
      <c r="D7" s="308"/>
      <c r="E7" s="86" t="s">
        <v>59</v>
      </c>
      <c r="F7" s="86"/>
      <c r="G7" s="86"/>
      <c r="H7" s="86"/>
      <c r="I7" s="86"/>
      <c r="J7" s="86"/>
      <c r="K7" s="86"/>
      <c r="L7" s="308"/>
      <c r="M7" s="308"/>
      <c r="N7" s="288"/>
      <c r="O7" s="288"/>
      <c r="P7" s="288"/>
      <c r="Q7" s="288"/>
      <c r="R7" s="288"/>
      <c r="S7" s="288"/>
      <c r="T7" s="288"/>
      <c r="U7" s="308"/>
      <c r="V7" s="308"/>
      <c r="Z7"/>
      <c r="AA7"/>
      <c r="AB7"/>
      <c r="AC7"/>
      <c r="AD7"/>
      <c r="AE7" s="308"/>
      <c r="AF7" s="308"/>
      <c r="AG7" s="1429"/>
    </row>
    <row r="8" spans="1:33">
      <c r="A8" s="308"/>
      <c r="B8" s="308"/>
      <c r="C8" s="308"/>
      <c r="D8" s="308"/>
      <c r="E8" s="3616" t="s">
        <v>656</v>
      </c>
      <c r="F8" s="3616"/>
      <c r="G8" s="3616"/>
      <c r="H8" s="3616"/>
      <c r="I8" s="3616"/>
      <c r="J8" s="3616"/>
      <c r="K8" s="3616"/>
      <c r="L8" s="308"/>
      <c r="M8" s="308"/>
      <c r="N8" s="288"/>
      <c r="O8" s="288"/>
      <c r="P8" s="288"/>
      <c r="Q8" s="288"/>
      <c r="R8" s="288"/>
      <c r="S8" s="288"/>
      <c r="T8" s="288"/>
      <c r="U8" s="308"/>
      <c r="V8" s="308"/>
      <c r="Z8"/>
      <c r="AA8"/>
      <c r="AB8"/>
      <c r="AC8"/>
      <c r="AD8"/>
      <c r="AE8" s="308"/>
      <c r="AF8" s="308"/>
      <c r="AG8" s="1429"/>
    </row>
    <row r="9" spans="1:33" ht="39.75" customHeight="1">
      <c r="A9" s="550" t="s">
        <v>196</v>
      </c>
      <c r="B9" s="1145" t="s">
        <v>202</v>
      </c>
      <c r="D9" s="308"/>
      <c r="E9" s="3829" t="str">
        <f>CONCATENATE("As set out in cl.6.1 of the ", dms_TradingName, " RIN, for tables  9.1 to 9.2, where the requested data is captured in the ", dms_TradingName, " capex model it is not required to be reentered in the RIN template tables. If the requested data has not been provided in the AGN RIN please enter into the tables. This may require the insertion of new lines in each table.")</f>
        <v>As set out in cl.6.1 of the AusNet (Gas) RIN, for tables  9.1 to 9.2, where the requested data is captured in the AusNet (Gas) capex model it is not required to be reentered in the RIN template tables. If the requested data has not been provided in the AGN RIN please enter into the tables. This may require the insertion of new lines in each table.</v>
      </c>
      <c r="F9" s="3829"/>
      <c r="G9" s="3670"/>
      <c r="H9" s="3670"/>
      <c r="I9" s="3670"/>
      <c r="J9" s="3670"/>
      <c r="K9" s="3670"/>
      <c r="L9" s="308"/>
      <c r="M9" s="308"/>
      <c r="N9" s="288"/>
      <c r="O9" s="288"/>
      <c r="P9" s="288"/>
      <c r="Q9" s="288"/>
      <c r="R9" s="288"/>
      <c r="S9" s="288"/>
      <c r="T9" s="288"/>
      <c r="U9" s="308"/>
      <c r="V9" s="308"/>
      <c r="Z9"/>
      <c r="AA9"/>
      <c r="AB9"/>
      <c r="AC9"/>
      <c r="AD9"/>
      <c r="AE9" s="308"/>
      <c r="AF9" s="308"/>
      <c r="AG9" s="1429"/>
    </row>
    <row r="10" spans="1:33" ht="37.5" customHeight="1">
      <c r="A10" s="550" t="s">
        <v>197</v>
      </c>
      <c r="B10" s="1145" t="s">
        <v>203</v>
      </c>
      <c r="D10" s="308"/>
      <c r="E10" s="3829" t="str">
        <f>CONCATENATE("Reported expenditure is to be entered EXCLUSIVE of any profit margins or management fees paid pursuant to arrangements or contracts between ", dms_TradingName," and any related parties. Include any related party margins or management fees in the separate 'Related party margin' line item.")</f>
        <v>Reported expenditure is to be entered EXCLUSIVE of any profit margins or management fees paid pursuant to arrangements or contracts between AusNet (Gas) and any related parties. Include any related party margins or management fees in the separate 'Related party margin' line item.</v>
      </c>
      <c r="F10" s="3829"/>
      <c r="G10" s="3670"/>
      <c r="H10" s="3670"/>
      <c r="I10" s="3670"/>
      <c r="J10" s="3670"/>
      <c r="K10" s="3670"/>
      <c r="L10" s="308"/>
      <c r="M10" s="308"/>
      <c r="N10" s="308"/>
      <c r="O10" s="308"/>
      <c r="P10" s="308"/>
      <c r="Q10" s="308"/>
      <c r="R10" s="308"/>
      <c r="S10" s="308"/>
      <c r="T10" s="308"/>
      <c r="U10" s="308"/>
      <c r="V10" s="308"/>
      <c r="Z10"/>
      <c r="AA10"/>
      <c r="AB10"/>
      <c r="AC10"/>
      <c r="AD10"/>
      <c r="AE10" s="308"/>
      <c r="AF10" s="308"/>
      <c r="AG10" s="308"/>
    </row>
    <row r="11" spans="1:33" ht="27.75" customHeight="1">
      <c r="A11" s="550" t="s">
        <v>194</v>
      </c>
      <c r="B11" s="1145" t="s">
        <v>200</v>
      </c>
      <c r="D11" s="308"/>
      <c r="E11" s="3829"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1" s="3829"/>
      <c r="G11" s="3670"/>
      <c r="H11" s="3670"/>
      <c r="I11" s="3670"/>
      <c r="J11" s="3670"/>
      <c r="K11" s="3670"/>
      <c r="L11" s="308"/>
      <c r="M11" s="308"/>
      <c r="N11" s="308"/>
      <c r="O11" s="308"/>
      <c r="P11" s="308"/>
      <c r="Q11" s="308"/>
      <c r="R11" s="308"/>
      <c r="S11" s="308"/>
      <c r="T11" s="308"/>
      <c r="U11" s="308"/>
      <c r="V11" s="308"/>
      <c r="Z11"/>
      <c r="AA11"/>
      <c r="AB11"/>
      <c r="AC11"/>
      <c r="AD11"/>
      <c r="AE11" s="308"/>
      <c r="AF11" s="308"/>
      <c r="AG11" s="308"/>
    </row>
    <row r="12" spans="1:33" ht="27" customHeight="1">
      <c r="A12" s="550" t="s">
        <v>199</v>
      </c>
      <c r="B12" s="1145" t="s">
        <v>205</v>
      </c>
      <c r="D12" s="308"/>
      <c r="E12" s="3829" t="s">
        <v>161</v>
      </c>
      <c r="F12" s="3829"/>
      <c r="G12" s="3670"/>
      <c r="H12" s="3670"/>
      <c r="I12" s="3670"/>
      <c r="J12" s="3670"/>
      <c r="K12" s="3670"/>
      <c r="L12" s="308"/>
      <c r="M12" s="308"/>
      <c r="N12" s="308"/>
      <c r="O12" s="308"/>
      <c r="P12" s="308"/>
      <c r="Q12" s="308"/>
      <c r="R12" s="308"/>
      <c r="S12" s="308"/>
      <c r="T12" s="308"/>
      <c r="U12" s="308"/>
      <c r="V12" s="308"/>
      <c r="Z12"/>
      <c r="AA12"/>
      <c r="AB12"/>
      <c r="AC12"/>
      <c r="AD12"/>
      <c r="AE12" s="308"/>
      <c r="AF12" s="308"/>
      <c r="AG12" s="308"/>
    </row>
    <row r="13" spans="1:33" s="79" customFormat="1" ht="13.5" thickBot="1">
      <c r="A13" s="1150" t="s">
        <v>289</v>
      </c>
      <c r="B13" s="1148" t="s">
        <v>633</v>
      </c>
      <c r="D13" s="308"/>
      <c r="E13" s="80"/>
      <c r="F13" s="308"/>
      <c r="G13" s="308"/>
      <c r="H13" s="308"/>
      <c r="I13" s="308"/>
      <c r="J13" s="308"/>
      <c r="K13" s="308"/>
      <c r="L13" s="308"/>
      <c r="M13" s="308"/>
      <c r="N13" s="308"/>
      <c r="O13" s="308"/>
      <c r="P13" s="308"/>
      <c r="Q13" s="308"/>
      <c r="R13" s="308"/>
      <c r="S13" s="308"/>
      <c r="T13" s="308"/>
      <c r="U13" s="308"/>
      <c r="V13" s="308"/>
      <c r="W13"/>
      <c r="X13"/>
      <c r="Y13"/>
      <c r="Z13" s="308"/>
      <c r="AA13" s="308"/>
      <c r="AB13" s="308"/>
      <c r="AC13" s="308"/>
      <c r="AD13" s="308"/>
      <c r="AE13" s="308"/>
      <c r="AF13" s="308"/>
      <c r="AG13" s="308"/>
    </row>
    <row r="14" spans="1:33" s="79" customFormat="1" ht="21" thickBot="1">
      <c r="A14" s="308"/>
      <c r="B14" s="308"/>
      <c r="C14" s="308"/>
      <c r="D14" s="308"/>
      <c r="F14" s="544"/>
      <c r="G14" s="544"/>
      <c r="H14" s="544"/>
      <c r="I14" s="544"/>
      <c r="J14" s="544"/>
      <c r="K14" s="544"/>
      <c r="L14" s="544"/>
      <c r="M14" s="544"/>
      <c r="N14" s="544"/>
      <c r="O14" s="544"/>
      <c r="P14" s="544"/>
      <c r="Q14" s="544"/>
      <c r="R14" s="544"/>
      <c r="S14" s="544"/>
      <c r="T14" s="544"/>
      <c r="U14" s="544"/>
      <c r="V14" s="544"/>
      <c r="W14"/>
      <c r="X14"/>
      <c r="Y14"/>
      <c r="Z14" s="544"/>
      <c r="AA14" s="544"/>
      <c r="AB14" s="544"/>
      <c r="AC14" s="544"/>
      <c r="AD14" s="544"/>
      <c r="AE14" s="544"/>
      <c r="AF14" s="544"/>
      <c r="AG14" s="544"/>
    </row>
    <row r="15" spans="1:33" s="229" customFormat="1" ht="24.75" customHeight="1" thickBot="1">
      <c r="A15" s="1565" t="s">
        <v>192</v>
      </c>
      <c r="B15" s="1565" t="s">
        <v>193</v>
      </c>
      <c r="C15" s="564" t="s">
        <v>206</v>
      </c>
      <c r="D15" s="308"/>
      <c r="E15" s="856" t="s">
        <v>764</v>
      </c>
      <c r="F15" s="856"/>
      <c r="G15" s="972"/>
      <c r="H15" s="972"/>
      <c r="I15" s="972"/>
      <c r="J15" s="972"/>
      <c r="K15" s="972"/>
      <c r="L15" s="972"/>
      <c r="M15" s="972"/>
      <c r="N15" s="972"/>
      <c r="O15" s="972"/>
      <c r="P15" s="972"/>
      <c r="Q15" s="972"/>
      <c r="R15" s="972"/>
      <c r="S15" s="972"/>
      <c r="T15" s="972"/>
      <c r="U15" s="972"/>
      <c r="V15" s="856"/>
      <c r="W15" s="1427"/>
      <c r="X15" s="1427"/>
      <c r="Y15" s="1427"/>
      <c r="Z15" s="856" t="s">
        <v>681</v>
      </c>
      <c r="AA15" s="972"/>
      <c r="AB15" s="972"/>
      <c r="AC15" s="972"/>
      <c r="AD15" s="972"/>
      <c r="AE15" s="972"/>
      <c r="AF15" s="972"/>
      <c r="AG15" s="2166"/>
    </row>
    <row r="16" spans="1:33" s="229" customFormat="1" ht="24.75" customHeight="1" thickBot="1">
      <c r="A16" s="308" t="s">
        <v>192</v>
      </c>
      <c r="B16" s="1576" t="s">
        <v>193</v>
      </c>
      <c r="C16" s="1577" t="s">
        <v>206</v>
      </c>
      <c r="D16"/>
      <c r="E16" s="1576" t="s">
        <v>765</v>
      </c>
      <c r="F16" s="1577"/>
      <c r="G16" s="1577"/>
      <c r="H16" s="1577"/>
      <c r="I16" s="1577"/>
      <c r="J16" s="1577"/>
      <c r="K16" s="1577"/>
      <c r="L16" s="1577"/>
      <c r="M16" s="1577"/>
      <c r="N16" s="1577"/>
      <c r="O16" s="1577"/>
      <c r="P16" s="1577"/>
      <c r="Q16" s="1577"/>
      <c r="R16" s="1577"/>
      <c r="S16" s="1577"/>
      <c r="T16" s="1577"/>
      <c r="U16" s="1577"/>
      <c r="V16" s="1578"/>
      <c r="W16" s="1427"/>
      <c r="X16" s="1427"/>
      <c r="Y16" s="1427"/>
      <c r="Z16" s="1576"/>
      <c r="AA16" s="1577"/>
      <c r="AB16" s="1577"/>
      <c r="AC16" s="1577"/>
      <c r="AD16" s="1577"/>
      <c r="AE16" s="1577"/>
      <c r="AF16" s="1577"/>
      <c r="AG16" s="1578"/>
    </row>
    <row r="17" spans="2:33" s="529" customFormat="1" ht="15.75" customHeight="1">
      <c r="B17" s="308"/>
      <c r="C17" s="308"/>
      <c r="D17" s="308"/>
      <c r="E17" s="290"/>
      <c r="F17" s="1416"/>
      <c r="G17" s="3620" t="s">
        <v>36</v>
      </c>
      <c r="H17" s="3549"/>
      <c r="I17" s="3549"/>
      <c r="J17" s="3549"/>
      <c r="K17" s="3549"/>
      <c r="L17" s="3602" t="s">
        <v>37</v>
      </c>
      <c r="M17" s="3603"/>
      <c r="N17" s="3603"/>
      <c r="O17" s="3603"/>
      <c r="P17" s="3603"/>
      <c r="Q17" s="3543" t="s">
        <v>73</v>
      </c>
      <c r="R17" s="3543"/>
      <c r="S17" s="3543"/>
      <c r="T17" s="3543"/>
      <c r="U17" s="3835"/>
      <c r="V17" s="3830" t="s">
        <v>162</v>
      </c>
      <c r="W17"/>
      <c r="X17"/>
      <c r="Y17"/>
      <c r="Z17" s="3601" t="s">
        <v>36</v>
      </c>
      <c r="AA17" s="3549"/>
      <c r="AB17" s="3549"/>
      <c r="AC17" s="3549"/>
      <c r="AD17" s="3549"/>
      <c r="AE17" s="3602" t="s">
        <v>37</v>
      </c>
      <c r="AF17" s="3603"/>
      <c r="AG17" s="3604"/>
    </row>
    <row r="18" spans="2:33" s="529" customFormat="1" ht="12.75" customHeight="1">
      <c r="B18" s="308"/>
      <c r="C18" s="308"/>
      <c r="D18" s="308"/>
      <c r="E18" s="292"/>
      <c r="F18" s="644"/>
      <c r="G18" s="3550" t="s">
        <v>579</v>
      </c>
      <c r="H18" s="3551"/>
      <c r="I18" s="3551"/>
      <c r="J18" s="3551"/>
      <c r="K18" s="3551"/>
      <c r="L18" s="3551"/>
      <c r="M18" s="3551"/>
      <c r="N18" s="3595"/>
      <c r="O18" s="3589" t="str">
        <f>CONCATENATE("$0's, real ",dms_DollarReal)</f>
        <v>$0's, real December 2017</v>
      </c>
      <c r="P18" s="3590"/>
      <c r="Q18" s="3590"/>
      <c r="R18" s="3590"/>
      <c r="S18" s="3590"/>
      <c r="T18" s="3590"/>
      <c r="U18" s="3734"/>
      <c r="V18" s="3830"/>
      <c r="W18"/>
      <c r="X18"/>
      <c r="Y18"/>
      <c r="Z18" s="3605" t="str">
        <f>CONCATENATE("$0's, real ",dms_DollarReal)</f>
        <v>$0's, real December 2017</v>
      </c>
      <c r="AA18" s="3590"/>
      <c r="AB18" s="3590"/>
      <c r="AC18" s="3590"/>
      <c r="AD18" s="3590"/>
      <c r="AE18" s="3590"/>
      <c r="AF18" s="3590"/>
      <c r="AG18" s="3591"/>
    </row>
    <row r="19" spans="2:33" s="529" customFormat="1" ht="15" customHeight="1">
      <c r="B19" s="308"/>
      <c r="C19" s="308"/>
      <c r="D19" s="308"/>
      <c r="E19" s="292"/>
      <c r="F19" s="644"/>
      <c r="G19" s="3550" t="s">
        <v>54</v>
      </c>
      <c r="H19" s="3551"/>
      <c r="I19" s="3551"/>
      <c r="J19" s="3551"/>
      <c r="K19" s="3551"/>
      <c r="L19" s="3551"/>
      <c r="M19" s="3551"/>
      <c r="N19" s="3595"/>
      <c r="O19" s="3589" t="s">
        <v>55</v>
      </c>
      <c r="P19" s="3590"/>
      <c r="Q19" s="3590"/>
      <c r="R19" s="3590"/>
      <c r="S19" s="3590"/>
      <c r="T19" s="3590"/>
      <c r="U19" s="3734"/>
      <c r="V19" s="3830"/>
      <c r="W19"/>
      <c r="X19"/>
      <c r="Y19"/>
      <c r="Z19" s="3550" t="s">
        <v>54</v>
      </c>
      <c r="AA19" s="3551"/>
      <c r="AB19" s="3551"/>
      <c r="AC19" s="3551"/>
      <c r="AD19" s="3551"/>
      <c r="AE19" s="3551"/>
      <c r="AF19" s="3551"/>
      <c r="AG19" s="3552"/>
    </row>
    <row r="20" spans="2:33" s="529" customFormat="1" ht="15" customHeight="1" thickBot="1">
      <c r="B20" s="308"/>
      <c r="C20" s="308"/>
      <c r="D20" s="308"/>
      <c r="E20" s="583"/>
      <c r="F20" s="1417"/>
      <c r="G20" s="391">
        <f t="array" ref="G20:K20">PRCP</f>
        <v>2008</v>
      </c>
      <c r="H20" s="390">
        <v>2009</v>
      </c>
      <c r="I20" s="390">
        <v>2010</v>
      </c>
      <c r="J20" s="390">
        <v>2011</v>
      </c>
      <c r="K20" s="390">
        <v>2012</v>
      </c>
      <c r="L20" s="392">
        <f>CRCP_y1</f>
        <v>2013</v>
      </c>
      <c r="M20" s="392">
        <f>CRCP_y2</f>
        <v>2014</v>
      </c>
      <c r="N20" s="392">
        <f>CRCP_y3</f>
        <v>2015</v>
      </c>
      <c r="O20" s="392">
        <f>CRCP_y4</f>
        <v>2016</v>
      </c>
      <c r="P20" s="392">
        <f>CRCP_y5</f>
        <v>2017</v>
      </c>
      <c r="Q20" s="390" t="str">
        <f t="array" ref="Q20:U20">FRCP</f>
        <v>2018</v>
      </c>
      <c r="R20" s="390">
        <v>2019</v>
      </c>
      <c r="S20" s="390">
        <v>2020</v>
      </c>
      <c r="T20" s="390">
        <v>2021</v>
      </c>
      <c r="U20" s="786">
        <v>2022</v>
      </c>
      <c r="V20" s="3831"/>
      <c r="W20"/>
      <c r="X20"/>
      <c r="Y20"/>
      <c r="Z20" s="1789">
        <f t="array" ref="Z20:AD20">PRCP</f>
        <v>2008</v>
      </c>
      <c r="AA20" s="390">
        <v>2009</v>
      </c>
      <c r="AB20" s="390">
        <v>2010</v>
      </c>
      <c r="AC20" s="390">
        <v>2011</v>
      </c>
      <c r="AD20" s="390">
        <v>2012</v>
      </c>
      <c r="AE20" s="392">
        <f>CRCP_y1</f>
        <v>2013</v>
      </c>
      <c r="AF20" s="392">
        <f>CRCP_y2</f>
        <v>2014</v>
      </c>
      <c r="AG20" s="603">
        <f>CRCP_y3</f>
        <v>2015</v>
      </c>
    </row>
    <row r="21" spans="2:33" s="79" customFormat="1">
      <c r="D21" s="308"/>
      <c r="E21" s="3820" t="s">
        <v>373</v>
      </c>
      <c r="F21" s="1016" t="s">
        <v>634</v>
      </c>
      <c r="G21" s="525"/>
      <c r="H21" s="523"/>
      <c r="I21" s="523"/>
      <c r="J21" s="523"/>
      <c r="K21" s="523"/>
      <c r="L21" s="599"/>
      <c r="M21" s="600"/>
      <c r="N21" s="600"/>
      <c r="O21" s="600"/>
      <c r="P21" s="600"/>
      <c r="Q21" s="427"/>
      <c r="R21" s="427"/>
      <c r="S21" s="427"/>
      <c r="T21" s="427"/>
      <c r="U21" s="427"/>
      <c r="V21" s="3832"/>
      <c r="W21"/>
      <c r="X21"/>
      <c r="Y21"/>
      <c r="Z21" s="525"/>
      <c r="AA21" s="523"/>
      <c r="AB21" s="523"/>
      <c r="AC21" s="523"/>
      <c r="AD21" s="523"/>
      <c r="AE21" s="599"/>
      <c r="AF21" s="600"/>
      <c r="AG21" s="601"/>
    </row>
    <row r="22" spans="2:33">
      <c r="B22" s="79"/>
      <c r="C22" s="79"/>
      <c r="D22" s="308"/>
      <c r="E22" s="3821"/>
      <c r="F22" s="575" t="s">
        <v>595</v>
      </c>
      <c r="G22" s="525"/>
      <c r="H22" s="523"/>
      <c r="I22" s="523"/>
      <c r="J22" s="523"/>
      <c r="K22" s="523"/>
      <c r="L22" s="514"/>
      <c r="M22" s="513"/>
      <c r="N22" s="513"/>
      <c r="O22" s="513"/>
      <c r="P22" s="513"/>
      <c r="Q22" s="467"/>
      <c r="R22" s="513"/>
      <c r="S22" s="513"/>
      <c r="T22" s="513"/>
      <c r="U22" s="702"/>
      <c r="V22" s="3833"/>
      <c r="Z22" s="525"/>
      <c r="AA22" s="523"/>
      <c r="AB22" s="523"/>
      <c r="AC22" s="523"/>
      <c r="AD22" s="523"/>
      <c r="AE22" s="517"/>
      <c r="AF22" s="518"/>
      <c r="AG22" s="519"/>
    </row>
    <row r="23" spans="2:33">
      <c r="D23" s="308"/>
      <c r="E23" s="3821"/>
      <c r="F23" s="575" t="s">
        <v>594</v>
      </c>
      <c r="G23" s="525"/>
      <c r="H23" s="523"/>
      <c r="I23" s="523"/>
      <c r="J23" s="523"/>
      <c r="K23" s="523"/>
      <c r="L23" s="514"/>
      <c r="M23" s="513"/>
      <c r="N23" s="513"/>
      <c r="O23" s="513"/>
      <c r="P23" s="513"/>
      <c r="Q23" s="467"/>
      <c r="R23" s="513"/>
      <c r="S23" s="513"/>
      <c r="T23" s="513"/>
      <c r="U23" s="702"/>
      <c r="V23" s="3833"/>
      <c r="Z23" s="525"/>
      <c r="AA23" s="523"/>
      <c r="AB23" s="523"/>
      <c r="AC23" s="523"/>
      <c r="AD23" s="523"/>
      <c r="AE23" s="517"/>
      <c r="AF23" s="518"/>
      <c r="AG23" s="519"/>
    </row>
    <row r="24" spans="2:33">
      <c r="D24" s="308"/>
      <c r="E24" s="3821"/>
      <c r="F24" s="575" t="s">
        <v>614</v>
      </c>
      <c r="G24" s="525"/>
      <c r="H24" s="523"/>
      <c r="I24" s="523"/>
      <c r="J24" s="523"/>
      <c r="K24" s="523"/>
      <c r="L24" s="514"/>
      <c r="M24" s="513"/>
      <c r="N24" s="513"/>
      <c r="O24" s="513"/>
      <c r="P24" s="513"/>
      <c r="Q24" s="467"/>
      <c r="R24" s="513"/>
      <c r="S24" s="513"/>
      <c r="T24" s="513"/>
      <c r="U24" s="702"/>
      <c r="V24" s="3833"/>
      <c r="Z24" s="525"/>
      <c r="AA24" s="523"/>
      <c r="AB24" s="523"/>
      <c r="AC24" s="523"/>
      <c r="AD24" s="523"/>
      <c r="AE24" s="517"/>
      <c r="AF24" s="518"/>
      <c r="AG24" s="519"/>
    </row>
    <row r="25" spans="2:33">
      <c r="D25" s="308"/>
      <c r="E25" s="3821"/>
      <c r="F25" s="576" t="s">
        <v>602</v>
      </c>
      <c r="G25" s="514"/>
      <c r="H25" s="513"/>
      <c r="I25" s="513"/>
      <c r="J25" s="513"/>
      <c r="K25" s="702"/>
      <c r="L25" s="401">
        <f t="shared" ref="L25" si="0">SUM(L22:L24)</f>
        <v>0</v>
      </c>
      <c r="M25" s="402">
        <f t="shared" ref="M25:U25" si="1">SUM(M22:M24)</f>
        <v>0</v>
      </c>
      <c r="N25" s="402">
        <f t="shared" si="1"/>
        <v>0</v>
      </c>
      <c r="O25" s="402">
        <f t="shared" si="1"/>
        <v>0</v>
      </c>
      <c r="P25" s="402">
        <f t="shared" si="1"/>
        <v>0</v>
      </c>
      <c r="Q25" s="502">
        <f t="shared" si="1"/>
        <v>0</v>
      </c>
      <c r="R25" s="402">
        <f t="shared" si="1"/>
        <v>0</v>
      </c>
      <c r="S25" s="402">
        <f t="shared" si="1"/>
        <v>0</v>
      </c>
      <c r="T25" s="402">
        <f t="shared" si="1"/>
        <v>0</v>
      </c>
      <c r="U25" s="703">
        <f t="shared" si="1"/>
        <v>0</v>
      </c>
      <c r="V25" s="3833"/>
      <c r="Z25" s="517"/>
      <c r="AA25" s="518"/>
      <c r="AB25" s="518"/>
      <c r="AC25" s="518"/>
      <c r="AD25" s="1453"/>
      <c r="AE25" s="401">
        <f t="shared" ref="AE25" si="2">SUM(AE22:AE24)</f>
        <v>0</v>
      </c>
      <c r="AF25" s="402">
        <f t="shared" ref="AF25:AG25" si="3">SUM(AF22:AF24)</f>
        <v>0</v>
      </c>
      <c r="AG25" s="505">
        <f t="shared" si="3"/>
        <v>0</v>
      </c>
    </row>
    <row r="26" spans="2:33">
      <c r="D26" s="308"/>
      <c r="E26" s="3821"/>
      <c r="F26" s="575" t="s">
        <v>619</v>
      </c>
      <c r="G26" s="514"/>
      <c r="H26" s="513"/>
      <c r="I26" s="513"/>
      <c r="J26" s="513"/>
      <c r="K26" s="702"/>
      <c r="L26" s="483"/>
      <c r="M26" s="531"/>
      <c r="N26" s="531"/>
      <c r="O26" s="531"/>
      <c r="P26" s="531"/>
      <c r="Q26" s="580"/>
      <c r="R26" s="531"/>
      <c r="S26" s="531"/>
      <c r="T26" s="531"/>
      <c r="U26" s="704"/>
      <c r="V26" s="3833"/>
      <c r="Z26" s="517"/>
      <c r="AA26" s="518"/>
      <c r="AB26" s="518"/>
      <c r="AC26" s="518"/>
      <c r="AD26" s="1453"/>
      <c r="AE26" s="569"/>
      <c r="AF26" s="570"/>
      <c r="AG26" s="608"/>
    </row>
    <row r="27" spans="2:33">
      <c r="D27" s="308"/>
      <c r="E27" s="3821"/>
      <c r="F27" s="575" t="s">
        <v>617</v>
      </c>
      <c r="G27" s="514"/>
      <c r="H27" s="513"/>
      <c r="I27" s="513"/>
      <c r="J27" s="513"/>
      <c r="K27" s="702"/>
      <c r="L27" s="527"/>
      <c r="M27" s="522"/>
      <c r="N27" s="522"/>
      <c r="O27" s="522"/>
      <c r="P27" s="522"/>
      <c r="Q27" s="1253"/>
      <c r="R27" s="522"/>
      <c r="S27" s="522"/>
      <c r="T27" s="522"/>
      <c r="U27" s="705"/>
      <c r="V27" s="3833"/>
      <c r="Z27" s="517"/>
      <c r="AA27" s="518"/>
      <c r="AB27" s="518"/>
      <c r="AC27" s="518"/>
      <c r="AD27" s="1453"/>
      <c r="AE27" s="517"/>
      <c r="AF27" s="518"/>
      <c r="AG27" s="519"/>
    </row>
    <row r="28" spans="2:33">
      <c r="D28" s="308"/>
      <c r="E28" s="3821"/>
      <c r="F28" s="576" t="s">
        <v>620</v>
      </c>
      <c r="G28" s="401">
        <f t="shared" ref="G28:U28" si="4">SUM(G26:G27)</f>
        <v>0</v>
      </c>
      <c r="H28" s="402">
        <f t="shared" si="4"/>
        <v>0</v>
      </c>
      <c r="I28" s="402">
        <f t="shared" si="4"/>
        <v>0</v>
      </c>
      <c r="J28" s="402">
        <f t="shared" si="4"/>
        <v>0</v>
      </c>
      <c r="K28" s="703">
        <f t="shared" si="4"/>
        <v>0</v>
      </c>
      <c r="L28" s="401">
        <f t="shared" si="4"/>
        <v>0</v>
      </c>
      <c r="M28" s="402">
        <f t="shared" si="4"/>
        <v>0</v>
      </c>
      <c r="N28" s="402">
        <f t="shared" si="4"/>
        <v>0</v>
      </c>
      <c r="O28" s="402">
        <f t="shared" si="4"/>
        <v>0</v>
      </c>
      <c r="P28" s="402">
        <f t="shared" si="4"/>
        <v>0</v>
      </c>
      <c r="Q28" s="502">
        <f t="shared" si="4"/>
        <v>0</v>
      </c>
      <c r="R28" s="402">
        <f t="shared" si="4"/>
        <v>0</v>
      </c>
      <c r="S28" s="402">
        <f t="shared" si="4"/>
        <v>0</v>
      </c>
      <c r="T28" s="402">
        <f t="shared" si="4"/>
        <v>0</v>
      </c>
      <c r="U28" s="703">
        <f t="shared" si="4"/>
        <v>0</v>
      </c>
      <c r="V28" s="3833"/>
      <c r="Z28" s="401">
        <f t="shared" ref="Z28:AG28" si="5">SUM(Z26:Z27)</f>
        <v>0</v>
      </c>
      <c r="AA28" s="402">
        <f t="shared" si="5"/>
        <v>0</v>
      </c>
      <c r="AB28" s="402">
        <f t="shared" si="5"/>
        <v>0</v>
      </c>
      <c r="AC28" s="402">
        <f t="shared" si="5"/>
        <v>0</v>
      </c>
      <c r="AD28" s="703">
        <f t="shared" si="5"/>
        <v>0</v>
      </c>
      <c r="AE28" s="401">
        <f t="shared" si="5"/>
        <v>0</v>
      </c>
      <c r="AF28" s="402">
        <f t="shared" si="5"/>
        <v>0</v>
      </c>
      <c r="AG28" s="505">
        <f t="shared" si="5"/>
        <v>0</v>
      </c>
    </row>
    <row r="29" spans="2:33">
      <c r="D29" s="308"/>
      <c r="E29" s="3821"/>
      <c r="F29" s="575" t="s">
        <v>35</v>
      </c>
      <c r="G29" s="514"/>
      <c r="H29" s="513"/>
      <c r="I29" s="513"/>
      <c r="J29" s="513"/>
      <c r="K29" s="702"/>
      <c r="L29" s="514"/>
      <c r="M29" s="513"/>
      <c r="N29" s="513"/>
      <c r="O29" s="513"/>
      <c r="P29" s="513"/>
      <c r="Q29" s="467"/>
      <c r="R29" s="513"/>
      <c r="S29" s="513"/>
      <c r="T29" s="513"/>
      <c r="U29" s="702"/>
      <c r="V29" s="3833"/>
      <c r="Z29" s="517"/>
      <c r="AA29" s="518"/>
      <c r="AB29" s="518"/>
      <c r="AC29" s="518"/>
      <c r="AD29" s="1453"/>
      <c r="AE29" s="517"/>
      <c r="AF29" s="518"/>
      <c r="AG29" s="519"/>
    </row>
    <row r="30" spans="2:33" ht="13.5" thickBot="1">
      <c r="D30" s="308"/>
      <c r="E30" s="3822"/>
      <c r="F30" s="1753" t="s">
        <v>621</v>
      </c>
      <c r="G30" s="404">
        <f t="shared" ref="G30:P30" si="6">G28-G29</f>
        <v>0</v>
      </c>
      <c r="H30" s="405">
        <f t="shared" si="6"/>
        <v>0</v>
      </c>
      <c r="I30" s="405">
        <f t="shared" si="6"/>
        <v>0</v>
      </c>
      <c r="J30" s="405">
        <f t="shared" si="6"/>
        <v>0</v>
      </c>
      <c r="K30" s="706">
        <f t="shared" si="6"/>
        <v>0</v>
      </c>
      <c r="L30" s="404">
        <f>L28-L29</f>
        <v>0</v>
      </c>
      <c r="M30" s="405">
        <f>M28-M29</f>
        <v>0</v>
      </c>
      <c r="N30" s="405">
        <f t="shared" si="6"/>
        <v>0</v>
      </c>
      <c r="O30" s="405">
        <f t="shared" si="6"/>
        <v>0</v>
      </c>
      <c r="P30" s="405">
        <f t="shared" si="6"/>
        <v>0</v>
      </c>
      <c r="Q30" s="559">
        <f>Q28-Q29</f>
        <v>0</v>
      </c>
      <c r="R30" s="405">
        <f>R28-R29</f>
        <v>0</v>
      </c>
      <c r="S30" s="405">
        <f>S28-S29</f>
        <v>0</v>
      </c>
      <c r="T30" s="405">
        <f>T28-T29</f>
        <v>0</v>
      </c>
      <c r="U30" s="706">
        <f>U28-U29</f>
        <v>0</v>
      </c>
      <c r="V30" s="3834"/>
      <c r="Z30" s="1710">
        <f t="shared" ref="Z30:AD30" si="7">Z28-Z29</f>
        <v>0</v>
      </c>
      <c r="AA30" s="405">
        <f t="shared" si="7"/>
        <v>0</v>
      </c>
      <c r="AB30" s="405">
        <f t="shared" si="7"/>
        <v>0</v>
      </c>
      <c r="AC30" s="405">
        <f t="shared" si="7"/>
        <v>0</v>
      </c>
      <c r="AD30" s="706">
        <f t="shared" si="7"/>
        <v>0</v>
      </c>
      <c r="AE30" s="1710">
        <f>AE28-AE29</f>
        <v>0</v>
      </c>
      <c r="AF30" s="405">
        <f>AF28-AF29</f>
        <v>0</v>
      </c>
      <c r="AG30" s="560">
        <f t="shared" ref="AG30" si="8">AG28-AG29</f>
        <v>0</v>
      </c>
    </row>
    <row r="31" spans="2:33" s="79" customFormat="1">
      <c r="D31" s="308"/>
      <c r="E31" s="3820" t="s">
        <v>89</v>
      </c>
      <c r="F31" s="1016" t="s">
        <v>634</v>
      </c>
      <c r="G31" s="588"/>
      <c r="H31" s="589"/>
      <c r="I31" s="589"/>
      <c r="J31" s="589"/>
      <c r="K31" s="589"/>
      <c r="L31" s="599"/>
      <c r="M31" s="600"/>
      <c r="N31" s="600"/>
      <c r="O31" s="600"/>
      <c r="P31" s="600"/>
      <c r="Q31" s="600"/>
      <c r="R31" s="600"/>
      <c r="S31" s="600"/>
      <c r="T31" s="600"/>
      <c r="U31" s="600"/>
      <c r="V31" s="3832"/>
      <c r="W31"/>
      <c r="X31"/>
      <c r="Y31"/>
      <c r="Z31" s="588"/>
      <c r="AA31" s="589"/>
      <c r="AB31" s="589"/>
      <c r="AC31" s="589"/>
      <c r="AD31" s="589"/>
      <c r="AE31" s="599"/>
      <c r="AF31" s="600"/>
      <c r="AG31" s="601"/>
    </row>
    <row r="32" spans="2:33" s="529" customFormat="1">
      <c r="B32" s="79"/>
      <c r="C32" s="79"/>
      <c r="D32" s="308"/>
      <c r="E32" s="3821"/>
      <c r="F32" s="575" t="s">
        <v>595</v>
      </c>
      <c r="G32" s="525"/>
      <c r="H32" s="523"/>
      <c r="I32" s="523"/>
      <c r="J32" s="523"/>
      <c r="K32" s="523"/>
      <c r="L32" s="514"/>
      <c r="M32" s="513"/>
      <c r="N32" s="513"/>
      <c r="O32" s="513"/>
      <c r="P32" s="513"/>
      <c r="Q32" s="467"/>
      <c r="R32" s="513"/>
      <c r="S32" s="513"/>
      <c r="T32" s="513"/>
      <c r="U32" s="702"/>
      <c r="V32" s="3833"/>
      <c r="W32"/>
      <c r="X32"/>
      <c r="Y32"/>
      <c r="Z32" s="525"/>
      <c r="AA32" s="523"/>
      <c r="AB32" s="523"/>
      <c r="AC32" s="523"/>
      <c r="AD32" s="523"/>
      <c r="AE32" s="517"/>
      <c r="AF32" s="518"/>
      <c r="AG32" s="519"/>
    </row>
    <row r="33" spans="2:33" s="529" customFormat="1">
      <c r="D33" s="308"/>
      <c r="E33" s="3821"/>
      <c r="F33" s="575" t="s">
        <v>594</v>
      </c>
      <c r="G33" s="525"/>
      <c r="H33" s="523"/>
      <c r="I33" s="523"/>
      <c r="J33" s="523"/>
      <c r="K33" s="523"/>
      <c r="L33" s="514"/>
      <c r="M33" s="513"/>
      <c r="N33" s="513"/>
      <c r="O33" s="513"/>
      <c r="P33" s="513"/>
      <c r="Q33" s="467"/>
      <c r="R33" s="513"/>
      <c r="S33" s="513"/>
      <c r="T33" s="513"/>
      <c r="U33" s="702"/>
      <c r="V33" s="3833"/>
      <c r="W33"/>
      <c r="X33"/>
      <c r="Y33"/>
      <c r="Z33" s="525"/>
      <c r="AA33" s="523"/>
      <c r="AB33" s="523"/>
      <c r="AC33" s="523"/>
      <c r="AD33" s="523"/>
      <c r="AE33" s="517"/>
      <c r="AF33" s="518"/>
      <c r="AG33" s="519"/>
    </row>
    <row r="34" spans="2:33" s="529" customFormat="1">
      <c r="D34" s="308"/>
      <c r="E34" s="3821"/>
      <c r="F34" s="575" t="s">
        <v>614</v>
      </c>
      <c r="G34" s="525"/>
      <c r="H34" s="523"/>
      <c r="I34" s="523"/>
      <c r="J34" s="523"/>
      <c r="K34" s="523"/>
      <c r="L34" s="514"/>
      <c r="M34" s="513"/>
      <c r="N34" s="513"/>
      <c r="O34" s="513"/>
      <c r="P34" s="513"/>
      <c r="Q34" s="467"/>
      <c r="R34" s="513"/>
      <c r="S34" s="513"/>
      <c r="T34" s="513"/>
      <c r="U34" s="702"/>
      <c r="V34" s="3833"/>
      <c r="W34"/>
      <c r="X34"/>
      <c r="Y34"/>
      <c r="Z34" s="525"/>
      <c r="AA34" s="523"/>
      <c r="AB34" s="523"/>
      <c r="AC34" s="523"/>
      <c r="AD34" s="523"/>
      <c r="AE34" s="517"/>
      <c r="AF34" s="518"/>
      <c r="AG34" s="519"/>
    </row>
    <row r="35" spans="2:33" s="529" customFormat="1">
      <c r="D35" s="308"/>
      <c r="E35" s="3821"/>
      <c r="F35" s="576" t="s">
        <v>602</v>
      </c>
      <c r="G35" s="514"/>
      <c r="H35" s="513"/>
      <c r="I35" s="513"/>
      <c r="J35" s="513"/>
      <c r="K35" s="702"/>
      <c r="L35" s="401">
        <f t="shared" ref="L35:U35" si="9">SUM(L32:L34)</f>
        <v>0</v>
      </c>
      <c r="M35" s="402">
        <f t="shared" si="9"/>
        <v>0</v>
      </c>
      <c r="N35" s="402">
        <f t="shared" si="9"/>
        <v>0</v>
      </c>
      <c r="O35" s="402">
        <f t="shared" si="9"/>
        <v>0</v>
      </c>
      <c r="P35" s="402">
        <f t="shared" si="9"/>
        <v>0</v>
      </c>
      <c r="Q35" s="502">
        <f t="shared" si="9"/>
        <v>0</v>
      </c>
      <c r="R35" s="402">
        <f t="shared" si="9"/>
        <v>0</v>
      </c>
      <c r="S35" s="402">
        <f t="shared" si="9"/>
        <v>0</v>
      </c>
      <c r="T35" s="402">
        <f t="shared" si="9"/>
        <v>0</v>
      </c>
      <c r="U35" s="703">
        <f t="shared" si="9"/>
        <v>0</v>
      </c>
      <c r="V35" s="3833"/>
      <c r="W35"/>
      <c r="X35"/>
      <c r="Y35"/>
      <c r="Z35" s="517"/>
      <c r="AA35" s="518"/>
      <c r="AB35" s="518"/>
      <c r="AC35" s="518"/>
      <c r="AD35" s="1453"/>
      <c r="AE35" s="401">
        <f t="shared" ref="AE35:AG35" si="10">SUM(AE32:AE34)</f>
        <v>0</v>
      </c>
      <c r="AF35" s="402">
        <f t="shared" si="10"/>
        <v>0</v>
      </c>
      <c r="AG35" s="505">
        <f t="shared" si="10"/>
        <v>0</v>
      </c>
    </row>
    <row r="36" spans="2:33" s="529" customFormat="1">
      <c r="D36" s="308"/>
      <c r="E36" s="3821"/>
      <c r="F36" s="575" t="s">
        <v>619</v>
      </c>
      <c r="G36" s="514"/>
      <c r="H36" s="513"/>
      <c r="I36" s="513"/>
      <c r="J36" s="513"/>
      <c r="K36" s="702"/>
      <c r="L36" s="483"/>
      <c r="M36" s="531"/>
      <c r="N36" s="531"/>
      <c r="O36" s="531"/>
      <c r="P36" s="531"/>
      <c r="Q36" s="580"/>
      <c r="R36" s="531"/>
      <c r="S36" s="531"/>
      <c r="T36" s="531"/>
      <c r="U36" s="704"/>
      <c r="V36" s="3833"/>
      <c r="W36"/>
      <c r="X36"/>
      <c r="Y36"/>
      <c r="Z36" s="517"/>
      <c r="AA36" s="518"/>
      <c r="AB36" s="518"/>
      <c r="AC36" s="518"/>
      <c r="AD36" s="1453"/>
      <c r="AE36" s="569"/>
      <c r="AF36" s="570"/>
      <c r="AG36" s="608"/>
    </row>
    <row r="37" spans="2:33" s="529" customFormat="1">
      <c r="D37" s="308"/>
      <c r="E37" s="3821"/>
      <c r="F37" s="575" t="s">
        <v>617</v>
      </c>
      <c r="G37" s="514"/>
      <c r="H37" s="513"/>
      <c r="I37" s="513"/>
      <c r="J37" s="513"/>
      <c r="K37" s="702"/>
      <c r="L37" s="527"/>
      <c r="M37" s="522"/>
      <c r="N37" s="522"/>
      <c r="O37" s="522"/>
      <c r="P37" s="522"/>
      <c r="Q37" s="1253"/>
      <c r="R37" s="522"/>
      <c r="S37" s="522"/>
      <c r="T37" s="522"/>
      <c r="U37" s="705"/>
      <c r="V37" s="3833"/>
      <c r="W37"/>
      <c r="X37"/>
      <c r="Y37"/>
      <c r="Z37" s="517"/>
      <c r="AA37" s="518"/>
      <c r="AB37" s="518"/>
      <c r="AC37" s="518"/>
      <c r="AD37" s="1453"/>
      <c r="AE37" s="517"/>
      <c r="AF37" s="518"/>
      <c r="AG37" s="519"/>
    </row>
    <row r="38" spans="2:33" s="529" customFormat="1">
      <c r="D38" s="308"/>
      <c r="E38" s="3821"/>
      <c r="F38" s="576" t="s">
        <v>620</v>
      </c>
      <c r="G38" s="401">
        <f t="shared" ref="G38:U38" si="11">SUM(G36:G37)</f>
        <v>0</v>
      </c>
      <c r="H38" s="402">
        <f t="shared" si="11"/>
        <v>0</v>
      </c>
      <c r="I38" s="402">
        <f t="shared" si="11"/>
        <v>0</v>
      </c>
      <c r="J38" s="402">
        <f t="shared" si="11"/>
        <v>0</v>
      </c>
      <c r="K38" s="703">
        <f t="shared" si="11"/>
        <v>0</v>
      </c>
      <c r="L38" s="401">
        <f t="shared" si="11"/>
        <v>0</v>
      </c>
      <c r="M38" s="402">
        <f t="shared" si="11"/>
        <v>0</v>
      </c>
      <c r="N38" s="402">
        <f t="shared" si="11"/>
        <v>0</v>
      </c>
      <c r="O38" s="402">
        <f t="shared" si="11"/>
        <v>0</v>
      </c>
      <c r="P38" s="402">
        <f t="shared" si="11"/>
        <v>0</v>
      </c>
      <c r="Q38" s="502">
        <f t="shared" si="11"/>
        <v>0</v>
      </c>
      <c r="R38" s="402">
        <f t="shared" si="11"/>
        <v>0</v>
      </c>
      <c r="S38" s="402">
        <f t="shared" si="11"/>
        <v>0</v>
      </c>
      <c r="T38" s="402">
        <f t="shared" si="11"/>
        <v>0</v>
      </c>
      <c r="U38" s="703">
        <f t="shared" si="11"/>
        <v>0</v>
      </c>
      <c r="V38" s="3833"/>
      <c r="W38"/>
      <c r="X38"/>
      <c r="Y38"/>
      <c r="Z38" s="401">
        <f t="shared" ref="Z38:AG38" si="12">SUM(Z36:Z37)</f>
        <v>0</v>
      </c>
      <c r="AA38" s="402">
        <f t="shared" si="12"/>
        <v>0</v>
      </c>
      <c r="AB38" s="402">
        <f t="shared" si="12"/>
        <v>0</v>
      </c>
      <c r="AC38" s="402">
        <f t="shared" si="12"/>
        <v>0</v>
      </c>
      <c r="AD38" s="703">
        <f t="shared" si="12"/>
        <v>0</v>
      </c>
      <c r="AE38" s="401">
        <f t="shared" si="12"/>
        <v>0</v>
      </c>
      <c r="AF38" s="402">
        <f t="shared" si="12"/>
        <v>0</v>
      </c>
      <c r="AG38" s="505">
        <f t="shared" si="12"/>
        <v>0</v>
      </c>
    </row>
    <row r="39" spans="2:33" s="529" customFormat="1">
      <c r="D39" s="308"/>
      <c r="E39" s="3821"/>
      <c r="F39" s="575" t="s">
        <v>35</v>
      </c>
      <c r="G39" s="514"/>
      <c r="H39" s="513"/>
      <c r="I39" s="513"/>
      <c r="J39" s="513"/>
      <c r="K39" s="702"/>
      <c r="L39" s="514"/>
      <c r="M39" s="513"/>
      <c r="N39" s="513"/>
      <c r="O39" s="513"/>
      <c r="P39" s="513"/>
      <c r="Q39" s="467"/>
      <c r="R39" s="513"/>
      <c r="S39" s="513"/>
      <c r="T39" s="513"/>
      <c r="U39" s="702"/>
      <c r="V39" s="3833"/>
      <c r="W39"/>
      <c r="X39"/>
      <c r="Y39"/>
      <c r="Z39" s="517"/>
      <c r="AA39" s="518"/>
      <c r="AB39" s="518"/>
      <c r="AC39" s="518"/>
      <c r="AD39" s="1453"/>
      <c r="AE39" s="517"/>
      <c r="AF39" s="518"/>
      <c r="AG39" s="519"/>
    </row>
    <row r="40" spans="2:33" s="529" customFormat="1" ht="13.5" thickBot="1">
      <c r="D40" s="308"/>
      <c r="E40" s="3822"/>
      <c r="F40" s="1753" t="s">
        <v>621</v>
      </c>
      <c r="G40" s="404">
        <f t="shared" ref="G40:K40" si="13">G38-G39</f>
        <v>0</v>
      </c>
      <c r="H40" s="405">
        <f t="shared" si="13"/>
        <v>0</v>
      </c>
      <c r="I40" s="405">
        <f t="shared" si="13"/>
        <v>0</v>
      </c>
      <c r="J40" s="405">
        <f t="shared" si="13"/>
        <v>0</v>
      </c>
      <c r="K40" s="706">
        <f t="shared" si="13"/>
        <v>0</v>
      </c>
      <c r="L40" s="404">
        <f>L38-L39</f>
        <v>0</v>
      </c>
      <c r="M40" s="405">
        <f>M38-M39</f>
        <v>0</v>
      </c>
      <c r="N40" s="405">
        <f t="shared" ref="N40:P40" si="14">N38-N39</f>
        <v>0</v>
      </c>
      <c r="O40" s="405">
        <f t="shared" si="14"/>
        <v>0</v>
      </c>
      <c r="P40" s="405">
        <f t="shared" si="14"/>
        <v>0</v>
      </c>
      <c r="Q40" s="559">
        <f>Q38-Q39</f>
        <v>0</v>
      </c>
      <c r="R40" s="405">
        <f>R38-R39</f>
        <v>0</v>
      </c>
      <c r="S40" s="405">
        <f>S38-S39</f>
        <v>0</v>
      </c>
      <c r="T40" s="405">
        <f>T38-T39</f>
        <v>0</v>
      </c>
      <c r="U40" s="706">
        <f>U38-U39</f>
        <v>0</v>
      </c>
      <c r="V40" s="3834"/>
      <c r="W40"/>
      <c r="X40"/>
      <c r="Y40"/>
      <c r="Z40" s="1710">
        <f t="shared" ref="Z40:AD40" si="15">Z38-Z39</f>
        <v>0</v>
      </c>
      <c r="AA40" s="405">
        <f t="shared" si="15"/>
        <v>0</v>
      </c>
      <c r="AB40" s="405">
        <f t="shared" si="15"/>
        <v>0</v>
      </c>
      <c r="AC40" s="405">
        <f t="shared" si="15"/>
        <v>0</v>
      </c>
      <c r="AD40" s="706">
        <f t="shared" si="15"/>
        <v>0</v>
      </c>
      <c r="AE40" s="1710">
        <f>AE38-AE39</f>
        <v>0</v>
      </c>
      <c r="AF40" s="405">
        <f>AF38-AF39</f>
        <v>0</v>
      </c>
      <c r="AG40" s="560">
        <f t="shared" ref="AG40" si="16">AG38-AG39</f>
        <v>0</v>
      </c>
    </row>
    <row r="41" spans="2:33" s="79" customFormat="1">
      <c r="D41" s="308"/>
      <c r="E41" s="3820" t="s">
        <v>89</v>
      </c>
      <c r="F41" s="1016" t="s">
        <v>634</v>
      </c>
      <c r="G41" s="588"/>
      <c r="H41" s="589"/>
      <c r="I41" s="589"/>
      <c r="J41" s="589"/>
      <c r="K41" s="589"/>
      <c r="L41" s="599"/>
      <c r="M41" s="600"/>
      <c r="N41" s="600"/>
      <c r="O41" s="600"/>
      <c r="P41" s="600"/>
      <c r="Q41" s="600"/>
      <c r="R41" s="600"/>
      <c r="S41" s="600"/>
      <c r="T41" s="600"/>
      <c r="U41" s="600"/>
      <c r="V41" s="3832"/>
      <c r="W41"/>
      <c r="X41"/>
      <c r="Y41"/>
      <c r="Z41" s="588"/>
      <c r="AA41" s="589"/>
      <c r="AB41" s="589"/>
      <c r="AC41" s="589"/>
      <c r="AD41" s="589"/>
      <c r="AE41" s="599"/>
      <c r="AF41" s="600"/>
      <c r="AG41" s="601"/>
    </row>
    <row r="42" spans="2:33" s="529" customFormat="1">
      <c r="B42" s="79"/>
      <c r="C42" s="79"/>
      <c r="D42" s="308"/>
      <c r="E42" s="3821"/>
      <c r="F42" s="575" t="s">
        <v>595</v>
      </c>
      <c r="G42" s="525"/>
      <c r="H42" s="523"/>
      <c r="I42" s="523"/>
      <c r="J42" s="523"/>
      <c r="K42" s="523"/>
      <c r="L42" s="514"/>
      <c r="M42" s="513"/>
      <c r="N42" s="513"/>
      <c r="O42" s="513"/>
      <c r="P42" s="513"/>
      <c r="Q42" s="467"/>
      <c r="R42" s="513"/>
      <c r="S42" s="513"/>
      <c r="T42" s="513"/>
      <c r="U42" s="702"/>
      <c r="V42" s="3833"/>
      <c r="W42"/>
      <c r="X42"/>
      <c r="Y42"/>
      <c r="Z42" s="525"/>
      <c r="AA42" s="523"/>
      <c r="AB42" s="523"/>
      <c r="AC42" s="523"/>
      <c r="AD42" s="523"/>
      <c r="AE42" s="517"/>
      <c r="AF42" s="518"/>
      <c r="AG42" s="519"/>
    </row>
    <row r="43" spans="2:33" s="529" customFormat="1">
      <c r="D43" s="308"/>
      <c r="E43" s="3821"/>
      <c r="F43" s="575" t="s">
        <v>594</v>
      </c>
      <c r="G43" s="525"/>
      <c r="H43" s="523"/>
      <c r="I43" s="523"/>
      <c r="J43" s="523"/>
      <c r="K43" s="523"/>
      <c r="L43" s="514"/>
      <c r="M43" s="513"/>
      <c r="N43" s="513"/>
      <c r="O43" s="513"/>
      <c r="P43" s="513"/>
      <c r="Q43" s="467"/>
      <c r="R43" s="513"/>
      <c r="S43" s="513"/>
      <c r="T43" s="513"/>
      <c r="U43" s="702"/>
      <c r="V43" s="3833"/>
      <c r="W43"/>
      <c r="X43"/>
      <c r="Y43"/>
      <c r="Z43" s="525"/>
      <c r="AA43" s="523"/>
      <c r="AB43" s="523"/>
      <c r="AC43" s="523"/>
      <c r="AD43" s="523"/>
      <c r="AE43" s="517"/>
      <c r="AF43" s="518"/>
      <c r="AG43" s="519"/>
    </row>
    <row r="44" spans="2:33" s="529" customFormat="1">
      <c r="D44" s="308"/>
      <c r="E44" s="3821"/>
      <c r="F44" s="575" t="s">
        <v>614</v>
      </c>
      <c r="G44" s="525"/>
      <c r="H44" s="523"/>
      <c r="I44" s="523"/>
      <c r="J44" s="523"/>
      <c r="K44" s="523"/>
      <c r="L44" s="514"/>
      <c r="M44" s="513"/>
      <c r="N44" s="513"/>
      <c r="O44" s="513"/>
      <c r="P44" s="513"/>
      <c r="Q44" s="467"/>
      <c r="R44" s="513"/>
      <c r="S44" s="513"/>
      <c r="T44" s="513"/>
      <c r="U44" s="702"/>
      <c r="V44" s="3833"/>
      <c r="W44"/>
      <c r="X44"/>
      <c r="Y44"/>
      <c r="Z44" s="525"/>
      <c r="AA44" s="523"/>
      <c r="AB44" s="523"/>
      <c r="AC44" s="523"/>
      <c r="AD44" s="523"/>
      <c r="AE44" s="517"/>
      <c r="AF44" s="518"/>
      <c r="AG44" s="519"/>
    </row>
    <row r="45" spans="2:33" s="529" customFormat="1">
      <c r="D45" s="308"/>
      <c r="E45" s="3821"/>
      <c r="F45" s="576" t="s">
        <v>602</v>
      </c>
      <c r="G45" s="514"/>
      <c r="H45" s="513"/>
      <c r="I45" s="513"/>
      <c r="J45" s="513"/>
      <c r="K45" s="702"/>
      <c r="L45" s="401">
        <f t="shared" ref="L45" si="17">SUM(L42:L44)</f>
        <v>0</v>
      </c>
      <c r="M45" s="402">
        <f t="shared" ref="M45:U45" si="18">SUM(M42:M44)</f>
        <v>0</v>
      </c>
      <c r="N45" s="402">
        <f t="shared" si="18"/>
        <v>0</v>
      </c>
      <c r="O45" s="402">
        <f t="shared" si="18"/>
        <v>0</v>
      </c>
      <c r="P45" s="402">
        <f t="shared" si="18"/>
        <v>0</v>
      </c>
      <c r="Q45" s="502">
        <f t="shared" si="18"/>
        <v>0</v>
      </c>
      <c r="R45" s="402">
        <f t="shared" si="18"/>
        <v>0</v>
      </c>
      <c r="S45" s="402">
        <f t="shared" si="18"/>
        <v>0</v>
      </c>
      <c r="T45" s="402">
        <f t="shared" si="18"/>
        <v>0</v>
      </c>
      <c r="U45" s="703">
        <f t="shared" si="18"/>
        <v>0</v>
      </c>
      <c r="V45" s="3833"/>
      <c r="W45"/>
      <c r="X45"/>
      <c r="Y45"/>
      <c r="Z45" s="517"/>
      <c r="AA45" s="518"/>
      <c r="AB45" s="518"/>
      <c r="AC45" s="518"/>
      <c r="AD45" s="1453"/>
      <c r="AE45" s="401">
        <f t="shared" ref="AE45:AG45" si="19">SUM(AE42:AE44)</f>
        <v>0</v>
      </c>
      <c r="AF45" s="402">
        <f t="shared" si="19"/>
        <v>0</v>
      </c>
      <c r="AG45" s="505">
        <f t="shared" si="19"/>
        <v>0</v>
      </c>
    </row>
    <row r="46" spans="2:33" s="529" customFormat="1">
      <c r="D46" s="308"/>
      <c r="E46" s="3821"/>
      <c r="F46" s="575" t="s">
        <v>619</v>
      </c>
      <c r="G46" s="514"/>
      <c r="H46" s="513"/>
      <c r="I46" s="513"/>
      <c r="J46" s="513"/>
      <c r="K46" s="702"/>
      <c r="L46" s="483"/>
      <c r="M46" s="531"/>
      <c r="N46" s="531"/>
      <c r="O46" s="531"/>
      <c r="P46" s="531"/>
      <c r="Q46" s="580"/>
      <c r="R46" s="531"/>
      <c r="S46" s="531"/>
      <c r="T46" s="531"/>
      <c r="U46" s="704"/>
      <c r="V46" s="3833"/>
      <c r="W46"/>
      <c r="X46"/>
      <c r="Y46"/>
      <c r="Z46" s="517"/>
      <c r="AA46" s="518"/>
      <c r="AB46" s="518"/>
      <c r="AC46" s="518"/>
      <c r="AD46" s="1453"/>
      <c r="AE46" s="569"/>
      <c r="AF46" s="570"/>
      <c r="AG46" s="608"/>
    </row>
    <row r="47" spans="2:33" s="529" customFormat="1">
      <c r="D47" s="308"/>
      <c r="E47" s="3821"/>
      <c r="F47" s="575" t="s">
        <v>617</v>
      </c>
      <c r="G47" s="514"/>
      <c r="H47" s="513"/>
      <c r="I47" s="513"/>
      <c r="J47" s="513"/>
      <c r="K47" s="702"/>
      <c r="L47" s="527"/>
      <c r="M47" s="522"/>
      <c r="N47" s="522"/>
      <c r="O47" s="522"/>
      <c r="P47" s="522"/>
      <c r="Q47" s="1253"/>
      <c r="R47" s="522"/>
      <c r="S47" s="522"/>
      <c r="T47" s="522"/>
      <c r="U47" s="705"/>
      <c r="V47" s="3833"/>
      <c r="W47"/>
      <c r="X47"/>
      <c r="Y47"/>
      <c r="Z47" s="517"/>
      <c r="AA47" s="518"/>
      <c r="AB47" s="518"/>
      <c r="AC47" s="518"/>
      <c r="AD47" s="1453"/>
      <c r="AE47" s="517"/>
      <c r="AF47" s="518"/>
      <c r="AG47" s="519"/>
    </row>
    <row r="48" spans="2:33" s="529" customFormat="1">
      <c r="D48" s="308"/>
      <c r="E48" s="3821"/>
      <c r="F48" s="576" t="s">
        <v>620</v>
      </c>
      <c r="G48" s="401">
        <f>SUM(G45:G47)</f>
        <v>0</v>
      </c>
      <c r="H48" s="402">
        <f t="shared" ref="H48:U48" si="20">SUM(H45:H47)</f>
        <v>0</v>
      </c>
      <c r="I48" s="402">
        <f t="shared" si="20"/>
        <v>0</v>
      </c>
      <c r="J48" s="402">
        <f t="shared" si="20"/>
        <v>0</v>
      </c>
      <c r="K48" s="703">
        <f t="shared" si="20"/>
        <v>0</v>
      </c>
      <c r="L48" s="401">
        <f t="shared" si="20"/>
        <v>0</v>
      </c>
      <c r="M48" s="402">
        <f t="shared" si="20"/>
        <v>0</v>
      </c>
      <c r="N48" s="402">
        <f t="shared" si="20"/>
        <v>0</v>
      </c>
      <c r="O48" s="402">
        <f t="shared" si="20"/>
        <v>0</v>
      </c>
      <c r="P48" s="402">
        <f t="shared" si="20"/>
        <v>0</v>
      </c>
      <c r="Q48" s="502">
        <f t="shared" si="20"/>
        <v>0</v>
      </c>
      <c r="R48" s="402">
        <f t="shared" si="20"/>
        <v>0</v>
      </c>
      <c r="S48" s="402">
        <f t="shared" si="20"/>
        <v>0</v>
      </c>
      <c r="T48" s="402">
        <f t="shared" si="20"/>
        <v>0</v>
      </c>
      <c r="U48" s="703">
        <f t="shared" si="20"/>
        <v>0</v>
      </c>
      <c r="V48" s="3833"/>
      <c r="W48"/>
      <c r="X48"/>
      <c r="Y48"/>
      <c r="Z48" s="401">
        <f>SUM(Z45:Z47)</f>
        <v>0</v>
      </c>
      <c r="AA48" s="402">
        <f t="shared" ref="AA48:AG48" si="21">SUM(AA45:AA47)</f>
        <v>0</v>
      </c>
      <c r="AB48" s="402">
        <f t="shared" si="21"/>
        <v>0</v>
      </c>
      <c r="AC48" s="402">
        <f t="shared" si="21"/>
        <v>0</v>
      </c>
      <c r="AD48" s="703">
        <f t="shared" si="21"/>
        <v>0</v>
      </c>
      <c r="AE48" s="401">
        <f t="shared" si="21"/>
        <v>0</v>
      </c>
      <c r="AF48" s="402">
        <f t="shared" si="21"/>
        <v>0</v>
      </c>
      <c r="AG48" s="505">
        <f t="shared" si="21"/>
        <v>0</v>
      </c>
    </row>
    <row r="49" spans="1:34" s="529" customFormat="1">
      <c r="D49" s="308"/>
      <c r="E49" s="3821"/>
      <c r="F49" s="575" t="s">
        <v>35</v>
      </c>
      <c r="G49" s="514"/>
      <c r="H49" s="513"/>
      <c r="I49" s="513"/>
      <c r="J49" s="513"/>
      <c r="K49" s="702"/>
      <c r="L49" s="514"/>
      <c r="M49" s="513"/>
      <c r="N49" s="513"/>
      <c r="O49" s="513"/>
      <c r="P49" s="513"/>
      <c r="Q49" s="467"/>
      <c r="R49" s="513"/>
      <c r="S49" s="513"/>
      <c r="T49" s="513"/>
      <c r="U49" s="702"/>
      <c r="V49" s="3833"/>
      <c r="W49"/>
      <c r="X49"/>
      <c r="Y49"/>
      <c r="Z49" s="517"/>
      <c r="AA49" s="518"/>
      <c r="AB49" s="518"/>
      <c r="AC49" s="518"/>
      <c r="AD49" s="1453"/>
      <c r="AE49" s="517"/>
      <c r="AF49" s="518"/>
      <c r="AG49" s="519"/>
    </row>
    <row r="50" spans="1:34" s="529" customFormat="1" ht="13.5" thickBot="1">
      <c r="D50" s="308"/>
      <c r="E50" s="3822"/>
      <c r="F50" s="1753" t="s">
        <v>621</v>
      </c>
      <c r="G50" s="404">
        <f>G48-G49</f>
        <v>0</v>
      </c>
      <c r="H50" s="405">
        <f t="shared" ref="H50:P50" si="22">H48-H49</f>
        <v>0</v>
      </c>
      <c r="I50" s="405">
        <f t="shared" si="22"/>
        <v>0</v>
      </c>
      <c r="J50" s="405">
        <f t="shared" si="22"/>
        <v>0</v>
      </c>
      <c r="K50" s="706">
        <f t="shared" si="22"/>
        <v>0</v>
      </c>
      <c r="L50" s="404">
        <f>L48-L49</f>
        <v>0</v>
      </c>
      <c r="M50" s="405">
        <f>M48-M49</f>
        <v>0</v>
      </c>
      <c r="N50" s="405">
        <f t="shared" si="22"/>
        <v>0</v>
      </c>
      <c r="O50" s="405">
        <f t="shared" si="22"/>
        <v>0</v>
      </c>
      <c r="P50" s="405">
        <f t="shared" si="22"/>
        <v>0</v>
      </c>
      <c r="Q50" s="559">
        <f>Q48-Q49</f>
        <v>0</v>
      </c>
      <c r="R50" s="405">
        <f>R48-R49</f>
        <v>0</v>
      </c>
      <c r="S50" s="405">
        <f>S48-S49</f>
        <v>0</v>
      </c>
      <c r="T50" s="405">
        <f>T48-T49</f>
        <v>0</v>
      </c>
      <c r="U50" s="706">
        <f>U48-U49</f>
        <v>0</v>
      </c>
      <c r="V50" s="3834"/>
      <c r="W50"/>
      <c r="X50"/>
      <c r="Y50"/>
      <c r="Z50" s="1710">
        <f>Z48-Z49</f>
        <v>0</v>
      </c>
      <c r="AA50" s="405">
        <f t="shared" ref="AA50:AD50" si="23">AA48-AA49</f>
        <v>0</v>
      </c>
      <c r="AB50" s="405">
        <f t="shared" si="23"/>
        <v>0</v>
      </c>
      <c r="AC50" s="405">
        <f t="shared" si="23"/>
        <v>0</v>
      </c>
      <c r="AD50" s="706">
        <f t="shared" si="23"/>
        <v>0</v>
      </c>
      <c r="AE50" s="1710">
        <f>AE48-AE49</f>
        <v>0</v>
      </c>
      <c r="AF50" s="405">
        <f>AF48-AF49</f>
        <v>0</v>
      </c>
      <c r="AG50" s="560">
        <f t="shared" ref="AG50" si="24">AG48-AG49</f>
        <v>0</v>
      </c>
    </row>
    <row r="51" spans="1:34">
      <c r="D51" s="308"/>
      <c r="E51" s="3823" t="s">
        <v>370</v>
      </c>
      <c r="F51" s="1705" t="s">
        <v>615</v>
      </c>
      <c r="G51" s="714">
        <f>SUMIF($F$21:$F$50,"Total direct expenditure ",G$21:G$50)</f>
        <v>0</v>
      </c>
      <c r="H51" s="708">
        <f t="shared" ref="H51:U51" si="25">SUMIF($F$21:$F$50,"Total direct expenditure ",H$21:H$50)</f>
        <v>0</v>
      </c>
      <c r="I51" s="708">
        <f t="shared" si="25"/>
        <v>0</v>
      </c>
      <c r="J51" s="708">
        <f t="shared" si="25"/>
        <v>0</v>
      </c>
      <c r="K51" s="709">
        <f t="shared" si="25"/>
        <v>0</v>
      </c>
      <c r="L51" s="1418">
        <f t="shared" si="25"/>
        <v>0</v>
      </c>
      <c r="M51" s="708">
        <f t="shared" si="25"/>
        <v>0</v>
      </c>
      <c r="N51" s="708">
        <f t="shared" si="25"/>
        <v>0</v>
      </c>
      <c r="O51" s="708">
        <f t="shared" si="25"/>
        <v>0</v>
      </c>
      <c r="P51" s="708">
        <f t="shared" si="25"/>
        <v>0</v>
      </c>
      <c r="Q51" s="714">
        <f t="shared" si="25"/>
        <v>0</v>
      </c>
      <c r="R51" s="708">
        <f t="shared" si="25"/>
        <v>0</v>
      </c>
      <c r="S51" s="708">
        <f t="shared" si="25"/>
        <v>0</v>
      </c>
      <c r="T51" s="708">
        <f t="shared" si="25"/>
        <v>0</v>
      </c>
      <c r="U51" s="709">
        <f t="shared" si="25"/>
        <v>0</v>
      </c>
      <c r="V51" s="707"/>
      <c r="Z51" s="1418">
        <f>SUMIF($F$21:$F$50,"Total direct expenditure ",Z$21:Z$50)</f>
        <v>0</v>
      </c>
      <c r="AA51" s="708">
        <f t="shared" ref="AA51:AG51" si="26">SUMIF($F$21:$F$50,"Total direct expenditure ",AA$21:AA$50)</f>
        <v>0</v>
      </c>
      <c r="AB51" s="708">
        <f t="shared" si="26"/>
        <v>0</v>
      </c>
      <c r="AC51" s="708">
        <f t="shared" si="26"/>
        <v>0</v>
      </c>
      <c r="AD51" s="709">
        <f t="shared" si="26"/>
        <v>0</v>
      </c>
      <c r="AE51" s="1418">
        <f t="shared" si="26"/>
        <v>0</v>
      </c>
      <c r="AF51" s="708">
        <f t="shared" si="26"/>
        <v>0</v>
      </c>
      <c r="AG51" s="2176">
        <f t="shared" si="26"/>
        <v>0</v>
      </c>
    </row>
    <row r="52" spans="1:34">
      <c r="D52" s="308"/>
      <c r="E52" s="3824"/>
      <c r="F52" s="1701" t="s">
        <v>655</v>
      </c>
      <c r="G52" s="714">
        <f>SUMIF($F$21:$F$50,"Total overhead expenditure",G$21:G$50)</f>
        <v>0</v>
      </c>
      <c r="H52" s="708">
        <f t="shared" ref="H52:U52" si="27">SUMIF($F$21:$F$50,"Total overhead expenditure",H$21:H$50)</f>
        <v>0</v>
      </c>
      <c r="I52" s="708">
        <f t="shared" si="27"/>
        <v>0</v>
      </c>
      <c r="J52" s="708">
        <f t="shared" si="27"/>
        <v>0</v>
      </c>
      <c r="K52" s="709">
        <f t="shared" si="27"/>
        <v>0</v>
      </c>
      <c r="L52" s="1418">
        <f t="shared" si="27"/>
        <v>0</v>
      </c>
      <c r="M52" s="708">
        <f t="shared" si="27"/>
        <v>0</v>
      </c>
      <c r="N52" s="708">
        <f t="shared" si="27"/>
        <v>0</v>
      </c>
      <c r="O52" s="708">
        <f t="shared" si="27"/>
        <v>0</v>
      </c>
      <c r="P52" s="708">
        <f t="shared" si="27"/>
        <v>0</v>
      </c>
      <c r="Q52" s="714">
        <f t="shared" si="27"/>
        <v>0</v>
      </c>
      <c r="R52" s="708">
        <f t="shared" si="27"/>
        <v>0</v>
      </c>
      <c r="S52" s="708">
        <f t="shared" si="27"/>
        <v>0</v>
      </c>
      <c r="T52" s="708">
        <f t="shared" si="27"/>
        <v>0</v>
      </c>
      <c r="U52" s="709">
        <f t="shared" si="27"/>
        <v>0</v>
      </c>
      <c r="V52" s="707"/>
      <c r="Z52" s="1418">
        <f>SUMIF($F$21:$F$50,"Total overhead expenditure",Z$21:Z$50)</f>
        <v>0</v>
      </c>
      <c r="AA52" s="708">
        <f t="shared" ref="AA52:AG52" si="28">SUMIF($F$21:$F$50,"Total overhead expenditure",AA$21:AA$50)</f>
        <v>0</v>
      </c>
      <c r="AB52" s="708">
        <f t="shared" si="28"/>
        <v>0</v>
      </c>
      <c r="AC52" s="708">
        <f t="shared" si="28"/>
        <v>0</v>
      </c>
      <c r="AD52" s="709">
        <f t="shared" si="28"/>
        <v>0</v>
      </c>
      <c r="AE52" s="1418">
        <f t="shared" si="28"/>
        <v>0</v>
      </c>
      <c r="AF52" s="708">
        <f t="shared" si="28"/>
        <v>0</v>
      </c>
      <c r="AG52" s="2176">
        <f t="shared" si="28"/>
        <v>0</v>
      </c>
    </row>
    <row r="53" spans="1:34">
      <c r="D53" s="308"/>
      <c r="E53" s="3824"/>
      <c r="F53" s="1701" t="s">
        <v>617</v>
      </c>
      <c r="G53" s="714">
        <f>SUMIF($F$21:$F$50,"Related party margin expenditure",G$21:G$50)</f>
        <v>0</v>
      </c>
      <c r="H53" s="708">
        <f t="shared" ref="H53:U53" si="29">SUMIF($F$21:$F$50,"Related party margin expenditure",H$21:H$50)</f>
        <v>0</v>
      </c>
      <c r="I53" s="708">
        <f t="shared" si="29"/>
        <v>0</v>
      </c>
      <c r="J53" s="708">
        <f t="shared" si="29"/>
        <v>0</v>
      </c>
      <c r="K53" s="709">
        <f t="shared" si="29"/>
        <v>0</v>
      </c>
      <c r="L53" s="1418">
        <f t="shared" si="29"/>
        <v>0</v>
      </c>
      <c r="M53" s="708">
        <f t="shared" si="29"/>
        <v>0</v>
      </c>
      <c r="N53" s="708">
        <f t="shared" si="29"/>
        <v>0</v>
      </c>
      <c r="O53" s="708">
        <f t="shared" si="29"/>
        <v>0</v>
      </c>
      <c r="P53" s="708">
        <f t="shared" si="29"/>
        <v>0</v>
      </c>
      <c r="Q53" s="714">
        <f t="shared" si="29"/>
        <v>0</v>
      </c>
      <c r="R53" s="708">
        <f t="shared" si="29"/>
        <v>0</v>
      </c>
      <c r="S53" s="708">
        <f t="shared" si="29"/>
        <v>0</v>
      </c>
      <c r="T53" s="708">
        <f t="shared" si="29"/>
        <v>0</v>
      </c>
      <c r="U53" s="709">
        <f t="shared" si="29"/>
        <v>0</v>
      </c>
      <c r="V53" s="707"/>
      <c r="Z53" s="1418">
        <f>SUMIF($F$21:$F$50,"Related party margin expenditure",Z$21:Z$50)</f>
        <v>0</v>
      </c>
      <c r="AA53" s="708">
        <f t="shared" ref="AA53:AG53" si="30">SUMIF($F$21:$F$50,"Related party margin expenditure",AA$21:AA$50)</f>
        <v>0</v>
      </c>
      <c r="AB53" s="708">
        <f t="shared" si="30"/>
        <v>0</v>
      </c>
      <c r="AC53" s="708">
        <f t="shared" si="30"/>
        <v>0</v>
      </c>
      <c r="AD53" s="709">
        <f t="shared" si="30"/>
        <v>0</v>
      </c>
      <c r="AE53" s="1418">
        <f t="shared" si="30"/>
        <v>0</v>
      </c>
      <c r="AF53" s="708">
        <f t="shared" si="30"/>
        <v>0</v>
      </c>
      <c r="AG53" s="2176">
        <f t="shared" si="30"/>
        <v>0</v>
      </c>
    </row>
    <row r="54" spans="1:34">
      <c r="D54" s="308"/>
      <c r="E54" s="3824"/>
      <c r="F54" s="1771" t="s">
        <v>620</v>
      </c>
      <c r="G54" s="715">
        <f>SUMIF($F$21:$F$50,"Total gross expenditure",G$21:G$50)</f>
        <v>0</v>
      </c>
      <c r="H54" s="710">
        <f t="shared" ref="H54:U54" si="31">SUMIF($F$21:$F$50,"Total gross expenditure",H$21:H$50)</f>
        <v>0</v>
      </c>
      <c r="I54" s="710">
        <f t="shared" si="31"/>
        <v>0</v>
      </c>
      <c r="J54" s="710">
        <f t="shared" si="31"/>
        <v>0</v>
      </c>
      <c r="K54" s="711">
        <f t="shared" si="31"/>
        <v>0</v>
      </c>
      <c r="L54" s="732">
        <f t="shared" si="31"/>
        <v>0</v>
      </c>
      <c r="M54" s="710">
        <f t="shared" si="31"/>
        <v>0</v>
      </c>
      <c r="N54" s="710">
        <f t="shared" si="31"/>
        <v>0</v>
      </c>
      <c r="O54" s="710">
        <f t="shared" si="31"/>
        <v>0</v>
      </c>
      <c r="P54" s="710">
        <f t="shared" si="31"/>
        <v>0</v>
      </c>
      <c r="Q54" s="715">
        <f t="shared" si="31"/>
        <v>0</v>
      </c>
      <c r="R54" s="710">
        <f t="shared" si="31"/>
        <v>0</v>
      </c>
      <c r="S54" s="710">
        <f t="shared" si="31"/>
        <v>0</v>
      </c>
      <c r="T54" s="710">
        <f t="shared" si="31"/>
        <v>0</v>
      </c>
      <c r="U54" s="711">
        <f t="shared" si="31"/>
        <v>0</v>
      </c>
      <c r="V54" s="707"/>
      <c r="Z54" s="732">
        <f>SUMIF($F$21:$F$50,"Total gross expenditure",Z$21:Z$50)</f>
        <v>0</v>
      </c>
      <c r="AA54" s="710">
        <f t="shared" ref="AA54:AG54" si="32">SUMIF($F$21:$F$50,"Total gross expenditure",AA$21:AA$50)</f>
        <v>0</v>
      </c>
      <c r="AB54" s="710">
        <f t="shared" si="32"/>
        <v>0</v>
      </c>
      <c r="AC54" s="710">
        <f t="shared" si="32"/>
        <v>0</v>
      </c>
      <c r="AD54" s="711">
        <f t="shared" si="32"/>
        <v>0</v>
      </c>
      <c r="AE54" s="732">
        <f t="shared" si="32"/>
        <v>0</v>
      </c>
      <c r="AF54" s="710">
        <f t="shared" si="32"/>
        <v>0</v>
      </c>
      <c r="AG54" s="733">
        <f t="shared" si="32"/>
        <v>0</v>
      </c>
    </row>
    <row r="55" spans="1:34">
      <c r="D55" s="308"/>
      <c r="E55" s="3824"/>
      <c r="F55" s="1701" t="s">
        <v>35</v>
      </c>
      <c r="G55" s="714">
        <f>SUMIF($F$21:$F$50,"Less customer contributions",G$21:G$50)</f>
        <v>0</v>
      </c>
      <c r="H55" s="708">
        <f t="shared" ref="H55:U55" si="33">SUMIF($F$21:$F$50,"Less customer contributions",H$21:H$50)</f>
        <v>0</v>
      </c>
      <c r="I55" s="708">
        <f t="shared" si="33"/>
        <v>0</v>
      </c>
      <c r="J55" s="708">
        <f t="shared" si="33"/>
        <v>0</v>
      </c>
      <c r="K55" s="709">
        <f t="shared" si="33"/>
        <v>0</v>
      </c>
      <c r="L55" s="1418">
        <f t="shared" si="33"/>
        <v>0</v>
      </c>
      <c r="M55" s="708">
        <f t="shared" si="33"/>
        <v>0</v>
      </c>
      <c r="N55" s="708">
        <f t="shared" si="33"/>
        <v>0</v>
      </c>
      <c r="O55" s="708">
        <f t="shared" si="33"/>
        <v>0</v>
      </c>
      <c r="P55" s="708">
        <f t="shared" si="33"/>
        <v>0</v>
      </c>
      <c r="Q55" s="714">
        <f t="shared" si="33"/>
        <v>0</v>
      </c>
      <c r="R55" s="708">
        <f t="shared" si="33"/>
        <v>0</v>
      </c>
      <c r="S55" s="708">
        <f t="shared" si="33"/>
        <v>0</v>
      </c>
      <c r="T55" s="708">
        <f t="shared" si="33"/>
        <v>0</v>
      </c>
      <c r="U55" s="709">
        <f t="shared" si="33"/>
        <v>0</v>
      </c>
      <c r="V55" s="707"/>
      <c r="Z55" s="1418">
        <f>SUMIF($F$21:$F$50,"Less customer contributions",Z$21:Z$50)</f>
        <v>0</v>
      </c>
      <c r="AA55" s="708">
        <f t="shared" ref="AA55:AG55" si="34">SUMIF($F$21:$F$50,"Less customer contributions",AA$21:AA$50)</f>
        <v>0</v>
      </c>
      <c r="AB55" s="708">
        <f t="shared" si="34"/>
        <v>0</v>
      </c>
      <c r="AC55" s="708">
        <f t="shared" si="34"/>
        <v>0</v>
      </c>
      <c r="AD55" s="709">
        <f t="shared" si="34"/>
        <v>0</v>
      </c>
      <c r="AE55" s="1418">
        <f t="shared" si="34"/>
        <v>0</v>
      </c>
      <c r="AF55" s="708">
        <f t="shared" si="34"/>
        <v>0</v>
      </c>
      <c r="AG55" s="2176">
        <f t="shared" si="34"/>
        <v>0</v>
      </c>
    </row>
    <row r="56" spans="1:34" ht="13.5" thickBot="1">
      <c r="D56" s="308"/>
      <c r="E56" s="3825"/>
      <c r="F56" s="1772" t="s">
        <v>657</v>
      </c>
      <c r="G56" s="716">
        <f>SUMIF($F$21:$F$50,"Total net expenditure",G$21:G$50)</f>
        <v>0</v>
      </c>
      <c r="H56" s="712">
        <f t="shared" ref="H56:U56" si="35">SUMIF($F$21:$F$50,"Total net expenditure",H$21:H$50)</f>
        <v>0</v>
      </c>
      <c r="I56" s="712">
        <f t="shared" si="35"/>
        <v>0</v>
      </c>
      <c r="J56" s="712">
        <f t="shared" si="35"/>
        <v>0</v>
      </c>
      <c r="K56" s="713">
        <f t="shared" si="35"/>
        <v>0</v>
      </c>
      <c r="L56" s="734">
        <f t="shared" si="35"/>
        <v>0</v>
      </c>
      <c r="M56" s="735">
        <f t="shared" si="35"/>
        <v>0</v>
      </c>
      <c r="N56" s="735">
        <f t="shared" si="35"/>
        <v>0</v>
      </c>
      <c r="O56" s="735">
        <f t="shared" si="35"/>
        <v>0</v>
      </c>
      <c r="P56" s="735">
        <f t="shared" si="35"/>
        <v>0</v>
      </c>
      <c r="Q56" s="716">
        <f t="shared" si="35"/>
        <v>0</v>
      </c>
      <c r="R56" s="712">
        <f t="shared" si="35"/>
        <v>0</v>
      </c>
      <c r="S56" s="712">
        <f t="shared" si="35"/>
        <v>0</v>
      </c>
      <c r="T56" s="712">
        <f t="shared" si="35"/>
        <v>0</v>
      </c>
      <c r="U56" s="713">
        <f t="shared" si="35"/>
        <v>0</v>
      </c>
      <c r="V56" s="707"/>
      <c r="Z56" s="2177">
        <f>SUMIF($F$21:$F$50,"Total net expenditure",Z$21:Z$50)</f>
        <v>0</v>
      </c>
      <c r="AA56" s="712">
        <f t="shared" ref="AA56:AG56" si="36">SUMIF($F$21:$F$50,"Total net expenditure",AA$21:AA$50)</f>
        <v>0</v>
      </c>
      <c r="AB56" s="712">
        <f t="shared" si="36"/>
        <v>0</v>
      </c>
      <c r="AC56" s="712">
        <f t="shared" si="36"/>
        <v>0</v>
      </c>
      <c r="AD56" s="713">
        <f t="shared" si="36"/>
        <v>0</v>
      </c>
      <c r="AE56" s="2178">
        <f t="shared" si="36"/>
        <v>0</v>
      </c>
      <c r="AF56" s="735">
        <f t="shared" si="36"/>
        <v>0</v>
      </c>
      <c r="AG56" s="737">
        <f t="shared" si="36"/>
        <v>0</v>
      </c>
    </row>
    <row r="57" spans="1:34" s="70" customFormat="1" ht="32.25" customHeight="1" thickBot="1">
      <c r="A57" s="76"/>
      <c r="B57" s="76"/>
      <c r="C57" s="76"/>
      <c r="D57" s="360"/>
      <c r="E57" s="3610" t="s">
        <v>125</v>
      </c>
      <c r="F57" s="3611"/>
      <c r="G57" s="1689"/>
      <c r="H57" s="1690"/>
      <c r="I57" s="1690"/>
      <c r="J57" s="1690"/>
      <c r="K57" s="1690"/>
      <c r="L57" s="1690"/>
      <c r="M57" s="1690"/>
      <c r="N57" s="1690"/>
      <c r="O57" s="1690"/>
      <c r="P57" s="1690"/>
      <c r="Q57" s="1690"/>
      <c r="R57" s="1690"/>
      <c r="S57" s="1690"/>
      <c r="T57" s="1690"/>
      <c r="U57" s="1690"/>
      <c r="V57" s="1691"/>
      <c r="W57"/>
      <c r="X57"/>
      <c r="Y57"/>
      <c r="Z57" s="2179"/>
      <c r="AA57" s="2180"/>
      <c r="AB57" s="2180"/>
      <c r="AC57" s="2180"/>
      <c r="AD57" s="2180"/>
      <c r="AE57" s="2180"/>
      <c r="AF57" s="2180"/>
      <c r="AG57" s="2181"/>
    </row>
    <row r="58" spans="1:34" s="79" customFormat="1" ht="56.25" customHeight="1" thickBot="1">
      <c r="D58" s="308"/>
      <c r="E58" s="83"/>
      <c r="F58" s="83"/>
      <c r="G58" s="83"/>
      <c r="H58" s="83"/>
      <c r="I58" s="83"/>
      <c r="J58" s="83"/>
      <c r="K58" s="83"/>
      <c r="L58" s="83"/>
      <c r="M58" s="83"/>
      <c r="N58" s="83"/>
      <c r="O58" s="83"/>
      <c r="P58" s="83"/>
      <c r="Q58" s="83"/>
      <c r="R58" s="83"/>
      <c r="S58" s="83"/>
      <c r="T58" s="83"/>
      <c r="U58" s="83"/>
      <c r="V58" s="83"/>
      <c r="W58"/>
      <c r="X58"/>
      <c r="Y58"/>
      <c r="Z58" s="83"/>
      <c r="AA58" s="83"/>
      <c r="AB58" s="83"/>
      <c r="AC58" s="83"/>
      <c r="AD58" s="83"/>
      <c r="AE58" s="83"/>
      <c r="AF58" s="83"/>
      <c r="AG58" s="83"/>
    </row>
    <row r="59" spans="1:34" s="229" customFormat="1" ht="24.75" customHeight="1" thickBot="1">
      <c r="A59" s="308"/>
      <c r="B59" s="1576"/>
      <c r="C59" s="1577"/>
      <c r="D59" s="1427"/>
      <c r="E59" s="1576" t="s">
        <v>766</v>
      </c>
      <c r="F59" s="1577"/>
      <c r="G59" s="1577"/>
      <c r="H59" s="1577"/>
      <c r="I59" s="1577"/>
      <c r="J59" s="1577"/>
      <c r="K59" s="1577"/>
      <c r="L59" s="1577"/>
      <c r="M59" s="1577"/>
      <c r="N59" s="1577"/>
      <c r="O59" s="1577"/>
      <c r="P59" s="1578"/>
      <c r="Q59" s="1427"/>
      <c r="R59" s="1427"/>
      <c r="S59" s="1427"/>
      <c r="T59" s="1427"/>
      <c r="U59" s="1427"/>
      <c r="V59" s="1427"/>
      <c r="W59" s="1427"/>
      <c r="X59" s="1427"/>
      <c r="Y59"/>
      <c r="Z59"/>
      <c r="AA59"/>
      <c r="AB59"/>
      <c r="AC59"/>
      <c r="AD59"/>
      <c r="AE59"/>
      <c r="AF59"/>
      <c r="AG59"/>
      <c r="AH59"/>
    </row>
    <row r="60" spans="1:34" ht="15.75" customHeight="1">
      <c r="B60" s="79"/>
      <c r="C60" s="79"/>
      <c r="D60" s="308"/>
      <c r="E60" s="290"/>
      <c r="F60" s="1416"/>
      <c r="G60" s="3620" t="s">
        <v>36</v>
      </c>
      <c r="H60" s="3549"/>
      <c r="I60" s="3549"/>
      <c r="J60" s="3549"/>
      <c r="K60" s="3549"/>
      <c r="L60" s="3602" t="s">
        <v>37</v>
      </c>
      <c r="M60" s="3603"/>
      <c r="N60" s="3603"/>
      <c r="O60" s="3603"/>
      <c r="P60" s="3604"/>
      <c r="Q60" s="139"/>
      <c r="R60" s="842"/>
      <c r="S60" s="842"/>
      <c r="T60" s="842"/>
      <c r="U60" s="842"/>
      <c r="V60" s="842"/>
      <c r="Z60"/>
      <c r="AA60"/>
      <c r="AB60"/>
      <c r="AC60"/>
      <c r="AD60"/>
      <c r="AE60"/>
      <c r="AF60"/>
      <c r="AG60"/>
      <c r="AH60"/>
    </row>
    <row r="61" spans="1:34" ht="30" customHeight="1">
      <c r="B61" s="79"/>
      <c r="C61" s="79"/>
      <c r="D61" s="308"/>
      <c r="E61" s="1434"/>
      <c r="F61" s="1115"/>
      <c r="G61" s="3592" t="str">
        <f>CONCATENATE("$0's, real ",dms_DollarReal)</f>
        <v>$0's, real December 2017</v>
      </c>
      <c r="H61" s="3593"/>
      <c r="I61" s="3593"/>
      <c r="J61" s="3593"/>
      <c r="K61" s="3593"/>
      <c r="L61" s="3593"/>
      <c r="M61" s="3593"/>
      <c r="N61" s="3593"/>
      <c r="O61" s="3593"/>
      <c r="P61" s="3606"/>
      <c r="Q61" s="139"/>
      <c r="R61" s="133"/>
      <c r="S61" s="133"/>
      <c r="T61" s="133"/>
      <c r="U61" s="133"/>
      <c r="V61" s="133"/>
      <c r="Z61"/>
      <c r="AA61"/>
      <c r="AB61"/>
      <c r="AC61"/>
      <c r="AD61"/>
      <c r="AE61"/>
      <c r="AF61"/>
      <c r="AG61"/>
      <c r="AH61"/>
    </row>
    <row r="62" spans="1:34" ht="15">
      <c r="D62" s="308"/>
      <c r="E62" s="1434"/>
      <c r="F62" s="1115"/>
      <c r="G62" s="3592" t="s">
        <v>74</v>
      </c>
      <c r="H62" s="3593"/>
      <c r="I62" s="3593"/>
      <c r="J62" s="3593"/>
      <c r="K62" s="3593"/>
      <c r="L62" s="3593"/>
      <c r="M62" s="3593"/>
      <c r="N62" s="3593"/>
      <c r="O62" s="3593"/>
      <c r="P62" s="3606"/>
      <c r="Q62" s="139"/>
      <c r="R62" s="133"/>
      <c r="S62" s="133"/>
      <c r="T62" s="133"/>
      <c r="U62" s="133"/>
      <c r="V62" s="133"/>
      <c r="Z62"/>
      <c r="AA62"/>
      <c r="AB62"/>
      <c r="AC62"/>
      <c r="AD62"/>
      <c r="AE62"/>
      <c r="AF62"/>
      <c r="AG62"/>
      <c r="AH62"/>
    </row>
    <row r="63" spans="1:34" ht="15.75" thickBot="1">
      <c r="D63" s="308"/>
      <c r="E63" s="583"/>
      <c r="F63" s="1560"/>
      <c r="G63" s="391">
        <f t="array" ref="G63:K63">PRCP</f>
        <v>2008</v>
      </c>
      <c r="H63" s="390">
        <v>2009</v>
      </c>
      <c r="I63" s="390">
        <v>2010</v>
      </c>
      <c r="J63" s="390">
        <v>2011</v>
      </c>
      <c r="K63" s="390">
        <v>2012</v>
      </c>
      <c r="L63" s="392">
        <f>CRCP_y1</f>
        <v>2013</v>
      </c>
      <c r="M63" s="392">
        <f>CRCP_y2</f>
        <v>2014</v>
      </c>
      <c r="N63" s="392">
        <f>CRCP_y3</f>
        <v>2015</v>
      </c>
      <c r="O63" s="392">
        <f>CRCP_y4</f>
        <v>2016</v>
      </c>
      <c r="P63" s="603">
        <f>CRCP_y5</f>
        <v>2017</v>
      </c>
      <c r="Q63" s="139"/>
      <c r="R63" s="133"/>
      <c r="S63" s="133"/>
      <c r="T63" s="133"/>
      <c r="U63" s="133"/>
      <c r="V63" s="133"/>
      <c r="Z63"/>
      <c r="AA63"/>
      <c r="AB63"/>
      <c r="AC63"/>
      <c r="AD63"/>
      <c r="AE63"/>
      <c r="AF63"/>
      <c r="AG63"/>
      <c r="AH63"/>
    </row>
    <row r="64" spans="1:34" s="79" customFormat="1" ht="18" customHeight="1">
      <c r="D64" s="308"/>
      <c r="E64" s="3820" t="s">
        <v>89</v>
      </c>
      <c r="F64" s="1016" t="s">
        <v>634</v>
      </c>
      <c r="G64" s="525"/>
      <c r="H64" s="523"/>
      <c r="I64" s="523"/>
      <c r="J64" s="523"/>
      <c r="K64" s="591"/>
      <c r="L64" s="426"/>
      <c r="M64" s="427"/>
      <c r="N64" s="427"/>
      <c r="O64" s="427"/>
      <c r="P64" s="1260"/>
      <c r="Q64" s="136"/>
      <c r="R64" s="136"/>
      <c r="S64" s="136"/>
      <c r="T64" s="136"/>
      <c r="U64" s="136"/>
      <c r="V64" s="136"/>
      <c r="W64"/>
      <c r="X64"/>
      <c r="Y64"/>
      <c r="Z64"/>
      <c r="AA64"/>
      <c r="AB64"/>
      <c r="AC64"/>
      <c r="AD64"/>
      <c r="AE64"/>
      <c r="AF64"/>
      <c r="AG64"/>
      <c r="AH64"/>
    </row>
    <row r="65" spans="2:34" s="529" customFormat="1">
      <c r="B65" s="79"/>
      <c r="C65" s="79"/>
      <c r="D65" s="308"/>
      <c r="E65" s="3821"/>
      <c r="F65" s="575" t="s">
        <v>595</v>
      </c>
      <c r="G65" s="525"/>
      <c r="H65" s="523"/>
      <c r="I65" s="523"/>
      <c r="J65" s="523"/>
      <c r="K65" s="591"/>
      <c r="L65" s="514"/>
      <c r="M65" s="513"/>
      <c r="N65" s="513"/>
      <c r="O65" s="513"/>
      <c r="P65" s="515"/>
      <c r="Q65" s="510"/>
      <c r="R65" s="510"/>
      <c r="S65" s="510"/>
      <c r="T65" s="510"/>
      <c r="U65" s="510"/>
      <c r="V65" s="510"/>
      <c r="W65"/>
      <c r="X65"/>
      <c r="Y65"/>
      <c r="Z65"/>
      <c r="AA65"/>
      <c r="AB65"/>
      <c r="AC65"/>
      <c r="AD65"/>
      <c r="AE65"/>
      <c r="AF65"/>
      <c r="AG65"/>
      <c r="AH65"/>
    </row>
    <row r="66" spans="2:34" s="529" customFormat="1">
      <c r="D66" s="308"/>
      <c r="E66" s="3821"/>
      <c r="F66" s="575" t="s">
        <v>594</v>
      </c>
      <c r="G66" s="525"/>
      <c r="H66" s="523"/>
      <c r="I66" s="523"/>
      <c r="J66" s="523"/>
      <c r="K66" s="591"/>
      <c r="L66" s="514"/>
      <c r="M66" s="513"/>
      <c r="N66" s="513"/>
      <c r="O66" s="513"/>
      <c r="P66" s="515"/>
      <c r="Q66" s="510"/>
      <c r="R66" s="510"/>
      <c r="S66" s="510"/>
      <c r="T66" s="510"/>
      <c r="U66" s="510"/>
      <c r="V66" s="510"/>
      <c r="W66"/>
      <c r="X66"/>
      <c r="Y66"/>
      <c r="Z66"/>
      <c r="AA66"/>
      <c r="AB66"/>
      <c r="AC66"/>
      <c r="AD66"/>
      <c r="AE66"/>
      <c r="AF66"/>
      <c r="AG66"/>
      <c r="AH66"/>
    </row>
    <row r="67" spans="2:34" s="529" customFormat="1">
      <c r="D67" s="308"/>
      <c r="E67" s="3821"/>
      <c r="F67" s="575" t="s">
        <v>600</v>
      </c>
      <c r="G67" s="525"/>
      <c r="H67" s="523"/>
      <c r="I67" s="523"/>
      <c r="J67" s="523"/>
      <c r="K67" s="591"/>
      <c r="L67" s="514"/>
      <c r="M67" s="513"/>
      <c r="N67" s="513"/>
      <c r="O67" s="513"/>
      <c r="P67" s="515"/>
      <c r="Q67" s="510"/>
      <c r="R67" s="510"/>
      <c r="S67" s="510"/>
      <c r="T67" s="510"/>
      <c r="U67" s="510"/>
      <c r="V67" s="510"/>
      <c r="W67"/>
      <c r="X67"/>
      <c r="Y67"/>
      <c r="Z67"/>
      <c r="AA67"/>
      <c r="AB67"/>
      <c r="AC67"/>
      <c r="AD67"/>
      <c r="AE67"/>
      <c r="AF67"/>
      <c r="AG67"/>
      <c r="AH67"/>
    </row>
    <row r="68" spans="2:34" s="529" customFormat="1">
      <c r="D68" s="308"/>
      <c r="E68" s="3821"/>
      <c r="F68" s="576" t="s">
        <v>602</v>
      </c>
      <c r="G68" s="514"/>
      <c r="H68" s="513"/>
      <c r="I68" s="513"/>
      <c r="J68" s="513"/>
      <c r="K68" s="515"/>
      <c r="L68" s="401">
        <f t="shared" ref="L68:P68" si="37">SUM(L65:L67)</f>
        <v>0</v>
      </c>
      <c r="M68" s="402">
        <f t="shared" si="37"/>
        <v>0</v>
      </c>
      <c r="N68" s="402">
        <f t="shared" si="37"/>
        <v>0</v>
      </c>
      <c r="O68" s="402">
        <f t="shared" si="37"/>
        <v>0</v>
      </c>
      <c r="P68" s="505">
        <f t="shared" si="37"/>
        <v>0</v>
      </c>
      <c r="Q68" s="510"/>
      <c r="R68" s="510"/>
      <c r="S68" s="510"/>
      <c r="T68" s="510"/>
      <c r="U68" s="510"/>
      <c r="V68" s="510"/>
      <c r="W68"/>
      <c r="X68"/>
      <c r="Y68"/>
      <c r="Z68"/>
      <c r="AA68"/>
      <c r="AB68"/>
      <c r="AC68"/>
      <c r="AD68"/>
      <c r="AE68"/>
      <c r="AF68"/>
      <c r="AG68"/>
      <c r="AH68"/>
    </row>
    <row r="69" spans="2:34" s="529" customFormat="1">
      <c r="D69" s="308"/>
      <c r="E69" s="3821"/>
      <c r="F69" s="575" t="s">
        <v>619</v>
      </c>
      <c r="G69" s="514"/>
      <c r="H69" s="513"/>
      <c r="I69" s="513"/>
      <c r="J69" s="513"/>
      <c r="K69" s="515"/>
      <c r="L69" s="569"/>
      <c r="M69" s="570"/>
      <c r="N69" s="570"/>
      <c r="O69" s="570"/>
      <c r="P69" s="608"/>
      <c r="Q69" s="510"/>
      <c r="R69" s="510"/>
      <c r="S69" s="510"/>
      <c r="T69" s="510"/>
      <c r="U69" s="510"/>
      <c r="V69" s="510"/>
      <c r="W69"/>
      <c r="X69"/>
      <c r="Y69"/>
      <c r="Z69"/>
      <c r="AA69"/>
      <c r="AB69"/>
      <c r="AC69"/>
      <c r="AD69"/>
      <c r="AE69"/>
      <c r="AF69"/>
      <c r="AG69"/>
      <c r="AH69"/>
    </row>
    <row r="70" spans="2:34" s="529" customFormat="1">
      <c r="D70" s="308"/>
      <c r="E70" s="3821"/>
      <c r="F70" s="575" t="s">
        <v>617</v>
      </c>
      <c r="G70" s="514"/>
      <c r="H70" s="513"/>
      <c r="I70" s="513"/>
      <c r="J70" s="513"/>
      <c r="K70" s="515"/>
      <c r="L70" s="517"/>
      <c r="M70" s="518"/>
      <c r="N70" s="518"/>
      <c r="O70" s="518"/>
      <c r="P70" s="519"/>
      <c r="Q70" s="510"/>
      <c r="R70" s="510"/>
      <c r="S70" s="510"/>
      <c r="T70" s="510"/>
      <c r="U70" s="510"/>
      <c r="V70" s="510"/>
      <c r="W70"/>
      <c r="X70"/>
      <c r="Y70"/>
      <c r="Z70"/>
      <c r="AA70"/>
      <c r="AB70"/>
      <c r="AC70"/>
      <c r="AD70"/>
      <c r="AE70"/>
      <c r="AF70"/>
      <c r="AG70"/>
      <c r="AH70"/>
    </row>
    <row r="71" spans="2:34" s="529" customFormat="1">
      <c r="D71" s="308"/>
      <c r="E71" s="3821"/>
      <c r="F71" s="576" t="s">
        <v>620</v>
      </c>
      <c r="G71" s="401">
        <f t="shared" ref="G71:P71" si="38">SUM(G69:G70)</f>
        <v>0</v>
      </c>
      <c r="H71" s="402">
        <f t="shared" si="38"/>
        <v>0</v>
      </c>
      <c r="I71" s="402">
        <f t="shared" si="38"/>
        <v>0</v>
      </c>
      <c r="J71" s="402">
        <f t="shared" si="38"/>
        <v>0</v>
      </c>
      <c r="K71" s="505">
        <f t="shared" si="38"/>
        <v>0</v>
      </c>
      <c r="L71" s="401">
        <f t="shared" si="38"/>
        <v>0</v>
      </c>
      <c r="M71" s="402">
        <f t="shared" si="38"/>
        <v>0</v>
      </c>
      <c r="N71" s="402">
        <f t="shared" si="38"/>
        <v>0</v>
      </c>
      <c r="O71" s="402">
        <f t="shared" si="38"/>
        <v>0</v>
      </c>
      <c r="P71" s="505">
        <f t="shared" si="38"/>
        <v>0</v>
      </c>
      <c r="Q71" s="510"/>
      <c r="R71" s="510"/>
      <c r="S71" s="510"/>
      <c r="T71" s="510"/>
      <c r="U71" s="510"/>
      <c r="V71" s="510"/>
      <c r="W71"/>
      <c r="X71"/>
      <c r="Y71"/>
      <c r="Z71"/>
      <c r="AA71"/>
      <c r="AB71"/>
      <c r="AC71"/>
      <c r="AD71"/>
      <c r="AE71"/>
      <c r="AF71"/>
      <c r="AG71"/>
      <c r="AH71"/>
    </row>
    <row r="72" spans="2:34" s="529" customFormat="1">
      <c r="D72" s="308"/>
      <c r="E72" s="3821"/>
      <c r="F72" s="575" t="s">
        <v>35</v>
      </c>
      <c r="G72" s="514"/>
      <c r="H72" s="513"/>
      <c r="I72" s="513"/>
      <c r="J72" s="513"/>
      <c r="K72" s="515"/>
      <c r="L72" s="514"/>
      <c r="M72" s="513"/>
      <c r="N72" s="513"/>
      <c r="O72" s="513"/>
      <c r="P72" s="515"/>
      <c r="Q72" s="510"/>
      <c r="R72" s="510"/>
      <c r="S72" s="510"/>
      <c r="T72" s="510"/>
      <c r="U72" s="510"/>
      <c r="V72" s="510"/>
      <c r="W72"/>
      <c r="X72"/>
      <c r="Y72"/>
      <c r="Z72"/>
      <c r="AA72"/>
      <c r="AB72"/>
      <c r="AC72"/>
      <c r="AD72"/>
      <c r="AE72"/>
      <c r="AF72"/>
      <c r="AG72"/>
      <c r="AH72"/>
    </row>
    <row r="73" spans="2:34" s="529" customFormat="1" ht="13.5" thickBot="1">
      <c r="D73" s="308"/>
      <c r="E73" s="3822"/>
      <c r="F73" s="1753" t="s">
        <v>621</v>
      </c>
      <c r="G73" s="404">
        <f t="shared" ref="G73:P73" si="39">G71-G72</f>
        <v>0</v>
      </c>
      <c r="H73" s="405">
        <f t="shared" si="39"/>
        <v>0</v>
      </c>
      <c r="I73" s="405">
        <f t="shared" si="39"/>
        <v>0</v>
      </c>
      <c r="J73" s="405">
        <f t="shared" si="39"/>
        <v>0</v>
      </c>
      <c r="K73" s="560">
        <f t="shared" si="39"/>
        <v>0</v>
      </c>
      <c r="L73" s="404">
        <f t="shared" ref="L73" si="40">L71-L72</f>
        <v>0</v>
      </c>
      <c r="M73" s="405">
        <f t="shared" si="39"/>
        <v>0</v>
      </c>
      <c r="N73" s="405">
        <f t="shared" si="39"/>
        <v>0</v>
      </c>
      <c r="O73" s="405">
        <f t="shared" si="39"/>
        <v>0</v>
      </c>
      <c r="P73" s="560">
        <f t="shared" si="39"/>
        <v>0</v>
      </c>
      <c r="Q73" s="510"/>
      <c r="R73" s="510"/>
      <c r="S73" s="510"/>
      <c r="T73" s="510"/>
      <c r="U73" s="510"/>
      <c r="V73" s="510"/>
      <c r="W73"/>
      <c r="X73"/>
      <c r="Y73"/>
      <c r="Z73"/>
      <c r="AA73"/>
      <c r="AB73"/>
      <c r="AC73"/>
      <c r="AD73"/>
      <c r="AE73"/>
      <c r="AF73"/>
      <c r="AG73"/>
      <c r="AH73"/>
    </row>
    <row r="74" spans="2:34" s="229" customFormat="1">
      <c r="D74" s="308"/>
      <c r="E74" s="3820" t="s">
        <v>89</v>
      </c>
      <c r="F74" s="1016" t="s">
        <v>634</v>
      </c>
      <c r="G74" s="588"/>
      <c r="H74" s="589"/>
      <c r="I74" s="589"/>
      <c r="J74" s="589"/>
      <c r="K74" s="590"/>
      <c r="L74" s="599"/>
      <c r="M74" s="600"/>
      <c r="N74" s="600"/>
      <c r="O74" s="600"/>
      <c r="P74" s="601"/>
      <c r="Q74" s="136"/>
      <c r="R74" s="136"/>
      <c r="S74" s="136"/>
      <c r="T74" s="136"/>
      <c r="U74" s="136"/>
      <c r="V74" s="136"/>
      <c r="W74" s="1427"/>
      <c r="X74" s="1427"/>
      <c r="Y74"/>
      <c r="Z74"/>
      <c r="AA74"/>
      <c r="AB74"/>
      <c r="AC74"/>
      <c r="AD74"/>
      <c r="AE74"/>
      <c r="AF74"/>
      <c r="AG74"/>
      <c r="AH74"/>
    </row>
    <row r="75" spans="2:34" s="529" customFormat="1">
      <c r="B75" s="229"/>
      <c r="C75" s="229"/>
      <c r="D75" s="308"/>
      <c r="E75" s="3821"/>
      <c r="F75" s="575" t="s">
        <v>595</v>
      </c>
      <c r="G75" s="525"/>
      <c r="H75" s="523"/>
      <c r="I75" s="523"/>
      <c r="J75" s="523"/>
      <c r="K75" s="591"/>
      <c r="L75" s="514"/>
      <c r="M75" s="513"/>
      <c r="N75" s="513"/>
      <c r="O75" s="513"/>
      <c r="P75" s="515"/>
      <c r="Q75" s="510"/>
      <c r="R75" s="510"/>
      <c r="S75" s="510"/>
      <c r="T75" s="510"/>
      <c r="U75" s="510"/>
      <c r="V75" s="510"/>
      <c r="W75" s="1427"/>
      <c r="X75" s="1427"/>
      <c r="Y75"/>
      <c r="Z75"/>
      <c r="AA75"/>
      <c r="AB75"/>
      <c r="AC75"/>
      <c r="AD75"/>
      <c r="AE75"/>
      <c r="AF75"/>
      <c r="AG75"/>
      <c r="AH75"/>
    </row>
    <row r="76" spans="2:34" s="529" customFormat="1">
      <c r="D76" s="308"/>
      <c r="E76" s="3821"/>
      <c r="F76" s="575" t="s">
        <v>594</v>
      </c>
      <c r="G76" s="525"/>
      <c r="H76" s="523"/>
      <c r="I76" s="523"/>
      <c r="J76" s="523"/>
      <c r="K76" s="591"/>
      <c r="L76" s="514"/>
      <c r="M76" s="513"/>
      <c r="N76" s="513"/>
      <c r="O76" s="513"/>
      <c r="P76" s="515"/>
      <c r="Q76" s="510"/>
      <c r="R76" s="510"/>
      <c r="S76" s="510"/>
      <c r="T76" s="510"/>
      <c r="U76" s="510"/>
      <c r="V76" s="510"/>
      <c r="W76" s="1427"/>
      <c r="X76" s="1427"/>
      <c r="Y76"/>
      <c r="Z76"/>
      <c r="AA76"/>
      <c r="AB76"/>
      <c r="AC76"/>
      <c r="AD76"/>
      <c r="AE76"/>
      <c r="AF76"/>
      <c r="AG76"/>
      <c r="AH76"/>
    </row>
    <row r="77" spans="2:34" s="529" customFormat="1">
      <c r="D77" s="308"/>
      <c r="E77" s="3821"/>
      <c r="F77" s="575" t="s">
        <v>600</v>
      </c>
      <c r="G77" s="525"/>
      <c r="H77" s="523"/>
      <c r="I77" s="523"/>
      <c r="J77" s="523"/>
      <c r="K77" s="591"/>
      <c r="L77" s="514"/>
      <c r="M77" s="513"/>
      <c r="N77" s="513"/>
      <c r="O77" s="513"/>
      <c r="P77" s="515"/>
      <c r="Q77" s="510"/>
      <c r="R77" s="510"/>
      <c r="S77" s="510"/>
      <c r="T77" s="510"/>
      <c r="U77" s="510"/>
      <c r="V77" s="510"/>
      <c r="W77" s="1427"/>
      <c r="X77" s="1427"/>
      <c r="Y77"/>
      <c r="Z77"/>
      <c r="AA77"/>
      <c r="AB77"/>
      <c r="AC77"/>
      <c r="AD77"/>
      <c r="AE77"/>
      <c r="AF77"/>
      <c r="AG77"/>
      <c r="AH77"/>
    </row>
    <row r="78" spans="2:34" s="529" customFormat="1">
      <c r="D78" s="308"/>
      <c r="E78" s="3821"/>
      <c r="F78" s="576" t="s">
        <v>602</v>
      </c>
      <c r="G78" s="514"/>
      <c r="H78" s="513"/>
      <c r="I78" s="513"/>
      <c r="J78" s="513"/>
      <c r="K78" s="515"/>
      <c r="L78" s="401">
        <f t="shared" ref="L78:P78" si="41">SUM(L75:L77)</f>
        <v>0</v>
      </c>
      <c r="M78" s="402">
        <f t="shared" si="41"/>
        <v>0</v>
      </c>
      <c r="N78" s="402">
        <f t="shared" si="41"/>
        <v>0</v>
      </c>
      <c r="O78" s="402">
        <f t="shared" si="41"/>
        <v>0</v>
      </c>
      <c r="P78" s="505">
        <f t="shared" si="41"/>
        <v>0</v>
      </c>
      <c r="Q78" s="510"/>
      <c r="R78" s="510"/>
      <c r="S78" s="510"/>
      <c r="T78" s="510"/>
      <c r="U78" s="510"/>
      <c r="V78" s="510"/>
      <c r="W78" s="1427"/>
      <c r="X78" s="1427"/>
      <c r="Y78"/>
      <c r="Z78"/>
      <c r="AA78"/>
      <c r="AB78"/>
      <c r="AC78"/>
      <c r="AD78"/>
      <c r="AE78"/>
      <c r="AF78"/>
      <c r="AG78"/>
      <c r="AH78"/>
    </row>
    <row r="79" spans="2:34" s="529" customFormat="1">
      <c r="D79" s="308"/>
      <c r="E79" s="3821"/>
      <c r="F79" s="575" t="s">
        <v>619</v>
      </c>
      <c r="G79" s="514"/>
      <c r="H79" s="513"/>
      <c r="I79" s="513"/>
      <c r="J79" s="513"/>
      <c r="K79" s="515"/>
      <c r="L79" s="569"/>
      <c r="M79" s="570"/>
      <c r="N79" s="570"/>
      <c r="O79" s="570"/>
      <c r="P79" s="608"/>
      <c r="Q79" s="510"/>
      <c r="R79" s="510"/>
      <c r="S79" s="510"/>
      <c r="T79" s="510"/>
      <c r="U79" s="510"/>
      <c r="V79" s="510"/>
      <c r="W79" s="1427"/>
      <c r="X79" s="1427"/>
      <c r="Y79"/>
      <c r="Z79"/>
      <c r="AA79"/>
      <c r="AB79"/>
      <c r="AC79"/>
      <c r="AD79"/>
      <c r="AE79"/>
      <c r="AF79"/>
      <c r="AG79"/>
      <c r="AH79"/>
    </row>
    <row r="80" spans="2:34" s="529" customFormat="1">
      <c r="D80" s="308"/>
      <c r="E80" s="3821"/>
      <c r="F80" s="575" t="s">
        <v>617</v>
      </c>
      <c r="G80" s="514"/>
      <c r="H80" s="513"/>
      <c r="I80" s="513"/>
      <c r="J80" s="513"/>
      <c r="K80" s="515"/>
      <c r="L80" s="517"/>
      <c r="M80" s="518"/>
      <c r="N80" s="518"/>
      <c r="O80" s="518"/>
      <c r="P80" s="519"/>
      <c r="Q80" s="510"/>
      <c r="R80" s="510"/>
      <c r="S80" s="510"/>
      <c r="T80" s="510"/>
      <c r="U80" s="510"/>
      <c r="V80" s="510"/>
      <c r="W80" s="1427"/>
      <c r="X80" s="1427"/>
      <c r="Y80"/>
      <c r="Z80"/>
      <c r="AA80"/>
      <c r="AB80"/>
      <c r="AC80"/>
      <c r="AD80"/>
      <c r="AE80"/>
      <c r="AF80"/>
      <c r="AG80"/>
      <c r="AH80"/>
    </row>
    <row r="81" spans="2:34" s="529" customFormat="1">
      <c r="D81" s="308"/>
      <c r="E81" s="3821"/>
      <c r="F81" s="576" t="s">
        <v>620</v>
      </c>
      <c r="G81" s="401">
        <f t="shared" ref="G81:P81" si="42">SUM(G79:G80)</f>
        <v>0</v>
      </c>
      <c r="H81" s="402">
        <f t="shared" si="42"/>
        <v>0</v>
      </c>
      <c r="I81" s="402">
        <f t="shared" si="42"/>
        <v>0</v>
      </c>
      <c r="J81" s="402">
        <f t="shared" si="42"/>
        <v>0</v>
      </c>
      <c r="K81" s="505">
        <f t="shared" si="42"/>
        <v>0</v>
      </c>
      <c r="L81" s="401">
        <f t="shared" si="42"/>
        <v>0</v>
      </c>
      <c r="M81" s="402">
        <f t="shared" si="42"/>
        <v>0</v>
      </c>
      <c r="N81" s="402">
        <f t="shared" si="42"/>
        <v>0</v>
      </c>
      <c r="O81" s="402">
        <f t="shared" si="42"/>
        <v>0</v>
      </c>
      <c r="P81" s="505">
        <f t="shared" si="42"/>
        <v>0</v>
      </c>
      <c r="Q81" s="510"/>
      <c r="R81" s="510"/>
      <c r="S81" s="510"/>
      <c r="T81" s="510"/>
      <c r="U81" s="510"/>
      <c r="V81" s="510"/>
      <c r="W81" s="1427"/>
      <c r="X81" s="1427"/>
      <c r="Y81"/>
      <c r="Z81"/>
      <c r="AA81"/>
      <c r="AB81"/>
      <c r="AC81"/>
      <c r="AD81"/>
      <c r="AE81"/>
      <c r="AF81"/>
      <c r="AG81"/>
      <c r="AH81"/>
    </row>
    <row r="82" spans="2:34" s="529" customFormat="1">
      <c r="D82" s="308"/>
      <c r="E82" s="3821"/>
      <c r="F82" s="575" t="s">
        <v>35</v>
      </c>
      <c r="G82" s="514"/>
      <c r="H82" s="513"/>
      <c r="I82" s="513"/>
      <c r="J82" s="513"/>
      <c r="K82" s="515"/>
      <c r="L82" s="514"/>
      <c r="M82" s="513"/>
      <c r="N82" s="513"/>
      <c r="O82" s="513"/>
      <c r="P82" s="515"/>
      <c r="Q82" s="510"/>
      <c r="R82" s="510"/>
      <c r="S82" s="510"/>
      <c r="T82" s="510"/>
      <c r="U82" s="510"/>
      <c r="V82" s="510"/>
      <c r="W82" s="1427"/>
      <c r="X82" s="1427"/>
      <c r="Y82"/>
      <c r="Z82"/>
      <c r="AA82"/>
      <c r="AB82"/>
      <c r="AC82"/>
      <c r="AD82"/>
      <c r="AE82"/>
      <c r="AF82"/>
      <c r="AG82"/>
      <c r="AH82"/>
    </row>
    <row r="83" spans="2:34" s="529" customFormat="1" ht="13.5" thickBot="1">
      <c r="D83" s="308"/>
      <c r="E83" s="3822"/>
      <c r="F83" s="1753" t="s">
        <v>621</v>
      </c>
      <c r="G83" s="738">
        <f t="shared" ref="G83:P83" si="43">G81-G82</f>
        <v>0</v>
      </c>
      <c r="H83" s="739">
        <f t="shared" si="43"/>
        <v>0</v>
      </c>
      <c r="I83" s="739">
        <f t="shared" si="43"/>
        <v>0</v>
      </c>
      <c r="J83" s="739">
        <f t="shared" si="43"/>
        <v>0</v>
      </c>
      <c r="K83" s="740">
        <f t="shared" si="43"/>
        <v>0</v>
      </c>
      <c r="L83" s="738">
        <f t="shared" si="43"/>
        <v>0</v>
      </c>
      <c r="M83" s="739">
        <f t="shared" si="43"/>
        <v>0</v>
      </c>
      <c r="N83" s="739">
        <f t="shared" si="43"/>
        <v>0</v>
      </c>
      <c r="O83" s="739">
        <f t="shared" si="43"/>
        <v>0</v>
      </c>
      <c r="P83" s="740">
        <f t="shared" si="43"/>
        <v>0</v>
      </c>
      <c r="Q83" s="510"/>
      <c r="R83" s="510"/>
      <c r="S83" s="510"/>
      <c r="T83" s="510"/>
      <c r="U83" s="510"/>
      <c r="V83" s="510"/>
      <c r="W83" s="1427"/>
      <c r="X83" s="1427"/>
      <c r="Y83"/>
      <c r="Z83"/>
      <c r="AA83"/>
      <c r="AB83"/>
      <c r="AC83"/>
      <c r="AD83"/>
      <c r="AE83"/>
      <c r="AF83"/>
      <c r="AG83"/>
      <c r="AH83"/>
    </row>
    <row r="84" spans="2:34" s="79" customFormat="1">
      <c r="D84" s="308"/>
      <c r="E84" s="3820" t="s">
        <v>89</v>
      </c>
      <c r="F84" s="1016" t="s">
        <v>634</v>
      </c>
      <c r="G84" s="588"/>
      <c r="H84" s="589"/>
      <c r="I84" s="589"/>
      <c r="J84" s="589"/>
      <c r="K84" s="590"/>
      <c r="L84" s="599"/>
      <c r="M84" s="600"/>
      <c r="N84" s="600"/>
      <c r="O84" s="600"/>
      <c r="P84" s="601"/>
      <c r="Q84" s="136"/>
      <c r="R84" s="136"/>
      <c r="S84" s="136"/>
      <c r="T84" s="136"/>
      <c r="U84" s="136"/>
      <c r="V84" s="136"/>
      <c r="W84"/>
      <c r="X84"/>
      <c r="Y84"/>
      <c r="Z84"/>
      <c r="AA84"/>
      <c r="AB84"/>
      <c r="AC84"/>
      <c r="AD84"/>
      <c r="AE84"/>
      <c r="AF84"/>
      <c r="AG84"/>
      <c r="AH84"/>
    </row>
    <row r="85" spans="2:34" s="529" customFormat="1">
      <c r="B85" s="79"/>
      <c r="C85" s="79"/>
      <c r="D85" s="308"/>
      <c r="E85" s="3821"/>
      <c r="F85" s="575" t="s">
        <v>595</v>
      </c>
      <c r="G85" s="525"/>
      <c r="H85" s="523"/>
      <c r="I85" s="523"/>
      <c r="J85" s="523"/>
      <c r="K85" s="591"/>
      <c r="L85" s="514"/>
      <c r="M85" s="513"/>
      <c r="N85" s="513"/>
      <c r="O85" s="513"/>
      <c r="P85" s="515"/>
      <c r="Q85" s="510"/>
      <c r="R85" s="510"/>
      <c r="S85" s="510"/>
      <c r="T85" s="510"/>
      <c r="U85" s="510"/>
      <c r="V85" s="510"/>
      <c r="W85"/>
      <c r="X85"/>
      <c r="Y85"/>
      <c r="Z85"/>
      <c r="AA85"/>
      <c r="AB85"/>
      <c r="AC85"/>
      <c r="AD85"/>
      <c r="AE85"/>
      <c r="AF85"/>
      <c r="AG85"/>
      <c r="AH85"/>
    </row>
    <row r="86" spans="2:34" s="529" customFormat="1">
      <c r="D86" s="308"/>
      <c r="E86" s="3821"/>
      <c r="F86" s="575" t="s">
        <v>594</v>
      </c>
      <c r="G86" s="525"/>
      <c r="H86" s="523"/>
      <c r="I86" s="523"/>
      <c r="J86" s="523"/>
      <c r="K86" s="591"/>
      <c r="L86" s="514"/>
      <c r="M86" s="513"/>
      <c r="N86" s="513"/>
      <c r="O86" s="513"/>
      <c r="P86" s="515"/>
      <c r="Q86" s="510"/>
      <c r="R86" s="510"/>
      <c r="S86" s="510"/>
      <c r="T86" s="510"/>
      <c r="U86" s="510"/>
      <c r="V86" s="510"/>
      <c r="W86"/>
      <c r="X86"/>
      <c r="Y86"/>
      <c r="Z86"/>
      <c r="AA86"/>
      <c r="AB86"/>
      <c r="AC86"/>
      <c r="AD86"/>
      <c r="AE86"/>
      <c r="AF86"/>
      <c r="AG86"/>
      <c r="AH86"/>
    </row>
    <row r="87" spans="2:34" s="529" customFormat="1">
      <c r="D87" s="308"/>
      <c r="E87" s="3821"/>
      <c r="F87" s="575" t="s">
        <v>600</v>
      </c>
      <c r="G87" s="525"/>
      <c r="H87" s="523"/>
      <c r="I87" s="523"/>
      <c r="J87" s="523"/>
      <c r="K87" s="591"/>
      <c r="L87" s="514"/>
      <c r="M87" s="513"/>
      <c r="N87" s="513"/>
      <c r="O87" s="513"/>
      <c r="P87" s="515"/>
      <c r="Q87" s="510"/>
      <c r="R87" s="510"/>
      <c r="S87" s="510"/>
      <c r="T87" s="510"/>
      <c r="U87" s="510"/>
      <c r="V87" s="510"/>
      <c r="W87"/>
      <c r="X87"/>
      <c r="Y87"/>
      <c r="Z87"/>
      <c r="AA87"/>
      <c r="AB87"/>
      <c r="AC87"/>
      <c r="AD87"/>
      <c r="AE87"/>
      <c r="AF87"/>
      <c r="AG87"/>
      <c r="AH87"/>
    </row>
    <row r="88" spans="2:34" s="529" customFormat="1">
      <c r="D88" s="308"/>
      <c r="E88" s="3821"/>
      <c r="F88" s="576" t="s">
        <v>602</v>
      </c>
      <c r="G88" s="514"/>
      <c r="H88" s="513"/>
      <c r="I88" s="513"/>
      <c r="J88" s="513"/>
      <c r="K88" s="515"/>
      <c r="L88" s="401">
        <f t="shared" ref="L88:P88" si="44">SUM(L85:L87)</f>
        <v>0</v>
      </c>
      <c r="M88" s="402">
        <f t="shared" si="44"/>
        <v>0</v>
      </c>
      <c r="N88" s="402">
        <f t="shared" si="44"/>
        <v>0</v>
      </c>
      <c r="O88" s="402">
        <f t="shared" si="44"/>
        <v>0</v>
      </c>
      <c r="P88" s="505">
        <f t="shared" si="44"/>
        <v>0</v>
      </c>
      <c r="Q88" s="510"/>
      <c r="R88" s="510"/>
      <c r="S88" s="510"/>
      <c r="T88" s="510"/>
      <c r="U88" s="510"/>
      <c r="V88" s="510"/>
      <c r="W88"/>
      <c r="X88"/>
      <c r="Y88"/>
      <c r="Z88"/>
      <c r="AA88"/>
      <c r="AB88"/>
      <c r="AC88"/>
      <c r="AD88"/>
      <c r="AE88"/>
      <c r="AF88"/>
      <c r="AG88"/>
      <c r="AH88"/>
    </row>
    <row r="89" spans="2:34" s="529" customFormat="1">
      <c r="D89" s="308"/>
      <c r="E89" s="3821"/>
      <c r="F89" s="575" t="s">
        <v>619</v>
      </c>
      <c r="G89" s="514"/>
      <c r="H89" s="513"/>
      <c r="I89" s="513"/>
      <c r="J89" s="513"/>
      <c r="K89" s="515"/>
      <c r="L89" s="569"/>
      <c r="M89" s="570"/>
      <c r="N89" s="570"/>
      <c r="O89" s="570"/>
      <c r="P89" s="608"/>
      <c r="Q89" s="510"/>
      <c r="R89" s="510"/>
      <c r="S89" s="510"/>
      <c r="T89" s="510"/>
      <c r="U89" s="510"/>
      <c r="V89" s="510"/>
      <c r="W89"/>
      <c r="X89"/>
      <c r="Y89"/>
      <c r="Z89"/>
      <c r="AA89"/>
      <c r="AB89"/>
      <c r="AC89"/>
      <c r="AD89"/>
      <c r="AE89"/>
      <c r="AF89"/>
      <c r="AG89"/>
      <c r="AH89"/>
    </row>
    <row r="90" spans="2:34" s="529" customFormat="1">
      <c r="D90" s="308"/>
      <c r="E90" s="3821"/>
      <c r="F90" s="575" t="s">
        <v>617</v>
      </c>
      <c r="G90" s="514"/>
      <c r="H90" s="513"/>
      <c r="I90" s="513"/>
      <c r="J90" s="513"/>
      <c r="K90" s="515"/>
      <c r="L90" s="517"/>
      <c r="M90" s="518"/>
      <c r="N90" s="518"/>
      <c r="O90" s="518"/>
      <c r="P90" s="519"/>
      <c r="Q90" s="510"/>
      <c r="R90" s="510"/>
      <c r="S90" s="510"/>
      <c r="T90" s="510"/>
      <c r="U90" s="510"/>
      <c r="V90" s="510"/>
      <c r="W90"/>
      <c r="X90"/>
      <c r="Y90"/>
      <c r="Z90"/>
      <c r="AA90"/>
      <c r="AB90"/>
      <c r="AC90"/>
      <c r="AD90"/>
      <c r="AE90"/>
      <c r="AF90"/>
      <c r="AG90"/>
      <c r="AH90"/>
    </row>
    <row r="91" spans="2:34" s="529" customFormat="1">
      <c r="D91" s="308"/>
      <c r="E91" s="3821"/>
      <c r="F91" s="576" t="s">
        <v>620</v>
      </c>
      <c r="G91" s="401">
        <f t="shared" ref="G91:P91" si="45">SUM(G89:G90)</f>
        <v>0</v>
      </c>
      <c r="H91" s="402">
        <f t="shared" si="45"/>
        <v>0</v>
      </c>
      <c r="I91" s="402">
        <f t="shared" si="45"/>
        <v>0</v>
      </c>
      <c r="J91" s="402">
        <f t="shared" si="45"/>
        <v>0</v>
      </c>
      <c r="K91" s="505">
        <f t="shared" si="45"/>
        <v>0</v>
      </c>
      <c r="L91" s="401">
        <f t="shared" si="45"/>
        <v>0</v>
      </c>
      <c r="M91" s="402">
        <f t="shared" si="45"/>
        <v>0</v>
      </c>
      <c r="N91" s="402">
        <f t="shared" si="45"/>
        <v>0</v>
      </c>
      <c r="O91" s="402">
        <f t="shared" si="45"/>
        <v>0</v>
      </c>
      <c r="P91" s="505">
        <f t="shared" si="45"/>
        <v>0</v>
      </c>
      <c r="Q91" s="510"/>
      <c r="R91" s="510"/>
      <c r="S91" s="510"/>
      <c r="T91" s="510"/>
      <c r="U91" s="510"/>
      <c r="V91" s="510"/>
      <c r="W91"/>
      <c r="X91"/>
      <c r="Y91"/>
      <c r="Z91"/>
      <c r="AA91"/>
      <c r="AB91"/>
      <c r="AC91"/>
      <c r="AD91"/>
      <c r="AE91"/>
      <c r="AF91"/>
      <c r="AG91"/>
      <c r="AH91"/>
    </row>
    <row r="92" spans="2:34" s="529" customFormat="1">
      <c r="D92" s="308"/>
      <c r="E92" s="3821"/>
      <c r="F92" s="575" t="s">
        <v>35</v>
      </c>
      <c r="G92" s="514"/>
      <c r="H92" s="513"/>
      <c r="I92" s="513"/>
      <c r="J92" s="513"/>
      <c r="K92" s="515"/>
      <c r="L92" s="514"/>
      <c r="M92" s="513"/>
      <c r="N92" s="513"/>
      <c r="O92" s="513"/>
      <c r="P92" s="515"/>
      <c r="Q92" s="510"/>
      <c r="R92" s="510"/>
      <c r="S92" s="510"/>
      <c r="T92" s="510"/>
      <c r="U92" s="510"/>
      <c r="V92" s="510"/>
      <c r="W92"/>
      <c r="X92"/>
      <c r="Y92"/>
      <c r="Z92"/>
      <c r="AA92"/>
      <c r="AB92"/>
      <c r="AC92"/>
      <c r="AD92"/>
      <c r="AE92"/>
      <c r="AF92"/>
      <c r="AG92"/>
      <c r="AH92"/>
    </row>
    <row r="93" spans="2:34" s="529" customFormat="1" ht="13.5" thickBot="1">
      <c r="D93" s="308"/>
      <c r="E93" s="3822"/>
      <c r="F93" s="1753" t="s">
        <v>621</v>
      </c>
      <c r="G93" s="738">
        <f t="shared" ref="G93:P93" si="46">G91-G92</f>
        <v>0</v>
      </c>
      <c r="H93" s="739">
        <f t="shared" si="46"/>
        <v>0</v>
      </c>
      <c r="I93" s="739">
        <f t="shared" si="46"/>
        <v>0</v>
      </c>
      <c r="J93" s="739">
        <f t="shared" si="46"/>
        <v>0</v>
      </c>
      <c r="K93" s="740">
        <f t="shared" si="46"/>
        <v>0</v>
      </c>
      <c r="L93" s="738">
        <f t="shared" ref="L93" si="47">L91-L92</f>
        <v>0</v>
      </c>
      <c r="M93" s="739">
        <f t="shared" si="46"/>
        <v>0</v>
      </c>
      <c r="N93" s="739">
        <f t="shared" si="46"/>
        <v>0</v>
      </c>
      <c r="O93" s="739">
        <f t="shared" si="46"/>
        <v>0</v>
      </c>
      <c r="P93" s="740">
        <f t="shared" si="46"/>
        <v>0</v>
      </c>
      <c r="Q93" s="510"/>
      <c r="R93" s="510"/>
      <c r="S93" s="510"/>
      <c r="T93" s="510"/>
      <c r="U93" s="510"/>
      <c r="V93" s="510"/>
      <c r="W93"/>
      <c r="X93"/>
      <c r="Y93"/>
      <c r="Z93"/>
      <c r="AA93"/>
      <c r="AB93"/>
      <c r="AC93"/>
      <c r="AD93"/>
      <c r="AE93"/>
      <c r="AF93"/>
      <c r="AG93"/>
      <c r="AH93"/>
    </row>
    <row r="94" spans="2:34">
      <c r="D94" s="308"/>
      <c r="E94" s="3823" t="s">
        <v>370</v>
      </c>
      <c r="F94" s="1705" t="s">
        <v>615</v>
      </c>
      <c r="G94" s="726">
        <f>SUMIF($F$64:$F$93,"Total direct expenditure ",G$64:G$93)</f>
        <v>0</v>
      </c>
      <c r="H94" s="727">
        <f t="shared" ref="H94:P94" si="48">SUMIF($F$64:$F$93,"Total direct expenditure ",H$64:H$93)</f>
        <v>0</v>
      </c>
      <c r="I94" s="727">
        <f t="shared" si="48"/>
        <v>0</v>
      </c>
      <c r="J94" s="727">
        <f t="shared" si="48"/>
        <v>0</v>
      </c>
      <c r="K94" s="728">
        <f t="shared" si="48"/>
        <v>0</v>
      </c>
      <c r="L94" s="726">
        <f t="shared" si="48"/>
        <v>0</v>
      </c>
      <c r="M94" s="727">
        <f t="shared" si="48"/>
        <v>0</v>
      </c>
      <c r="N94" s="727">
        <f t="shared" si="48"/>
        <v>0</v>
      </c>
      <c r="O94" s="727">
        <f t="shared" si="48"/>
        <v>0</v>
      </c>
      <c r="P94" s="1561">
        <f t="shared" si="48"/>
        <v>0</v>
      </c>
      <c r="Q94" s="136"/>
      <c r="R94" s="136"/>
      <c r="S94" s="136"/>
      <c r="T94" s="136"/>
      <c r="U94" s="136"/>
      <c r="V94" s="136"/>
      <c r="Z94"/>
      <c r="AA94"/>
      <c r="AB94"/>
      <c r="AC94"/>
      <c r="AD94"/>
      <c r="AE94"/>
      <c r="AF94"/>
      <c r="AG94"/>
      <c r="AH94"/>
    </row>
    <row r="95" spans="2:34">
      <c r="D95" s="308"/>
      <c r="E95" s="3824"/>
      <c r="F95" s="1701" t="s">
        <v>655</v>
      </c>
      <c r="G95" s="729">
        <f>SUMIF($F$64:$F$93,"Total overhead expenditure",G$64:G$93)</f>
        <v>0</v>
      </c>
      <c r="H95" s="730">
        <f t="shared" ref="H95:P95" si="49">SUMIF($F$64:$F$93,"Total overhead expenditure",H$64:H$93)</f>
        <v>0</v>
      </c>
      <c r="I95" s="730">
        <f t="shared" si="49"/>
        <v>0</v>
      </c>
      <c r="J95" s="730">
        <f t="shared" si="49"/>
        <v>0</v>
      </c>
      <c r="K95" s="731">
        <f t="shared" si="49"/>
        <v>0</v>
      </c>
      <c r="L95" s="729">
        <f t="shared" si="49"/>
        <v>0</v>
      </c>
      <c r="M95" s="730">
        <f t="shared" si="49"/>
        <v>0</v>
      </c>
      <c r="N95" s="730">
        <f t="shared" si="49"/>
        <v>0</v>
      </c>
      <c r="O95" s="730">
        <f t="shared" si="49"/>
        <v>0</v>
      </c>
      <c r="P95" s="1562">
        <f t="shared" si="49"/>
        <v>0</v>
      </c>
      <c r="Q95" s="123"/>
      <c r="R95" s="24"/>
      <c r="S95" s="24"/>
      <c r="T95" s="24"/>
      <c r="U95" s="24"/>
      <c r="V95" s="24"/>
      <c r="Z95"/>
      <c r="AA95"/>
      <c r="AB95"/>
      <c r="AC95"/>
      <c r="AD95"/>
      <c r="AE95"/>
      <c r="AF95"/>
      <c r="AG95"/>
      <c r="AH95"/>
    </row>
    <row r="96" spans="2:34">
      <c r="D96" s="308"/>
      <c r="E96" s="3824"/>
      <c r="F96" s="1701" t="s">
        <v>617</v>
      </c>
      <c r="G96" s="729">
        <f>SUMIF($F$64:$F$93,"Related party margin expenditure",G$64:G$93)</f>
        <v>0</v>
      </c>
      <c r="H96" s="730">
        <f t="shared" ref="H96:P96" si="50">SUMIF($F$64:$F$93,"Related party margin expenditure",H$64:H$93)</f>
        <v>0</v>
      </c>
      <c r="I96" s="730">
        <f t="shared" si="50"/>
        <v>0</v>
      </c>
      <c r="J96" s="730">
        <f t="shared" si="50"/>
        <v>0</v>
      </c>
      <c r="K96" s="731">
        <f t="shared" si="50"/>
        <v>0</v>
      </c>
      <c r="L96" s="729">
        <f t="shared" si="50"/>
        <v>0</v>
      </c>
      <c r="M96" s="730">
        <f t="shared" si="50"/>
        <v>0</v>
      </c>
      <c r="N96" s="730">
        <f t="shared" si="50"/>
        <v>0</v>
      </c>
      <c r="O96" s="730">
        <f t="shared" si="50"/>
        <v>0</v>
      </c>
      <c r="P96" s="1562">
        <f t="shared" si="50"/>
        <v>0</v>
      </c>
      <c r="Q96" s="24"/>
      <c r="R96" s="24"/>
      <c r="S96" s="24"/>
      <c r="T96" s="24"/>
      <c r="U96" s="24"/>
      <c r="V96" s="24"/>
      <c r="Z96"/>
      <c r="AA96"/>
      <c r="AB96"/>
      <c r="AC96"/>
      <c r="AD96"/>
      <c r="AE96"/>
      <c r="AF96"/>
      <c r="AG96"/>
      <c r="AH96"/>
    </row>
    <row r="97" spans="2:34" s="70" customFormat="1">
      <c r="B97" s="76"/>
      <c r="C97" s="76"/>
      <c r="D97" s="360"/>
      <c r="E97" s="3824"/>
      <c r="F97" s="1771" t="s">
        <v>620</v>
      </c>
      <c r="G97" s="732">
        <f>SUMIF($F$64:$F$93,"Total gross expenditure",G$64:G$93)</f>
        <v>0</v>
      </c>
      <c r="H97" s="710">
        <f t="shared" ref="H97:P97" si="51">SUMIF($F$64:$F$93,"Total gross expenditure",H$64:H$93)</f>
        <v>0</v>
      </c>
      <c r="I97" s="710">
        <f t="shared" si="51"/>
        <v>0</v>
      </c>
      <c r="J97" s="710">
        <f t="shared" si="51"/>
        <v>0</v>
      </c>
      <c r="K97" s="711">
        <f t="shared" si="51"/>
        <v>0</v>
      </c>
      <c r="L97" s="732">
        <f t="shared" si="51"/>
        <v>0</v>
      </c>
      <c r="M97" s="710">
        <f t="shared" si="51"/>
        <v>0</v>
      </c>
      <c r="N97" s="710">
        <f t="shared" si="51"/>
        <v>0</v>
      </c>
      <c r="O97" s="710">
        <f t="shared" si="51"/>
        <v>0</v>
      </c>
      <c r="P97" s="733">
        <f t="shared" si="51"/>
        <v>0</v>
      </c>
      <c r="Q97" s="161"/>
      <c r="R97" s="136"/>
      <c r="S97" s="136"/>
      <c r="T97" s="136"/>
      <c r="U97" s="136"/>
      <c r="V97" s="136"/>
      <c r="W97"/>
      <c r="X97"/>
      <c r="Y97"/>
      <c r="Z97"/>
      <c r="AA97"/>
      <c r="AB97"/>
      <c r="AC97"/>
      <c r="AD97"/>
      <c r="AE97"/>
      <c r="AF97"/>
      <c r="AG97"/>
      <c r="AH97"/>
    </row>
    <row r="98" spans="2:34" s="70" customFormat="1">
      <c r="B98" s="76"/>
      <c r="C98" s="76"/>
      <c r="D98" s="360"/>
      <c r="E98" s="3824"/>
      <c r="F98" s="1701" t="s">
        <v>35</v>
      </c>
      <c r="G98" s="729">
        <f>SUMIF($F$64:$F$93,"Less customer contributions",G$64:G$93)</f>
        <v>0</v>
      </c>
      <c r="H98" s="730">
        <f t="shared" ref="H98:P98" si="52">SUMIF($F$64:$F$93,"Less customer contributions",H$64:H$93)</f>
        <v>0</v>
      </c>
      <c r="I98" s="730">
        <f t="shared" si="52"/>
        <v>0</v>
      </c>
      <c r="J98" s="730">
        <f t="shared" si="52"/>
        <v>0</v>
      </c>
      <c r="K98" s="731">
        <f t="shared" si="52"/>
        <v>0</v>
      </c>
      <c r="L98" s="729">
        <f t="shared" si="52"/>
        <v>0</v>
      </c>
      <c r="M98" s="730">
        <f t="shared" si="52"/>
        <v>0</v>
      </c>
      <c r="N98" s="730">
        <f t="shared" si="52"/>
        <v>0</v>
      </c>
      <c r="O98" s="730">
        <f t="shared" si="52"/>
        <v>0</v>
      </c>
      <c r="P98" s="1562">
        <f t="shared" si="52"/>
        <v>0</v>
      </c>
      <c r="Q98" s="140"/>
      <c r="R98" s="135"/>
      <c r="S98" s="135"/>
      <c r="T98" s="135"/>
      <c r="U98" s="135"/>
      <c r="V98" s="135"/>
      <c r="W98"/>
      <c r="X98"/>
      <c r="Y98"/>
      <c r="Z98"/>
      <c r="AA98"/>
      <c r="AB98"/>
      <c r="AC98"/>
      <c r="AD98"/>
      <c r="AE98"/>
      <c r="AF98"/>
      <c r="AG98"/>
      <c r="AH98"/>
    </row>
    <row r="99" spans="2:34" s="70" customFormat="1" ht="13.5" thickBot="1">
      <c r="B99" s="76"/>
      <c r="C99" s="76"/>
      <c r="D99" s="360"/>
      <c r="E99" s="3825"/>
      <c r="F99" s="1772" t="s">
        <v>657</v>
      </c>
      <c r="G99" s="734">
        <f>SUMIF($F$64:$F$93,"Total net expenditure",G$64:G$93)</f>
        <v>0</v>
      </c>
      <c r="H99" s="735">
        <f t="shared" ref="H99:P99" si="53">SUMIF($F$64:$F$93,"Total net expenditure",H$64:H$93)</f>
        <v>0</v>
      </c>
      <c r="I99" s="735">
        <f t="shared" si="53"/>
        <v>0</v>
      </c>
      <c r="J99" s="735">
        <f t="shared" si="53"/>
        <v>0</v>
      </c>
      <c r="K99" s="736">
        <f t="shared" si="53"/>
        <v>0</v>
      </c>
      <c r="L99" s="734">
        <f t="shared" si="53"/>
        <v>0</v>
      </c>
      <c r="M99" s="735">
        <f t="shared" si="53"/>
        <v>0</v>
      </c>
      <c r="N99" s="735">
        <f t="shared" si="53"/>
        <v>0</v>
      </c>
      <c r="O99" s="735">
        <f t="shared" si="53"/>
        <v>0</v>
      </c>
      <c r="P99" s="737">
        <f t="shared" si="53"/>
        <v>0</v>
      </c>
      <c r="Q99" s="140"/>
      <c r="R99" s="135"/>
      <c r="S99" s="135"/>
      <c r="T99" s="135"/>
      <c r="U99" s="135"/>
      <c r="V99" s="135"/>
      <c r="W99"/>
      <c r="X99"/>
      <c r="Y99"/>
      <c r="Z99"/>
      <c r="AA99"/>
      <c r="AB99"/>
      <c r="AC99"/>
      <c r="AD99"/>
      <c r="AE99"/>
      <c r="AF99"/>
      <c r="AG99"/>
      <c r="AH99"/>
    </row>
    <row r="100" spans="2:34" s="70" customFormat="1" ht="32.25" customHeight="1" thickBot="1">
      <c r="B100" s="76"/>
      <c r="C100" s="76"/>
      <c r="D100" s="360"/>
      <c r="E100" s="3610" t="s">
        <v>125</v>
      </c>
      <c r="F100" s="3611"/>
      <c r="G100" s="3826"/>
      <c r="H100" s="3827"/>
      <c r="I100" s="3827"/>
      <c r="J100" s="3827"/>
      <c r="K100" s="3827"/>
      <c r="L100" s="3827"/>
      <c r="M100" s="3827"/>
      <c r="N100" s="3827"/>
      <c r="O100" s="3827"/>
      <c r="P100" s="3828"/>
      <c r="Q100" s="140"/>
      <c r="R100" s="135"/>
      <c r="S100" s="135"/>
      <c r="T100" s="135"/>
      <c r="U100" s="135"/>
      <c r="V100" s="135"/>
      <c r="W100"/>
      <c r="X100"/>
      <c r="Y100"/>
      <c r="Z100"/>
      <c r="AA100"/>
      <c r="AB100"/>
      <c r="AC100"/>
      <c r="AD100"/>
      <c r="AE100"/>
      <c r="AF100"/>
      <c r="AG100"/>
      <c r="AH100"/>
    </row>
    <row r="101" spans="2:34" s="66" customFormat="1">
      <c r="D101" s="288"/>
      <c r="E101" s="78"/>
      <c r="F101" s="529"/>
      <c r="L101" s="146"/>
      <c r="M101" s="146"/>
      <c r="N101" s="146"/>
      <c r="O101" s="146"/>
      <c r="P101" s="146"/>
      <c r="Q101" s="143"/>
      <c r="R101" s="143"/>
      <c r="S101" s="143"/>
      <c r="T101" s="143"/>
      <c r="U101" s="143"/>
      <c r="V101" s="143"/>
      <c r="W101"/>
      <c r="X101"/>
      <c r="Y101"/>
      <c r="Z101"/>
      <c r="AA101"/>
      <c r="AB101"/>
      <c r="AC101"/>
      <c r="AD101"/>
      <c r="AE101"/>
      <c r="AF101"/>
      <c r="AG101"/>
      <c r="AH101"/>
    </row>
    <row r="102" spans="2:34">
      <c r="Z102"/>
      <c r="AA102"/>
      <c r="AB102"/>
      <c r="AC102"/>
      <c r="AD102"/>
      <c r="AE102"/>
      <c r="AF102"/>
      <c r="AG102"/>
      <c r="AH102"/>
    </row>
  </sheetData>
  <mergeCells count="36">
    <mergeCell ref="E12:K12"/>
    <mergeCell ref="G61:P61"/>
    <mergeCell ref="O19:U19"/>
    <mergeCell ref="V17:V20"/>
    <mergeCell ref="V21:V30"/>
    <mergeCell ref="E41:E50"/>
    <mergeCell ref="E51:E56"/>
    <mergeCell ref="V41:V50"/>
    <mergeCell ref="E57:F57"/>
    <mergeCell ref="E21:E30"/>
    <mergeCell ref="E31:E40"/>
    <mergeCell ref="V31:V40"/>
    <mergeCell ref="G17:K17"/>
    <mergeCell ref="L17:P17"/>
    <mergeCell ref="Q17:U17"/>
    <mergeCell ref="G18:N18"/>
    <mergeCell ref="E8:H8"/>
    <mergeCell ref="I8:K8"/>
    <mergeCell ref="E9:K9"/>
    <mergeCell ref="E10:K10"/>
    <mergeCell ref="E11:K11"/>
    <mergeCell ref="E74:E83"/>
    <mergeCell ref="E84:E93"/>
    <mergeCell ref="E100:F100"/>
    <mergeCell ref="E94:E99"/>
    <mergeCell ref="O18:U18"/>
    <mergeCell ref="G19:N19"/>
    <mergeCell ref="G100:P100"/>
    <mergeCell ref="G60:K60"/>
    <mergeCell ref="L60:P60"/>
    <mergeCell ref="G62:P62"/>
    <mergeCell ref="Z17:AD17"/>
    <mergeCell ref="AE17:AG17"/>
    <mergeCell ref="Z18:AG18"/>
    <mergeCell ref="Z19:AG19"/>
    <mergeCell ref="E64:E73"/>
  </mergeCells>
  <pageMargins left="0.7" right="0.7" top="0.75" bottom="0.75" header="0.3" footer="0.3"/>
  <pageSetup paperSize="9" orientation="portrait" r:id="rId1"/>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7" tint="0.39997558519241921"/>
    <pageSetUpPr autoPageBreaks="0"/>
  </sheetPr>
  <dimension ref="A1:AH123"/>
  <sheetViews>
    <sheetView showGridLines="0" topLeftCell="D1" zoomScale="70" zoomScaleNormal="70" workbookViewId="0"/>
  </sheetViews>
  <sheetFormatPr defaultColWidth="9.140625" defaultRowHeight="12.75" outlineLevelRow="1"/>
  <cols>
    <col min="1" max="1" width="12" style="308" hidden="1" customWidth="1"/>
    <col min="2" max="3" width="14.42578125" style="308" hidden="1" customWidth="1"/>
    <col min="4" max="4" width="14.42578125" style="308" customWidth="1"/>
    <col min="5" max="5" width="51.85546875" style="529" customWidth="1"/>
    <col min="6" max="6" width="45" style="529" customWidth="1"/>
    <col min="7" max="15" width="15.7109375" style="529" customWidth="1"/>
    <col min="16" max="16" width="17.7109375" style="529" customWidth="1"/>
    <col min="17" max="20" width="15.7109375" style="529" customWidth="1"/>
    <col min="21" max="21" width="12.5703125" style="529" customWidth="1"/>
    <col min="22" max="22" width="33.140625" style="529" customWidth="1"/>
    <col min="23" max="25" width="8.7109375"/>
    <col min="26" max="33" width="15.7109375" style="529" customWidth="1"/>
    <col min="34" max="16384" width="9.140625" style="529"/>
  </cols>
  <sheetData>
    <row r="1" spans="1:33" s="223" customFormat="1" ht="24" customHeight="1">
      <c r="E1" s="3050" t="str">
        <f>IF(dms_DataQuality="backcast",INDEX(dms_Worksheet_List,MATCH(dms_Model,dms_Model_List))&amp;" BACKCAST",INDEX(dms_Worksheet_List,MATCH(dms_Model,dms_Model_List)))</f>
        <v>REGULATORY REPORTING STATEMENT</v>
      </c>
      <c r="F1" s="546"/>
      <c r="G1" s="546"/>
      <c r="H1" s="546"/>
      <c r="I1" s="546"/>
      <c r="J1" s="546"/>
      <c r="K1" s="225"/>
      <c r="L1" s="225"/>
      <c r="M1" s="225"/>
      <c r="N1" s="225"/>
      <c r="O1" s="225"/>
      <c r="P1" s="225"/>
      <c r="Q1" s="225"/>
      <c r="R1" s="225"/>
      <c r="S1" s="225"/>
      <c r="T1" s="225"/>
      <c r="U1" s="225"/>
      <c r="V1" s="225"/>
      <c r="W1" s="225"/>
      <c r="X1" s="225"/>
      <c r="Y1" s="225"/>
      <c r="Z1" s="225"/>
      <c r="AA1" s="546"/>
      <c r="AB1" s="546"/>
      <c r="AC1" s="546"/>
      <c r="AD1" s="225"/>
      <c r="AE1" s="225"/>
      <c r="AF1" s="225"/>
      <c r="AG1" s="225"/>
    </row>
    <row r="2" spans="1:33" s="223" customFormat="1" ht="24" customHeight="1">
      <c r="E2" s="3054" t="str">
        <f>INDEX(dms_TradingNameFull_List,MATCH(dms_TradingName,dms_TradingName_List))</f>
        <v>AusNet Gas Services</v>
      </c>
      <c r="F2" s="226"/>
      <c r="G2" s="226"/>
      <c r="H2" s="226"/>
      <c r="I2" s="226"/>
      <c r="J2" s="226"/>
      <c r="K2" s="225"/>
      <c r="L2" s="225"/>
      <c r="M2" s="225"/>
      <c r="N2" s="225"/>
      <c r="O2" s="225"/>
      <c r="P2" s="225"/>
      <c r="Q2" s="225"/>
      <c r="R2" s="225"/>
      <c r="S2" s="225"/>
      <c r="T2" s="225"/>
      <c r="U2" s="225"/>
      <c r="V2" s="225"/>
      <c r="W2" s="225"/>
      <c r="X2" s="225"/>
      <c r="Y2" s="225"/>
      <c r="Z2" s="225"/>
      <c r="AA2" s="1428"/>
      <c r="AB2" s="1428"/>
      <c r="AC2" s="1428"/>
      <c r="AD2" s="225"/>
      <c r="AE2" s="225"/>
      <c r="AF2" s="225"/>
      <c r="AG2" s="225"/>
    </row>
    <row r="3" spans="1:33" s="223" customFormat="1" ht="24" customHeight="1">
      <c r="E3" s="3054" t="str">
        <f ca="1">IF(SUM(dms_SingleYear_Model)&gt;0,CRY,CONCATENATE(FRCP_y1," to ",dms_MultiYear_FinalYear_Result))</f>
        <v>2018 to 2022</v>
      </c>
      <c r="F3" s="227"/>
      <c r="G3" s="227"/>
      <c r="H3" s="227"/>
      <c r="I3" s="227"/>
      <c r="J3" s="227"/>
      <c r="K3" s="228" t="str">
        <f>CONCATENATE(LEFT(FRCP_y1,4),"-",LEFT(FRCP_y5,2),RIGHT(FRCP_y5,2))</f>
        <v>2018-2022</v>
      </c>
      <c r="L3" s="227"/>
      <c r="M3" s="227"/>
      <c r="N3" s="227"/>
      <c r="O3" s="227"/>
      <c r="P3" s="227"/>
      <c r="Q3" s="227"/>
      <c r="R3" s="227"/>
      <c r="S3" s="227"/>
      <c r="T3" s="227"/>
      <c r="U3" s="227"/>
      <c r="V3" s="227"/>
      <c r="W3" s="1426"/>
      <c r="X3" s="1426"/>
      <c r="Y3" s="1426"/>
      <c r="Z3" s="1426"/>
      <c r="AA3" s="1426"/>
      <c r="AB3" s="1426"/>
      <c r="AC3" s="1426"/>
      <c r="AD3" s="228" t="str">
        <f>CONCATENATE(LEFT(FRCP_y1,4),"-",LEFT(FRCP_y5,2),RIGHT(FRCP_y5,2))</f>
        <v>2018-2022</v>
      </c>
      <c r="AE3" s="1426"/>
      <c r="AF3" s="1426"/>
      <c r="AG3" s="1426"/>
    </row>
    <row r="4" spans="1:33" s="165" customFormat="1" ht="24" customHeight="1">
      <c r="B4" s="10"/>
      <c r="C4" s="12"/>
      <c r="D4"/>
      <c r="E4" s="12" t="s">
        <v>479</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row>
    <row r="5" spans="1:33" ht="34.5" customHeight="1">
      <c r="B5" s="409"/>
      <c r="C5" s="409"/>
      <c r="D5" s="409"/>
      <c r="E5" s="545"/>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row>
    <row r="6" spans="1:33" ht="15.75" thickBot="1">
      <c r="A6" s="540" t="s">
        <v>193</v>
      </c>
      <c r="C6" s="410"/>
      <c r="E6" s="1601" t="s">
        <v>59</v>
      </c>
      <c r="F6" s="1601"/>
      <c r="G6" s="1601"/>
      <c r="H6"/>
      <c r="I6"/>
      <c r="J6"/>
      <c r="K6"/>
      <c r="L6" s="308"/>
      <c r="M6" s="308"/>
      <c r="N6" s="288"/>
      <c r="O6" s="288"/>
      <c r="P6" s="288"/>
      <c r="Q6" s="288"/>
      <c r="R6" s="288"/>
      <c r="S6" s="288"/>
      <c r="T6" s="308"/>
      <c r="U6" s="308"/>
      <c r="V6" s="308"/>
      <c r="Z6"/>
      <c r="AA6"/>
      <c r="AB6" s="1427"/>
      <c r="AC6" s="1427"/>
      <c r="AD6" s="1427"/>
      <c r="AE6" s="308"/>
      <c r="AF6" s="308"/>
      <c r="AG6" s="1429"/>
    </row>
    <row r="7" spans="1:33" ht="25.5" customHeight="1">
      <c r="A7" s="1149" t="s">
        <v>195</v>
      </c>
      <c r="B7" s="1144" t="s">
        <v>201</v>
      </c>
      <c r="C7" s="410"/>
      <c r="E7" s="3778" t="s">
        <v>480</v>
      </c>
      <c r="F7" s="3778"/>
      <c r="G7" s="3778"/>
      <c r="H7"/>
      <c r="I7"/>
      <c r="J7"/>
      <c r="K7"/>
      <c r="L7" s="308"/>
      <c r="M7" s="308"/>
      <c r="N7" s="288"/>
      <c r="O7" s="288"/>
      <c r="P7" s="288"/>
      <c r="Q7" s="288"/>
      <c r="R7" s="288"/>
      <c r="S7" s="288"/>
      <c r="T7" s="308"/>
      <c r="U7" s="308"/>
      <c r="V7" s="308"/>
      <c r="Z7"/>
      <c r="AA7"/>
      <c r="AB7" s="1427"/>
      <c r="AC7" s="1427"/>
      <c r="AD7" s="1427"/>
      <c r="AE7" s="308"/>
      <c r="AF7" s="308"/>
      <c r="AG7" s="1429"/>
    </row>
    <row r="8" spans="1:33" ht="53.25" customHeight="1">
      <c r="A8" s="550" t="s">
        <v>198</v>
      </c>
      <c r="B8" s="1145" t="s">
        <v>204</v>
      </c>
      <c r="E8" s="3778" t="str">
        <f>CONCATENATE("As set out in cl.6.1 of the ", dms_TradingName, " RIN, for tables  12.1 to 12.2, where the requested data is captured in the ", dms_TradingName, " capex model it is not required to be reentered in the RIN template tables. If the requested data has not been provided in the ", dms_TradingName, " RIN please enter into the tables. This may require the insertion of new lines in each table.")</f>
        <v>As set out in cl.6.1 of the AusNet (Gas) RIN, for tables  12.1 to 12.2,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F8" s="3778"/>
      <c r="G8" s="3778"/>
      <c r="H8"/>
      <c r="I8"/>
      <c r="J8"/>
      <c r="K8"/>
      <c r="L8" s="308"/>
      <c r="M8" s="308"/>
      <c r="N8" s="288"/>
      <c r="O8" s="288"/>
      <c r="P8" s="288"/>
      <c r="Q8" s="288"/>
      <c r="R8" s="288"/>
      <c r="S8" s="288"/>
      <c r="T8" s="308"/>
      <c r="U8" s="308"/>
      <c r="V8" s="308"/>
      <c r="Z8"/>
      <c r="AA8" s="1427"/>
      <c r="AB8" s="1427"/>
      <c r="AC8" s="1427"/>
      <c r="AD8" s="1427"/>
      <c r="AE8" s="308"/>
      <c r="AF8" s="308"/>
      <c r="AG8" s="1429"/>
    </row>
    <row r="9" spans="1:33" ht="54.75" customHeight="1">
      <c r="A9" s="550" t="s">
        <v>285</v>
      </c>
      <c r="B9" s="1145" t="s">
        <v>279</v>
      </c>
      <c r="E9" s="3778" t="s">
        <v>459</v>
      </c>
      <c r="F9" s="3778"/>
      <c r="G9" s="3778"/>
      <c r="H9"/>
      <c r="I9"/>
      <c r="J9"/>
      <c r="K9"/>
      <c r="L9" s="308"/>
      <c r="M9" s="308"/>
      <c r="N9" s="308"/>
      <c r="O9" s="308"/>
      <c r="P9" s="308"/>
      <c r="Q9" s="308"/>
      <c r="R9" s="308"/>
      <c r="S9" s="308"/>
      <c r="T9" s="308"/>
      <c r="U9" s="308"/>
      <c r="V9" s="308"/>
      <c r="Z9"/>
      <c r="AA9" s="1427"/>
      <c r="AB9" s="1427"/>
      <c r="AC9" s="1427"/>
      <c r="AD9" s="1427"/>
      <c r="AE9" s="308"/>
      <c r="AF9" s="308"/>
      <c r="AG9" s="308"/>
    </row>
    <row r="10" spans="1:33" ht="51" customHeight="1">
      <c r="A10" s="550" t="s">
        <v>286</v>
      </c>
      <c r="B10" s="1145" t="s">
        <v>658</v>
      </c>
      <c r="C10" s="410"/>
      <c r="E10" s="3778"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0" s="3778"/>
      <c r="G10" s="3778"/>
      <c r="H10"/>
      <c r="I10"/>
      <c r="J10"/>
      <c r="K10"/>
      <c r="L10" s="308"/>
      <c r="M10" s="308"/>
      <c r="N10" s="308"/>
      <c r="O10" s="308"/>
      <c r="P10" s="308"/>
      <c r="Q10" s="308"/>
      <c r="R10" s="308"/>
      <c r="S10" s="308"/>
      <c r="T10" s="308"/>
      <c r="U10" s="308"/>
      <c r="V10" s="308"/>
      <c r="Z10"/>
      <c r="AA10" s="1427"/>
      <c r="AB10" s="1427"/>
      <c r="AC10" s="1427"/>
      <c r="AD10" s="1427"/>
      <c r="AE10" s="308"/>
      <c r="AF10" s="308"/>
      <c r="AG10" s="308"/>
    </row>
    <row r="11" spans="1:33" ht="37.5" customHeight="1">
      <c r="A11" s="550" t="s">
        <v>287</v>
      </c>
      <c r="B11" s="1145" t="s">
        <v>288</v>
      </c>
      <c r="E11" s="3778" t="s">
        <v>161</v>
      </c>
      <c r="F11" s="3778"/>
      <c r="G11" s="3778"/>
      <c r="H11"/>
      <c r="I11"/>
      <c r="J11"/>
      <c r="K11"/>
      <c r="L11" s="308"/>
      <c r="M11" s="308"/>
      <c r="N11" s="308"/>
      <c r="O11" s="308"/>
      <c r="P11" s="308"/>
      <c r="Q11" s="308"/>
      <c r="R11" s="308"/>
      <c r="S11" s="308"/>
      <c r="T11" s="308"/>
      <c r="U11" s="308"/>
      <c r="V11" s="308"/>
      <c r="Z11"/>
      <c r="AA11" s="1427"/>
      <c r="AB11" s="1427"/>
      <c r="AC11" s="1427"/>
      <c r="AD11" s="1427"/>
      <c r="AE11" s="308"/>
      <c r="AF11" s="308"/>
      <c r="AG11" s="308"/>
    </row>
    <row r="12" spans="1:33" s="79" customFormat="1">
      <c r="A12" s="308"/>
      <c r="B12" s="308"/>
      <c r="C12" s="308"/>
      <c r="D12" s="308"/>
      <c r="E12" s="80"/>
      <c r="F12" s="308"/>
      <c r="G12" s="308"/>
      <c r="H12" s="308"/>
      <c r="I12" s="308"/>
      <c r="J12" s="308"/>
      <c r="K12" s="308"/>
      <c r="L12" s="308"/>
      <c r="M12" s="308"/>
      <c r="N12" s="308"/>
      <c r="O12" s="308"/>
      <c r="P12" s="308"/>
      <c r="Q12" s="308"/>
      <c r="R12" s="308"/>
      <c r="S12" s="308"/>
      <c r="T12" s="308"/>
      <c r="U12" s="308"/>
      <c r="V12" s="308"/>
      <c r="W12"/>
      <c r="X12"/>
      <c r="Y12"/>
      <c r="Z12" s="308"/>
      <c r="AA12" s="308"/>
      <c r="AB12" s="308"/>
      <c r="AC12" s="308"/>
      <c r="AD12" s="308"/>
      <c r="AE12" s="308"/>
      <c r="AF12" s="308"/>
      <c r="AG12" s="308"/>
    </row>
    <row r="13" spans="1:33" s="79" customFormat="1" ht="21" thickBot="1">
      <c r="A13" s="308"/>
      <c r="B13" s="308"/>
      <c r="C13" s="308"/>
      <c r="D13" s="308"/>
      <c r="E13" s="308"/>
      <c r="F13" s="544"/>
      <c r="G13" s="544"/>
      <c r="H13" s="544"/>
      <c r="I13" s="544"/>
      <c r="J13" s="544"/>
      <c r="K13" s="544"/>
      <c r="L13" s="544"/>
      <c r="M13" s="544"/>
      <c r="N13" s="544"/>
      <c r="O13" s="544"/>
      <c r="P13" s="544"/>
      <c r="Q13" s="544"/>
      <c r="R13" s="544"/>
      <c r="S13" s="544"/>
      <c r="T13" s="544"/>
      <c r="U13" s="544"/>
      <c r="V13" s="544"/>
      <c r="W13"/>
      <c r="X13"/>
      <c r="Y13"/>
      <c r="Z13" s="544"/>
      <c r="AA13" s="544"/>
      <c r="AB13" s="544"/>
      <c r="AC13" s="544"/>
      <c r="AD13" s="544"/>
      <c r="AE13" s="544"/>
      <c r="AF13" s="544"/>
      <c r="AG13" s="544"/>
    </row>
    <row r="14" spans="1:33" s="229" customFormat="1" ht="24.75" customHeight="1" thickBot="1">
      <c r="A14" s="1170" t="s">
        <v>192</v>
      </c>
      <c r="B14" s="1171" t="s">
        <v>193</v>
      </c>
      <c r="C14" s="1172" t="s">
        <v>206</v>
      </c>
      <c r="D14" s="308"/>
      <c r="E14" s="856" t="s">
        <v>526</v>
      </c>
      <c r="F14" s="856"/>
      <c r="G14" s="856"/>
      <c r="H14" s="856"/>
      <c r="I14" s="856"/>
      <c r="J14" s="856"/>
      <c r="K14" s="856"/>
      <c r="L14" s="856"/>
      <c r="M14" s="856"/>
      <c r="N14" s="856"/>
      <c r="O14" s="856"/>
      <c r="P14" s="856"/>
      <c r="Q14" s="856"/>
      <c r="R14" s="856"/>
      <c r="S14" s="856"/>
      <c r="T14" s="856"/>
      <c r="U14" s="856"/>
      <c r="V14" s="856"/>
      <c r="W14" s="1427"/>
      <c r="X14" s="1427"/>
      <c r="Y14" s="1427"/>
      <c r="Z14" s="856" t="s">
        <v>681</v>
      </c>
      <c r="AA14" s="856"/>
      <c r="AB14" s="856"/>
      <c r="AC14" s="856"/>
      <c r="AD14" s="856"/>
      <c r="AE14" s="856"/>
      <c r="AF14" s="856"/>
      <c r="AG14" s="1465"/>
    </row>
    <row r="15" spans="1:33" s="79" customFormat="1" ht="24.75" customHeight="1" thickBot="1">
      <c r="A15" s="1170" t="s">
        <v>192</v>
      </c>
      <c r="B15" s="1171" t="s">
        <v>193</v>
      </c>
      <c r="C15" s="1172" t="s">
        <v>206</v>
      </c>
      <c r="D15" s="308"/>
      <c r="E15" s="1576" t="s">
        <v>527</v>
      </c>
      <c r="F15" s="1577"/>
      <c r="G15" s="1577"/>
      <c r="H15" s="1577"/>
      <c r="I15" s="1577"/>
      <c r="J15" s="1577"/>
      <c r="K15" s="1577"/>
      <c r="L15" s="1577"/>
      <c r="M15" s="1577"/>
      <c r="N15" s="1577"/>
      <c r="O15" s="1577"/>
      <c r="P15" s="1577"/>
      <c r="Q15" s="1577"/>
      <c r="R15" s="1577"/>
      <c r="S15" s="1577"/>
      <c r="T15" s="1577"/>
      <c r="U15" s="1577"/>
      <c r="V15" s="1578"/>
      <c r="W15"/>
      <c r="X15"/>
      <c r="Y15"/>
      <c r="Z15" s="1576"/>
      <c r="AA15" s="1577"/>
      <c r="AB15" s="1577"/>
      <c r="AC15" s="1577"/>
      <c r="AD15" s="1577"/>
      <c r="AE15" s="1577"/>
      <c r="AF15" s="1577"/>
      <c r="AG15" s="1578"/>
    </row>
    <row r="16" spans="1:33" ht="15.75" customHeight="1">
      <c r="E16" s="292"/>
      <c r="F16" s="582"/>
      <c r="G16" s="3842" t="s">
        <v>36</v>
      </c>
      <c r="H16" s="3702"/>
      <c r="I16" s="3702"/>
      <c r="J16" s="3702"/>
      <c r="K16" s="3702"/>
      <c r="L16" s="3703" t="s">
        <v>37</v>
      </c>
      <c r="M16" s="3704"/>
      <c r="N16" s="3704"/>
      <c r="O16" s="3704"/>
      <c r="P16" s="3704"/>
      <c r="Q16" s="3728" t="s">
        <v>73</v>
      </c>
      <c r="R16" s="3728"/>
      <c r="S16" s="3728"/>
      <c r="T16" s="3728"/>
      <c r="U16" s="3728"/>
      <c r="V16" s="3839" t="s">
        <v>162</v>
      </c>
      <c r="Z16" s="3701" t="s">
        <v>36</v>
      </c>
      <c r="AA16" s="3702"/>
      <c r="AB16" s="3702"/>
      <c r="AC16" s="3702"/>
      <c r="AD16" s="3702"/>
      <c r="AE16" s="3703" t="s">
        <v>37</v>
      </c>
      <c r="AF16" s="3704"/>
      <c r="AG16" s="3705"/>
    </row>
    <row r="17" spans="1:33" ht="12.75" customHeight="1">
      <c r="E17" s="292"/>
      <c r="F17" s="582"/>
      <c r="G17" s="3550" t="s">
        <v>579</v>
      </c>
      <c r="H17" s="3551"/>
      <c r="I17" s="3551"/>
      <c r="J17" s="3551"/>
      <c r="K17" s="3551"/>
      <c r="L17" s="3551"/>
      <c r="M17" s="3551"/>
      <c r="N17" s="3595"/>
      <c r="O17" s="3589" t="str">
        <f>CONCATENATE("$0's, real ",dms_DollarReal)</f>
        <v>$0's, real December 2017</v>
      </c>
      <c r="P17" s="3590"/>
      <c r="Q17" s="3590"/>
      <c r="R17" s="3590"/>
      <c r="S17" s="3590"/>
      <c r="T17" s="3590"/>
      <c r="U17" s="3734"/>
      <c r="V17" s="3840"/>
      <c r="Z17" s="3550" t="str">
        <f>CONCATENATE("$0's, real ",dms_DollarReal)</f>
        <v>$0's, real December 2017</v>
      </c>
      <c r="AA17" s="3551"/>
      <c r="AB17" s="3551"/>
      <c r="AC17" s="3551"/>
      <c r="AD17" s="3551"/>
      <c r="AE17" s="3551"/>
      <c r="AF17" s="3551"/>
      <c r="AG17" s="3552"/>
    </row>
    <row r="18" spans="1:33" ht="15" customHeight="1">
      <c r="E18" s="292"/>
      <c r="F18" s="582"/>
      <c r="G18" s="3550" t="s">
        <v>54</v>
      </c>
      <c r="H18" s="3551"/>
      <c r="I18" s="3551"/>
      <c r="J18" s="3551"/>
      <c r="K18" s="3551"/>
      <c r="L18" s="3551"/>
      <c r="M18" s="3551"/>
      <c r="N18" s="3595"/>
      <c r="O18" s="3589" t="s">
        <v>55</v>
      </c>
      <c r="P18" s="3590"/>
      <c r="Q18" s="3590"/>
      <c r="R18" s="3590"/>
      <c r="S18" s="3590"/>
      <c r="T18" s="3590"/>
      <c r="U18" s="3734"/>
      <c r="V18" s="3840"/>
      <c r="Z18" s="3550" t="s">
        <v>54</v>
      </c>
      <c r="AA18" s="3551"/>
      <c r="AB18" s="3551"/>
      <c r="AC18" s="3551"/>
      <c r="AD18" s="3551"/>
      <c r="AE18" s="3551"/>
      <c r="AF18" s="3551"/>
      <c r="AG18" s="3552"/>
    </row>
    <row r="19" spans="1:33" ht="15" customHeight="1" thickBot="1">
      <c r="E19" s="583"/>
      <c r="F19" s="584"/>
      <c r="G19" s="701">
        <f t="array" ref="G19:K19">PRCP</f>
        <v>2008</v>
      </c>
      <c r="H19" s="459">
        <v>2009</v>
      </c>
      <c r="I19" s="459">
        <v>2010</v>
      </c>
      <c r="J19" s="459">
        <v>2011</v>
      </c>
      <c r="K19" s="459">
        <v>2012</v>
      </c>
      <c r="L19" s="460">
        <f>CRCP_y1</f>
        <v>2013</v>
      </c>
      <c r="M19" s="460">
        <f>CRCP_y2</f>
        <v>2014</v>
      </c>
      <c r="N19" s="460">
        <f>CRCP_y3</f>
        <v>2015</v>
      </c>
      <c r="O19" s="460">
        <f>CRCP_y4</f>
        <v>2016</v>
      </c>
      <c r="P19" s="460">
        <f>CRCP_y5</f>
        <v>2017</v>
      </c>
      <c r="Q19" s="459" t="str">
        <f t="array" ref="Q19:U19">FRCP</f>
        <v>2018</v>
      </c>
      <c r="R19" s="459">
        <v>2019</v>
      </c>
      <c r="S19" s="459">
        <v>2020</v>
      </c>
      <c r="T19" s="459">
        <v>2021</v>
      </c>
      <c r="U19" s="459">
        <v>2022</v>
      </c>
      <c r="V19" s="3841"/>
      <c r="Z19" s="2104">
        <f t="array" ref="Z19:AD19">PRCP</f>
        <v>2008</v>
      </c>
      <c r="AA19" s="2105">
        <v>2009</v>
      </c>
      <c r="AB19" s="2105">
        <v>2010</v>
      </c>
      <c r="AC19" s="2105">
        <v>2011</v>
      </c>
      <c r="AD19" s="2105">
        <v>2012</v>
      </c>
      <c r="AE19" s="2106">
        <f>CRCP_y1</f>
        <v>2013</v>
      </c>
      <c r="AF19" s="2106">
        <f>CRCP_y2</f>
        <v>2014</v>
      </c>
      <c r="AG19" s="2183">
        <f>CRCP_y3</f>
        <v>2015</v>
      </c>
    </row>
    <row r="20" spans="1:33" s="229" customFormat="1" ht="40.5" customHeight="1" thickBot="1">
      <c r="A20" s="308"/>
      <c r="B20" s="308"/>
      <c r="C20" s="308"/>
      <c r="D20" s="308"/>
      <c r="E20" s="1824" t="s">
        <v>374</v>
      </c>
      <c r="F20" s="1799"/>
      <c r="G20" s="1793"/>
      <c r="H20" s="1794"/>
      <c r="I20" s="1794"/>
      <c r="J20" s="1794"/>
      <c r="K20" s="1794"/>
      <c r="L20" s="1794"/>
      <c r="M20" s="1794"/>
      <c r="N20" s="1794"/>
      <c r="O20" s="1794"/>
      <c r="P20" s="1794"/>
      <c r="Q20" s="1794"/>
      <c r="R20" s="1794"/>
      <c r="S20" s="1794"/>
      <c r="T20" s="1794"/>
      <c r="U20" s="1794"/>
      <c r="V20" s="1795"/>
      <c r="W20" s="1427"/>
      <c r="X20" s="1427"/>
      <c r="Y20" s="1427"/>
      <c r="Z20" s="2182"/>
      <c r="AA20" s="1794"/>
      <c r="AB20" s="1794"/>
      <c r="AC20" s="1794"/>
      <c r="AD20" s="1794"/>
      <c r="AE20" s="1794"/>
      <c r="AF20" s="1794"/>
      <c r="AG20" s="1795"/>
    </row>
    <row r="21" spans="1:33" outlineLevel="1">
      <c r="A21" s="229"/>
      <c r="B21" s="229"/>
      <c r="C21" s="229"/>
      <c r="E21" s="3836" t="s">
        <v>373</v>
      </c>
      <c r="F21" s="1797" t="s">
        <v>634</v>
      </c>
      <c r="G21" s="589"/>
      <c r="H21" s="589"/>
      <c r="I21" s="589"/>
      <c r="J21" s="589"/>
      <c r="K21" s="590"/>
      <c r="L21" s="599"/>
      <c r="M21" s="600"/>
      <c r="N21" s="600"/>
      <c r="O21" s="600"/>
      <c r="P21" s="601"/>
      <c r="Q21" s="600"/>
      <c r="R21" s="600"/>
      <c r="S21" s="600"/>
      <c r="T21" s="600"/>
      <c r="U21" s="601"/>
      <c r="V21" s="3692"/>
      <c r="W21" s="1427"/>
      <c r="X21" s="1427"/>
      <c r="Y21" s="1427"/>
      <c r="Z21" s="588"/>
      <c r="AA21" s="589"/>
      <c r="AB21" s="589"/>
      <c r="AC21" s="589"/>
      <c r="AD21" s="590"/>
      <c r="AE21" s="599"/>
      <c r="AF21" s="600"/>
      <c r="AG21" s="601"/>
    </row>
    <row r="22" spans="1:33" ht="12.75" customHeight="1" outlineLevel="1">
      <c r="A22" s="229"/>
      <c r="B22" s="229"/>
      <c r="C22" s="229"/>
      <c r="E22" s="3837"/>
      <c r="F22" s="1769" t="s">
        <v>595</v>
      </c>
      <c r="G22" s="523"/>
      <c r="H22" s="523"/>
      <c r="I22" s="523"/>
      <c r="J22" s="523"/>
      <c r="K22" s="591"/>
      <c r="L22" s="514"/>
      <c r="M22" s="513"/>
      <c r="N22" s="513"/>
      <c r="O22" s="513"/>
      <c r="P22" s="515"/>
      <c r="Q22" s="467"/>
      <c r="R22" s="513"/>
      <c r="S22" s="513"/>
      <c r="T22" s="513"/>
      <c r="U22" s="515"/>
      <c r="V22" s="3693"/>
      <c r="W22" s="1427"/>
      <c r="X22" s="1427"/>
      <c r="Y22" s="1427"/>
      <c r="Z22" s="525"/>
      <c r="AA22" s="523"/>
      <c r="AB22" s="523"/>
      <c r="AC22" s="523"/>
      <c r="AD22" s="591"/>
      <c r="AE22" s="517"/>
      <c r="AF22" s="518"/>
      <c r="AG22" s="519"/>
    </row>
    <row r="23" spans="1:33" ht="12.75" customHeight="1" outlineLevel="1">
      <c r="A23" s="529"/>
      <c r="B23" s="529"/>
      <c r="C23" s="529"/>
      <c r="E23" s="3837"/>
      <c r="F23" s="1769" t="s">
        <v>594</v>
      </c>
      <c r="G23" s="523"/>
      <c r="H23" s="523"/>
      <c r="I23" s="523"/>
      <c r="J23" s="523"/>
      <c r="K23" s="591"/>
      <c r="L23" s="514"/>
      <c r="M23" s="513"/>
      <c r="N23" s="513"/>
      <c r="O23" s="513"/>
      <c r="P23" s="515"/>
      <c r="Q23" s="467"/>
      <c r="R23" s="513"/>
      <c r="S23" s="513"/>
      <c r="T23" s="513"/>
      <c r="U23" s="515"/>
      <c r="V23" s="3693"/>
      <c r="W23" s="1427"/>
      <c r="X23" s="1427"/>
      <c r="Y23" s="1427"/>
      <c r="Z23" s="525"/>
      <c r="AA23" s="523"/>
      <c r="AB23" s="523"/>
      <c r="AC23" s="523"/>
      <c r="AD23" s="591"/>
      <c r="AE23" s="517"/>
      <c r="AF23" s="518"/>
      <c r="AG23" s="519"/>
    </row>
    <row r="24" spans="1:33" ht="12.75" customHeight="1" outlineLevel="1">
      <c r="A24" s="529"/>
      <c r="B24" s="529"/>
      <c r="C24" s="529"/>
      <c r="E24" s="3837"/>
      <c r="F24" s="1769" t="s">
        <v>614</v>
      </c>
      <c r="G24" s="523"/>
      <c r="H24" s="523"/>
      <c r="I24" s="523"/>
      <c r="J24" s="523"/>
      <c r="K24" s="591"/>
      <c r="L24" s="514"/>
      <c r="M24" s="513"/>
      <c r="N24" s="513"/>
      <c r="O24" s="513"/>
      <c r="P24" s="515"/>
      <c r="Q24" s="467"/>
      <c r="R24" s="513"/>
      <c r="S24" s="513"/>
      <c r="T24" s="513"/>
      <c r="U24" s="515"/>
      <c r="V24" s="3693"/>
      <c r="W24" s="1427"/>
      <c r="X24" s="1427"/>
      <c r="Y24" s="1427"/>
      <c r="Z24" s="525"/>
      <c r="AA24" s="523"/>
      <c r="AB24" s="523"/>
      <c r="AC24" s="523"/>
      <c r="AD24" s="591"/>
      <c r="AE24" s="517"/>
      <c r="AF24" s="518"/>
      <c r="AG24" s="519"/>
    </row>
    <row r="25" spans="1:33" ht="12.75" customHeight="1" outlineLevel="1">
      <c r="A25" s="529"/>
      <c r="B25" s="529"/>
      <c r="C25" s="529"/>
      <c r="E25" s="3837"/>
      <c r="F25" s="1796" t="s">
        <v>602</v>
      </c>
      <c r="G25" s="467"/>
      <c r="H25" s="513"/>
      <c r="I25" s="513"/>
      <c r="J25" s="513"/>
      <c r="K25" s="515"/>
      <c r="L25" s="401"/>
      <c r="M25" s="402">
        <f t="shared" ref="M25:T25" si="0">SUM(M22:M24)</f>
        <v>0</v>
      </c>
      <c r="N25" s="402">
        <f t="shared" si="0"/>
        <v>0</v>
      </c>
      <c r="O25" s="402">
        <f t="shared" si="0"/>
        <v>0</v>
      </c>
      <c r="P25" s="505">
        <f t="shared" si="0"/>
        <v>0</v>
      </c>
      <c r="Q25" s="502">
        <f t="shared" si="0"/>
        <v>0</v>
      </c>
      <c r="R25" s="402">
        <f t="shared" si="0"/>
        <v>0</v>
      </c>
      <c r="S25" s="402">
        <f t="shared" si="0"/>
        <v>0</v>
      </c>
      <c r="T25" s="402">
        <f t="shared" si="0"/>
        <v>0</v>
      </c>
      <c r="U25" s="505"/>
      <c r="V25" s="3693"/>
      <c r="W25" s="1427"/>
      <c r="X25" s="1427"/>
      <c r="Y25" s="1427"/>
      <c r="Z25" s="517"/>
      <c r="AA25" s="518"/>
      <c r="AB25" s="518"/>
      <c r="AC25" s="518"/>
      <c r="AD25" s="519"/>
      <c r="AE25" s="401"/>
      <c r="AF25" s="402">
        <f t="shared" ref="AF25:AG25" si="1">SUM(AF22:AF24)</f>
        <v>0</v>
      </c>
      <c r="AG25" s="505">
        <f t="shared" si="1"/>
        <v>0</v>
      </c>
    </row>
    <row r="26" spans="1:33" ht="12.75" customHeight="1" outlineLevel="1">
      <c r="A26" s="529"/>
      <c r="B26" s="529"/>
      <c r="C26" s="529"/>
      <c r="E26" s="3837"/>
      <c r="F26" s="1769" t="s">
        <v>619</v>
      </c>
      <c r="G26" s="467"/>
      <c r="H26" s="513"/>
      <c r="I26" s="513"/>
      <c r="J26" s="513"/>
      <c r="K26" s="515"/>
      <c r="L26" s="569"/>
      <c r="M26" s="570"/>
      <c r="N26" s="570"/>
      <c r="O26" s="570"/>
      <c r="P26" s="608"/>
      <c r="Q26" s="561"/>
      <c r="R26" s="532"/>
      <c r="S26" s="532"/>
      <c r="T26" s="532"/>
      <c r="U26" s="579"/>
      <c r="V26" s="3693"/>
      <c r="W26" s="1427"/>
      <c r="X26" s="1427"/>
      <c r="Y26" s="1427"/>
      <c r="Z26" s="517"/>
      <c r="AA26" s="518"/>
      <c r="AB26" s="518"/>
      <c r="AC26" s="518"/>
      <c r="AD26" s="519"/>
      <c r="AE26" s="569"/>
      <c r="AF26" s="570"/>
      <c r="AG26" s="608"/>
    </row>
    <row r="27" spans="1:33" ht="12.75" customHeight="1" outlineLevel="1">
      <c r="A27" s="529"/>
      <c r="B27" s="529"/>
      <c r="C27" s="529"/>
      <c r="E27" s="3837"/>
      <c r="F27" s="1769" t="s">
        <v>617</v>
      </c>
      <c r="G27" s="467"/>
      <c r="H27" s="513"/>
      <c r="I27" s="513"/>
      <c r="J27" s="513"/>
      <c r="K27" s="515"/>
      <c r="L27" s="517"/>
      <c r="M27" s="518"/>
      <c r="N27" s="518"/>
      <c r="O27" s="518"/>
      <c r="P27" s="519"/>
      <c r="Q27" s="467"/>
      <c r="R27" s="513"/>
      <c r="S27" s="513"/>
      <c r="T27" s="513"/>
      <c r="U27" s="515"/>
      <c r="V27" s="3693"/>
      <c r="W27" s="1427"/>
      <c r="X27" s="1427"/>
      <c r="Y27" s="1427"/>
      <c r="Z27" s="517"/>
      <c r="AA27" s="518"/>
      <c r="AB27" s="518"/>
      <c r="AC27" s="518"/>
      <c r="AD27" s="519"/>
      <c r="AE27" s="517"/>
      <c r="AF27" s="518"/>
      <c r="AG27" s="519"/>
    </row>
    <row r="28" spans="1:33" s="1019" customFormat="1" ht="12.75" customHeight="1" outlineLevel="1">
      <c r="D28" s="1018"/>
      <c r="E28" s="3837"/>
      <c r="F28" s="1796" t="s">
        <v>620</v>
      </c>
      <c r="G28" s="1399">
        <f t="shared" ref="G28:T28" si="2">SUM(G26:G27)</f>
        <v>0</v>
      </c>
      <c r="H28" s="1397">
        <f t="shared" si="2"/>
        <v>0</v>
      </c>
      <c r="I28" s="1397">
        <f t="shared" si="2"/>
        <v>0</v>
      </c>
      <c r="J28" s="1397">
        <f t="shared" si="2"/>
        <v>0</v>
      </c>
      <c r="K28" s="1398">
        <f t="shared" si="2"/>
        <v>0</v>
      </c>
      <c r="L28" s="1396">
        <f t="shared" si="2"/>
        <v>0</v>
      </c>
      <c r="M28" s="1397">
        <f t="shared" si="2"/>
        <v>0</v>
      </c>
      <c r="N28" s="1397">
        <f t="shared" si="2"/>
        <v>0</v>
      </c>
      <c r="O28" s="1397">
        <f t="shared" si="2"/>
        <v>0</v>
      </c>
      <c r="P28" s="1398">
        <f t="shared" si="2"/>
        <v>0</v>
      </c>
      <c r="Q28" s="1399">
        <f t="shared" si="2"/>
        <v>0</v>
      </c>
      <c r="R28" s="1397">
        <f t="shared" si="2"/>
        <v>0</v>
      </c>
      <c r="S28" s="1397">
        <f t="shared" si="2"/>
        <v>0</v>
      </c>
      <c r="T28" s="1397">
        <f t="shared" si="2"/>
        <v>0</v>
      </c>
      <c r="U28" s="1398"/>
      <c r="V28" s="3693"/>
      <c r="Z28" s="1396">
        <f t="shared" ref="Z28:AG28" si="3">SUM(Z26:Z27)</f>
        <v>0</v>
      </c>
      <c r="AA28" s="1397">
        <f t="shared" si="3"/>
        <v>0</v>
      </c>
      <c r="AB28" s="1397">
        <f t="shared" si="3"/>
        <v>0</v>
      </c>
      <c r="AC28" s="1397">
        <f t="shared" si="3"/>
        <v>0</v>
      </c>
      <c r="AD28" s="1398">
        <f t="shared" si="3"/>
        <v>0</v>
      </c>
      <c r="AE28" s="1396">
        <f t="shared" si="3"/>
        <v>0</v>
      </c>
      <c r="AF28" s="1397">
        <f t="shared" si="3"/>
        <v>0</v>
      </c>
      <c r="AG28" s="1398">
        <f t="shared" si="3"/>
        <v>0</v>
      </c>
    </row>
    <row r="29" spans="1:33" ht="12.75" customHeight="1" outlineLevel="1">
      <c r="A29" s="529"/>
      <c r="B29" s="529"/>
      <c r="C29" s="529"/>
      <c r="E29" s="3837"/>
      <c r="F29" s="1769" t="s">
        <v>35</v>
      </c>
      <c r="G29" s="467"/>
      <c r="H29" s="513"/>
      <c r="I29" s="513"/>
      <c r="J29" s="513"/>
      <c r="K29" s="515"/>
      <c r="L29" s="514"/>
      <c r="M29" s="513"/>
      <c r="N29" s="513"/>
      <c r="O29" s="513"/>
      <c r="P29" s="515"/>
      <c r="Q29" s="467"/>
      <c r="R29" s="513"/>
      <c r="S29" s="513"/>
      <c r="T29" s="513"/>
      <c r="U29" s="515"/>
      <c r="V29" s="3693"/>
      <c r="W29" s="1427"/>
      <c r="X29" s="1427"/>
      <c r="Y29" s="1427"/>
      <c r="Z29" s="517"/>
      <c r="AA29" s="518"/>
      <c r="AB29" s="518"/>
      <c r="AC29" s="518"/>
      <c r="AD29" s="519"/>
      <c r="AE29" s="517"/>
      <c r="AF29" s="518"/>
      <c r="AG29" s="519"/>
    </row>
    <row r="30" spans="1:33" s="1019" customFormat="1" ht="12.75" customHeight="1" outlineLevel="1" thickBot="1">
      <c r="D30" s="1018"/>
      <c r="E30" s="3838"/>
      <c r="F30" s="1798" t="s">
        <v>621</v>
      </c>
      <c r="G30" s="1404">
        <f t="shared" ref="G30:L30" si="4">G28-G29</f>
        <v>0</v>
      </c>
      <c r="H30" s="1402">
        <f t="shared" si="4"/>
        <v>0</v>
      </c>
      <c r="I30" s="1402">
        <f t="shared" si="4"/>
        <v>0</v>
      </c>
      <c r="J30" s="1402">
        <f t="shared" si="4"/>
        <v>0</v>
      </c>
      <c r="K30" s="1403">
        <f t="shared" si="4"/>
        <v>0</v>
      </c>
      <c r="L30" s="1805">
        <f t="shared" si="4"/>
        <v>0</v>
      </c>
      <c r="M30" s="1402">
        <f>M28-M29</f>
        <v>0</v>
      </c>
      <c r="N30" s="1402">
        <f t="shared" ref="N30:P30" si="5">N28-N29</f>
        <v>0</v>
      </c>
      <c r="O30" s="1402">
        <f t="shared" si="5"/>
        <v>0</v>
      </c>
      <c r="P30" s="1403">
        <f t="shared" si="5"/>
        <v>0</v>
      </c>
      <c r="Q30" s="1404">
        <f>Q28-Q29</f>
        <v>0</v>
      </c>
      <c r="R30" s="1402">
        <f>R28-R29</f>
        <v>0</v>
      </c>
      <c r="S30" s="1402">
        <f>S28-S29</f>
        <v>0</v>
      </c>
      <c r="T30" s="1402">
        <f>T28-T29</f>
        <v>0</v>
      </c>
      <c r="U30" s="1403"/>
      <c r="V30" s="3694"/>
      <c r="Z30" s="1805">
        <f t="shared" ref="Z30:AE30" si="6">Z28-Z29</f>
        <v>0</v>
      </c>
      <c r="AA30" s="1402">
        <f t="shared" si="6"/>
        <v>0</v>
      </c>
      <c r="AB30" s="1402">
        <f t="shared" si="6"/>
        <v>0</v>
      </c>
      <c r="AC30" s="1402">
        <f t="shared" si="6"/>
        <v>0</v>
      </c>
      <c r="AD30" s="1403">
        <f t="shared" si="6"/>
        <v>0</v>
      </c>
      <c r="AE30" s="1805">
        <f t="shared" si="6"/>
        <v>0</v>
      </c>
      <c r="AF30" s="1402">
        <f>AF28-AF29</f>
        <v>0</v>
      </c>
      <c r="AG30" s="1403">
        <f t="shared" ref="AG30" si="7">AG28-AG29</f>
        <v>0</v>
      </c>
    </row>
    <row r="31" spans="1:33" outlineLevel="1">
      <c r="A31" s="229"/>
      <c r="B31" s="229"/>
      <c r="C31" s="229"/>
      <c r="E31" s="3836" t="s">
        <v>373</v>
      </c>
      <c r="F31" s="1797" t="s">
        <v>634</v>
      </c>
      <c r="G31" s="589"/>
      <c r="H31" s="589"/>
      <c r="I31" s="589"/>
      <c r="J31" s="589"/>
      <c r="K31" s="590"/>
      <c r="L31" s="599"/>
      <c r="M31" s="600"/>
      <c r="N31" s="600"/>
      <c r="O31" s="600"/>
      <c r="P31" s="601"/>
      <c r="Q31" s="600"/>
      <c r="R31" s="600"/>
      <c r="S31" s="600"/>
      <c r="T31" s="600"/>
      <c r="U31" s="601"/>
      <c r="V31" s="3692"/>
      <c r="W31" s="1427"/>
      <c r="X31" s="1427"/>
      <c r="Y31" s="1427"/>
      <c r="Z31" s="588"/>
      <c r="AA31" s="589"/>
      <c r="AB31" s="589"/>
      <c r="AC31" s="589"/>
      <c r="AD31" s="590"/>
      <c r="AE31" s="599"/>
      <c r="AF31" s="600"/>
      <c r="AG31" s="601"/>
    </row>
    <row r="32" spans="1:33" ht="12.75" customHeight="1" outlineLevel="1">
      <c r="A32" s="229"/>
      <c r="B32" s="229"/>
      <c r="C32" s="229"/>
      <c r="E32" s="3837"/>
      <c r="F32" s="1769" t="s">
        <v>595</v>
      </c>
      <c r="G32" s="523"/>
      <c r="H32" s="523"/>
      <c r="I32" s="523"/>
      <c r="J32" s="523"/>
      <c r="K32" s="591"/>
      <c r="L32" s="514"/>
      <c r="M32" s="513"/>
      <c r="N32" s="513"/>
      <c r="O32" s="513"/>
      <c r="P32" s="515"/>
      <c r="Q32" s="467"/>
      <c r="R32" s="513"/>
      <c r="S32" s="513"/>
      <c r="T32" s="513"/>
      <c r="U32" s="515"/>
      <c r="V32" s="3693"/>
      <c r="W32" s="1427"/>
      <c r="X32" s="1427"/>
      <c r="Y32" s="1427"/>
      <c r="Z32" s="525"/>
      <c r="AA32" s="523"/>
      <c r="AB32" s="523"/>
      <c r="AC32" s="523"/>
      <c r="AD32" s="591"/>
      <c r="AE32" s="517"/>
      <c r="AF32" s="518"/>
      <c r="AG32" s="519"/>
    </row>
    <row r="33" spans="1:33" ht="12.75" customHeight="1" outlineLevel="1">
      <c r="A33" s="529"/>
      <c r="B33" s="529"/>
      <c r="C33" s="529"/>
      <c r="E33" s="3837"/>
      <c r="F33" s="1769" t="s">
        <v>594</v>
      </c>
      <c r="G33" s="523"/>
      <c r="H33" s="523"/>
      <c r="I33" s="523"/>
      <c r="J33" s="523"/>
      <c r="K33" s="591"/>
      <c r="L33" s="514"/>
      <c r="M33" s="513"/>
      <c r="N33" s="513"/>
      <c r="O33" s="513"/>
      <c r="P33" s="515"/>
      <c r="Q33" s="467"/>
      <c r="R33" s="513"/>
      <c r="S33" s="513"/>
      <c r="T33" s="513"/>
      <c r="U33" s="515"/>
      <c r="V33" s="3693"/>
      <c r="W33" s="1427"/>
      <c r="X33" s="1427"/>
      <c r="Y33" s="1427"/>
      <c r="Z33" s="525"/>
      <c r="AA33" s="523"/>
      <c r="AB33" s="523"/>
      <c r="AC33" s="523"/>
      <c r="AD33" s="591"/>
      <c r="AE33" s="517"/>
      <c r="AF33" s="518"/>
      <c r="AG33" s="519"/>
    </row>
    <row r="34" spans="1:33" ht="12.75" customHeight="1" outlineLevel="1">
      <c r="A34" s="529"/>
      <c r="B34" s="529"/>
      <c r="C34" s="529"/>
      <c r="E34" s="3837"/>
      <c r="F34" s="1769" t="s">
        <v>614</v>
      </c>
      <c r="G34" s="523"/>
      <c r="H34" s="523"/>
      <c r="I34" s="523"/>
      <c r="J34" s="523"/>
      <c r="K34" s="591"/>
      <c r="L34" s="514"/>
      <c r="M34" s="513"/>
      <c r="N34" s="513"/>
      <c r="O34" s="513"/>
      <c r="P34" s="515"/>
      <c r="Q34" s="467"/>
      <c r="R34" s="513"/>
      <c r="S34" s="513"/>
      <c r="T34" s="513"/>
      <c r="U34" s="515"/>
      <c r="V34" s="3693"/>
      <c r="W34" s="1427"/>
      <c r="X34" s="1427"/>
      <c r="Y34" s="1427"/>
      <c r="Z34" s="525"/>
      <c r="AA34" s="523"/>
      <c r="AB34" s="523"/>
      <c r="AC34" s="523"/>
      <c r="AD34" s="591"/>
      <c r="AE34" s="517"/>
      <c r="AF34" s="518"/>
      <c r="AG34" s="519"/>
    </row>
    <row r="35" spans="1:33" ht="12.75" customHeight="1" outlineLevel="1">
      <c r="A35" s="529"/>
      <c r="B35" s="529"/>
      <c r="C35" s="529"/>
      <c r="E35" s="3837"/>
      <c r="F35" s="1796" t="s">
        <v>602</v>
      </c>
      <c r="G35" s="467"/>
      <c r="H35" s="513"/>
      <c r="I35" s="513"/>
      <c r="J35" s="513"/>
      <c r="K35" s="515"/>
      <c r="L35" s="401"/>
      <c r="M35" s="402">
        <f t="shared" ref="M35:T35" si="8">SUM(M32:M34)</f>
        <v>0</v>
      </c>
      <c r="N35" s="402">
        <f t="shared" si="8"/>
        <v>0</v>
      </c>
      <c r="O35" s="402">
        <f t="shared" si="8"/>
        <v>0</v>
      </c>
      <c r="P35" s="505">
        <f t="shared" si="8"/>
        <v>0</v>
      </c>
      <c r="Q35" s="502">
        <f t="shared" si="8"/>
        <v>0</v>
      </c>
      <c r="R35" s="402">
        <f t="shared" si="8"/>
        <v>0</v>
      </c>
      <c r="S35" s="402">
        <f t="shared" si="8"/>
        <v>0</v>
      </c>
      <c r="T35" s="402">
        <f t="shared" si="8"/>
        <v>0</v>
      </c>
      <c r="U35" s="505"/>
      <c r="V35" s="3693"/>
      <c r="W35" s="1427"/>
      <c r="X35" s="1427"/>
      <c r="Y35" s="1427"/>
      <c r="Z35" s="517"/>
      <c r="AA35" s="518"/>
      <c r="AB35" s="518"/>
      <c r="AC35" s="518"/>
      <c r="AD35" s="519"/>
      <c r="AE35" s="401"/>
      <c r="AF35" s="402">
        <f t="shared" ref="AF35:AG35" si="9">SUM(AF32:AF34)</f>
        <v>0</v>
      </c>
      <c r="AG35" s="505">
        <f t="shared" si="9"/>
        <v>0</v>
      </c>
    </row>
    <row r="36" spans="1:33" ht="12.75" customHeight="1" outlineLevel="1">
      <c r="A36" s="529"/>
      <c r="B36" s="529"/>
      <c r="C36" s="529"/>
      <c r="E36" s="3837"/>
      <c r="F36" s="1769" t="s">
        <v>619</v>
      </c>
      <c r="G36" s="467"/>
      <c r="H36" s="513"/>
      <c r="I36" s="513"/>
      <c r="J36" s="513"/>
      <c r="K36" s="515"/>
      <c r="L36" s="569"/>
      <c r="M36" s="570"/>
      <c r="N36" s="570"/>
      <c r="O36" s="570"/>
      <c r="P36" s="608"/>
      <c r="Q36" s="561"/>
      <c r="R36" s="532"/>
      <c r="S36" s="532"/>
      <c r="T36" s="532"/>
      <c r="U36" s="579"/>
      <c r="V36" s="3693"/>
      <c r="W36" s="1427"/>
      <c r="X36" s="1427"/>
      <c r="Y36" s="1427"/>
      <c r="Z36" s="517"/>
      <c r="AA36" s="518"/>
      <c r="AB36" s="518"/>
      <c r="AC36" s="518"/>
      <c r="AD36" s="519"/>
      <c r="AE36" s="569"/>
      <c r="AF36" s="570"/>
      <c r="AG36" s="608"/>
    </row>
    <row r="37" spans="1:33" ht="12.75" customHeight="1" outlineLevel="1">
      <c r="A37" s="529"/>
      <c r="B37" s="529"/>
      <c r="C37" s="529"/>
      <c r="E37" s="3837"/>
      <c r="F37" s="1769" t="s">
        <v>617</v>
      </c>
      <c r="G37" s="467"/>
      <c r="H37" s="513"/>
      <c r="I37" s="513"/>
      <c r="J37" s="513"/>
      <c r="K37" s="515"/>
      <c r="L37" s="517"/>
      <c r="M37" s="518"/>
      <c r="N37" s="518"/>
      <c r="O37" s="518"/>
      <c r="P37" s="519"/>
      <c r="Q37" s="467"/>
      <c r="R37" s="513"/>
      <c r="S37" s="513"/>
      <c r="T37" s="513"/>
      <c r="U37" s="515"/>
      <c r="V37" s="3693"/>
      <c r="W37" s="1427"/>
      <c r="X37" s="1427"/>
      <c r="Y37" s="1427"/>
      <c r="Z37" s="517"/>
      <c r="AA37" s="518"/>
      <c r="AB37" s="518"/>
      <c r="AC37" s="518"/>
      <c r="AD37" s="519"/>
      <c r="AE37" s="517"/>
      <c r="AF37" s="518"/>
      <c r="AG37" s="519"/>
    </row>
    <row r="38" spans="1:33" s="1019" customFormat="1" ht="12.75" customHeight="1" outlineLevel="1">
      <c r="D38" s="1018"/>
      <c r="E38" s="3837"/>
      <c r="F38" s="1796" t="s">
        <v>620</v>
      </c>
      <c r="G38" s="1399">
        <f t="shared" ref="G38:T38" si="10">SUM(G36:G37)</f>
        <v>0</v>
      </c>
      <c r="H38" s="1397">
        <f t="shared" si="10"/>
        <v>0</v>
      </c>
      <c r="I38" s="1397">
        <f t="shared" si="10"/>
        <v>0</v>
      </c>
      <c r="J38" s="1397">
        <f t="shared" si="10"/>
        <v>0</v>
      </c>
      <c r="K38" s="1398">
        <f t="shared" si="10"/>
        <v>0</v>
      </c>
      <c r="L38" s="1396">
        <f t="shared" si="10"/>
        <v>0</v>
      </c>
      <c r="M38" s="1397">
        <f t="shared" si="10"/>
        <v>0</v>
      </c>
      <c r="N38" s="1397">
        <f t="shared" si="10"/>
        <v>0</v>
      </c>
      <c r="O38" s="1397">
        <f t="shared" si="10"/>
        <v>0</v>
      </c>
      <c r="P38" s="1398">
        <f t="shared" si="10"/>
        <v>0</v>
      </c>
      <c r="Q38" s="1399">
        <f t="shared" si="10"/>
        <v>0</v>
      </c>
      <c r="R38" s="1397">
        <f t="shared" si="10"/>
        <v>0</v>
      </c>
      <c r="S38" s="1397">
        <f t="shared" si="10"/>
        <v>0</v>
      </c>
      <c r="T38" s="1397">
        <f t="shared" si="10"/>
        <v>0</v>
      </c>
      <c r="U38" s="1398"/>
      <c r="V38" s="3693"/>
      <c r="Z38" s="1396">
        <f t="shared" ref="Z38:AG38" si="11">SUM(Z36:Z37)</f>
        <v>0</v>
      </c>
      <c r="AA38" s="1397">
        <f t="shared" si="11"/>
        <v>0</v>
      </c>
      <c r="AB38" s="1397">
        <f t="shared" si="11"/>
        <v>0</v>
      </c>
      <c r="AC38" s="1397">
        <f t="shared" si="11"/>
        <v>0</v>
      </c>
      <c r="AD38" s="1398">
        <f t="shared" si="11"/>
        <v>0</v>
      </c>
      <c r="AE38" s="1396">
        <f t="shared" si="11"/>
        <v>0</v>
      </c>
      <c r="AF38" s="1397">
        <f t="shared" si="11"/>
        <v>0</v>
      </c>
      <c r="AG38" s="1398">
        <f t="shared" si="11"/>
        <v>0</v>
      </c>
    </row>
    <row r="39" spans="1:33" ht="12.75" customHeight="1" outlineLevel="1">
      <c r="A39" s="529"/>
      <c r="B39" s="529"/>
      <c r="C39" s="529"/>
      <c r="E39" s="3837"/>
      <c r="F39" s="1769" t="s">
        <v>35</v>
      </c>
      <c r="G39" s="467"/>
      <c r="H39" s="513"/>
      <c r="I39" s="513"/>
      <c r="J39" s="513"/>
      <c r="K39" s="515"/>
      <c r="L39" s="514"/>
      <c r="M39" s="513"/>
      <c r="N39" s="513"/>
      <c r="O39" s="513"/>
      <c r="P39" s="515"/>
      <c r="Q39" s="467"/>
      <c r="R39" s="513"/>
      <c r="S39" s="513"/>
      <c r="T39" s="513"/>
      <c r="U39" s="515"/>
      <c r="V39" s="3693"/>
      <c r="W39" s="1427"/>
      <c r="X39" s="1427"/>
      <c r="Y39" s="1427"/>
      <c r="Z39" s="517"/>
      <c r="AA39" s="518"/>
      <c r="AB39" s="518"/>
      <c r="AC39" s="518"/>
      <c r="AD39" s="519"/>
      <c r="AE39" s="517"/>
      <c r="AF39" s="518"/>
      <c r="AG39" s="519"/>
    </row>
    <row r="40" spans="1:33" s="1019" customFormat="1" ht="12.75" customHeight="1" outlineLevel="1" thickBot="1">
      <c r="D40" s="1018"/>
      <c r="E40" s="3838"/>
      <c r="F40" s="1798" t="s">
        <v>621</v>
      </c>
      <c r="G40" s="1404">
        <f t="shared" ref="G40:L40" si="12">G38-G39</f>
        <v>0</v>
      </c>
      <c r="H40" s="1402">
        <f t="shared" si="12"/>
        <v>0</v>
      </c>
      <c r="I40" s="1402">
        <f t="shared" si="12"/>
        <v>0</v>
      </c>
      <c r="J40" s="1402">
        <f t="shared" si="12"/>
        <v>0</v>
      </c>
      <c r="K40" s="1403">
        <f t="shared" si="12"/>
        <v>0</v>
      </c>
      <c r="L40" s="1805">
        <f t="shared" si="12"/>
        <v>0</v>
      </c>
      <c r="M40" s="1402">
        <f>M38-M39</f>
        <v>0</v>
      </c>
      <c r="N40" s="1402">
        <f t="shared" ref="N40:P40" si="13">N38-N39</f>
        <v>0</v>
      </c>
      <c r="O40" s="1402">
        <f t="shared" si="13"/>
        <v>0</v>
      </c>
      <c r="P40" s="1403">
        <f t="shared" si="13"/>
        <v>0</v>
      </c>
      <c r="Q40" s="1404">
        <f>Q38-Q39</f>
        <v>0</v>
      </c>
      <c r="R40" s="1402">
        <f>R38-R39</f>
        <v>0</v>
      </c>
      <c r="S40" s="1402">
        <f>S38-S39</f>
        <v>0</v>
      </c>
      <c r="T40" s="1402">
        <f>T38-T39</f>
        <v>0</v>
      </c>
      <c r="U40" s="1403"/>
      <c r="V40" s="3694"/>
      <c r="Z40" s="1805">
        <f t="shared" ref="Z40:AE40" si="14">Z38-Z39</f>
        <v>0</v>
      </c>
      <c r="AA40" s="1402">
        <f t="shared" si="14"/>
        <v>0</v>
      </c>
      <c r="AB40" s="1402">
        <f t="shared" si="14"/>
        <v>0</v>
      </c>
      <c r="AC40" s="1402">
        <f t="shared" si="14"/>
        <v>0</v>
      </c>
      <c r="AD40" s="1403">
        <f t="shared" si="14"/>
        <v>0</v>
      </c>
      <c r="AE40" s="1805">
        <f t="shared" si="14"/>
        <v>0</v>
      </c>
      <c r="AF40" s="1402">
        <f>AF38-AF39</f>
        <v>0</v>
      </c>
      <c r="AG40" s="1403">
        <f t="shared" ref="AG40" si="15">AG38-AG39</f>
        <v>0</v>
      </c>
    </row>
    <row r="41" spans="1:33" outlineLevel="1">
      <c r="A41" s="229"/>
      <c r="B41" s="229"/>
      <c r="C41" s="229"/>
      <c r="E41" s="3836" t="s">
        <v>373</v>
      </c>
      <c r="F41" s="1797" t="s">
        <v>634</v>
      </c>
      <c r="G41" s="589"/>
      <c r="H41" s="589"/>
      <c r="I41" s="589"/>
      <c r="J41" s="589"/>
      <c r="K41" s="590"/>
      <c r="L41" s="599"/>
      <c r="M41" s="600"/>
      <c r="N41" s="600"/>
      <c r="O41" s="600"/>
      <c r="P41" s="601"/>
      <c r="Q41" s="600"/>
      <c r="R41" s="600"/>
      <c r="S41" s="600"/>
      <c r="T41" s="600"/>
      <c r="U41" s="601"/>
      <c r="V41" s="3692"/>
      <c r="W41" s="1427"/>
      <c r="X41" s="1427"/>
      <c r="Y41" s="1427"/>
      <c r="Z41" s="588"/>
      <c r="AA41" s="589"/>
      <c r="AB41" s="589"/>
      <c r="AC41" s="589"/>
      <c r="AD41" s="590"/>
      <c r="AE41" s="599"/>
      <c r="AF41" s="600"/>
      <c r="AG41" s="601"/>
    </row>
    <row r="42" spans="1:33" ht="12.75" customHeight="1" outlineLevel="1">
      <c r="A42" s="229"/>
      <c r="B42" s="229"/>
      <c r="C42" s="229"/>
      <c r="E42" s="3837"/>
      <c r="F42" s="1769" t="s">
        <v>595</v>
      </c>
      <c r="G42" s="523"/>
      <c r="H42" s="523"/>
      <c r="I42" s="523"/>
      <c r="J42" s="523"/>
      <c r="K42" s="591"/>
      <c r="L42" s="514"/>
      <c r="M42" s="513"/>
      <c r="N42" s="513"/>
      <c r="O42" s="513"/>
      <c r="P42" s="515"/>
      <c r="Q42" s="467"/>
      <c r="R42" s="513"/>
      <c r="S42" s="513"/>
      <c r="T42" s="513"/>
      <c r="U42" s="515"/>
      <c r="V42" s="3693"/>
      <c r="W42" s="1427"/>
      <c r="X42" s="1427"/>
      <c r="Y42" s="1427"/>
      <c r="Z42" s="525"/>
      <c r="AA42" s="523"/>
      <c r="AB42" s="523"/>
      <c r="AC42" s="523"/>
      <c r="AD42" s="591"/>
      <c r="AE42" s="517"/>
      <c r="AF42" s="518"/>
      <c r="AG42" s="519"/>
    </row>
    <row r="43" spans="1:33" ht="12.75" customHeight="1" outlineLevel="1">
      <c r="A43" s="529"/>
      <c r="B43" s="529"/>
      <c r="C43" s="529"/>
      <c r="E43" s="3837"/>
      <c r="F43" s="1769" t="s">
        <v>594</v>
      </c>
      <c r="G43" s="523"/>
      <c r="H43" s="523"/>
      <c r="I43" s="523"/>
      <c r="J43" s="523"/>
      <c r="K43" s="591"/>
      <c r="L43" s="514"/>
      <c r="M43" s="513"/>
      <c r="N43" s="513"/>
      <c r="O43" s="513"/>
      <c r="P43" s="515"/>
      <c r="Q43" s="467"/>
      <c r="R43" s="513"/>
      <c r="S43" s="513"/>
      <c r="T43" s="513"/>
      <c r="U43" s="515"/>
      <c r="V43" s="3693"/>
      <c r="W43" s="1427"/>
      <c r="X43" s="1427"/>
      <c r="Y43" s="1427"/>
      <c r="Z43" s="525"/>
      <c r="AA43" s="523"/>
      <c r="AB43" s="523"/>
      <c r="AC43" s="523"/>
      <c r="AD43" s="591"/>
      <c r="AE43" s="517"/>
      <c r="AF43" s="518"/>
      <c r="AG43" s="519"/>
    </row>
    <row r="44" spans="1:33" ht="12.75" customHeight="1" outlineLevel="1">
      <c r="A44" s="529"/>
      <c r="B44" s="529"/>
      <c r="C44" s="529"/>
      <c r="E44" s="3837"/>
      <c r="F44" s="1769" t="s">
        <v>614</v>
      </c>
      <c r="G44" s="523"/>
      <c r="H44" s="523"/>
      <c r="I44" s="523"/>
      <c r="J44" s="523"/>
      <c r="K44" s="591"/>
      <c r="L44" s="514"/>
      <c r="M44" s="513"/>
      <c r="N44" s="513"/>
      <c r="O44" s="513"/>
      <c r="P44" s="515"/>
      <c r="Q44" s="467"/>
      <c r="R44" s="513"/>
      <c r="S44" s="513"/>
      <c r="T44" s="513"/>
      <c r="U44" s="515"/>
      <c r="V44" s="3693"/>
      <c r="W44" s="1427"/>
      <c r="X44" s="1427"/>
      <c r="Y44" s="1427"/>
      <c r="Z44" s="525"/>
      <c r="AA44" s="523"/>
      <c r="AB44" s="523"/>
      <c r="AC44" s="523"/>
      <c r="AD44" s="591"/>
      <c r="AE44" s="517"/>
      <c r="AF44" s="518"/>
      <c r="AG44" s="519"/>
    </row>
    <row r="45" spans="1:33" ht="12.75" customHeight="1" outlineLevel="1">
      <c r="A45" s="529"/>
      <c r="B45" s="529"/>
      <c r="C45" s="529"/>
      <c r="E45" s="3837"/>
      <c r="F45" s="1796" t="s">
        <v>602</v>
      </c>
      <c r="G45" s="467"/>
      <c r="H45" s="513"/>
      <c r="I45" s="513"/>
      <c r="J45" s="513"/>
      <c r="K45" s="515"/>
      <c r="L45" s="401"/>
      <c r="M45" s="402">
        <f t="shared" ref="M45:T45" si="16">SUM(M42:M44)</f>
        <v>0</v>
      </c>
      <c r="N45" s="402">
        <f t="shared" si="16"/>
        <v>0</v>
      </c>
      <c r="O45" s="402">
        <f t="shared" si="16"/>
        <v>0</v>
      </c>
      <c r="P45" s="505">
        <f t="shared" si="16"/>
        <v>0</v>
      </c>
      <c r="Q45" s="502">
        <f t="shared" si="16"/>
        <v>0</v>
      </c>
      <c r="R45" s="402">
        <f t="shared" si="16"/>
        <v>0</v>
      </c>
      <c r="S45" s="402">
        <f t="shared" si="16"/>
        <v>0</v>
      </c>
      <c r="T45" s="402">
        <f t="shared" si="16"/>
        <v>0</v>
      </c>
      <c r="U45" s="505"/>
      <c r="V45" s="3693"/>
      <c r="W45" s="1427"/>
      <c r="X45" s="1427"/>
      <c r="Y45" s="1427"/>
      <c r="Z45" s="517"/>
      <c r="AA45" s="518"/>
      <c r="AB45" s="518"/>
      <c r="AC45" s="518"/>
      <c r="AD45" s="519"/>
      <c r="AE45" s="401"/>
      <c r="AF45" s="402">
        <f t="shared" ref="AF45:AG45" si="17">SUM(AF42:AF44)</f>
        <v>0</v>
      </c>
      <c r="AG45" s="505">
        <f t="shared" si="17"/>
        <v>0</v>
      </c>
    </row>
    <row r="46" spans="1:33" ht="12.75" customHeight="1" outlineLevel="1">
      <c r="A46" s="529"/>
      <c r="B46" s="529"/>
      <c r="C46" s="529"/>
      <c r="E46" s="3837"/>
      <c r="F46" s="1769" t="s">
        <v>619</v>
      </c>
      <c r="G46" s="467"/>
      <c r="H46" s="513"/>
      <c r="I46" s="513"/>
      <c r="J46" s="513"/>
      <c r="K46" s="515"/>
      <c r="L46" s="569"/>
      <c r="M46" s="570"/>
      <c r="N46" s="570"/>
      <c r="O46" s="570"/>
      <c r="P46" s="608"/>
      <c r="Q46" s="561"/>
      <c r="R46" s="532"/>
      <c r="S46" s="532"/>
      <c r="T46" s="532"/>
      <c r="U46" s="579"/>
      <c r="V46" s="3693"/>
      <c r="W46" s="1427"/>
      <c r="X46" s="1427"/>
      <c r="Y46" s="1427"/>
      <c r="Z46" s="517"/>
      <c r="AA46" s="518"/>
      <c r="AB46" s="518"/>
      <c r="AC46" s="518"/>
      <c r="AD46" s="519"/>
      <c r="AE46" s="569"/>
      <c r="AF46" s="570"/>
      <c r="AG46" s="608"/>
    </row>
    <row r="47" spans="1:33" ht="12.75" customHeight="1" outlineLevel="1">
      <c r="A47" s="529"/>
      <c r="B47" s="529"/>
      <c r="C47" s="529"/>
      <c r="E47" s="3837"/>
      <c r="F47" s="1769" t="s">
        <v>617</v>
      </c>
      <c r="G47" s="467"/>
      <c r="H47" s="513"/>
      <c r="I47" s="513"/>
      <c r="J47" s="513"/>
      <c r="K47" s="515"/>
      <c r="L47" s="517"/>
      <c r="M47" s="518"/>
      <c r="N47" s="518"/>
      <c r="O47" s="518"/>
      <c r="P47" s="519"/>
      <c r="Q47" s="467"/>
      <c r="R47" s="513"/>
      <c r="S47" s="513"/>
      <c r="T47" s="513"/>
      <c r="U47" s="515"/>
      <c r="V47" s="3693"/>
      <c r="W47" s="1427"/>
      <c r="X47" s="1427"/>
      <c r="Y47" s="1427"/>
      <c r="Z47" s="517"/>
      <c r="AA47" s="518"/>
      <c r="AB47" s="518"/>
      <c r="AC47" s="518"/>
      <c r="AD47" s="519"/>
      <c r="AE47" s="517"/>
      <c r="AF47" s="518"/>
      <c r="AG47" s="519"/>
    </row>
    <row r="48" spans="1:33" s="1019" customFormat="1" ht="12.75" customHeight="1" outlineLevel="1">
      <c r="D48" s="1018"/>
      <c r="E48" s="3837"/>
      <c r="F48" s="1796" t="s">
        <v>620</v>
      </c>
      <c r="G48" s="1399">
        <f t="shared" ref="G48:T48" si="18">SUM(G46:G47)</f>
        <v>0</v>
      </c>
      <c r="H48" s="1397">
        <f t="shared" si="18"/>
        <v>0</v>
      </c>
      <c r="I48" s="1397">
        <f t="shared" si="18"/>
        <v>0</v>
      </c>
      <c r="J48" s="1397">
        <f t="shared" si="18"/>
        <v>0</v>
      </c>
      <c r="K48" s="1398">
        <f t="shared" si="18"/>
        <v>0</v>
      </c>
      <c r="L48" s="1396">
        <f t="shared" si="18"/>
        <v>0</v>
      </c>
      <c r="M48" s="1397">
        <f t="shared" si="18"/>
        <v>0</v>
      </c>
      <c r="N48" s="1397">
        <f t="shared" si="18"/>
        <v>0</v>
      </c>
      <c r="O48" s="1397">
        <f t="shared" si="18"/>
        <v>0</v>
      </c>
      <c r="P48" s="1398">
        <f t="shared" si="18"/>
        <v>0</v>
      </c>
      <c r="Q48" s="1399">
        <f t="shared" si="18"/>
        <v>0</v>
      </c>
      <c r="R48" s="1397">
        <f t="shared" si="18"/>
        <v>0</v>
      </c>
      <c r="S48" s="1397">
        <f t="shared" si="18"/>
        <v>0</v>
      </c>
      <c r="T48" s="1397">
        <f t="shared" si="18"/>
        <v>0</v>
      </c>
      <c r="U48" s="1398"/>
      <c r="V48" s="3693"/>
      <c r="Z48" s="1396">
        <f t="shared" ref="Z48:AG48" si="19">SUM(Z46:Z47)</f>
        <v>0</v>
      </c>
      <c r="AA48" s="1397">
        <f t="shared" si="19"/>
        <v>0</v>
      </c>
      <c r="AB48" s="1397">
        <f t="shared" si="19"/>
        <v>0</v>
      </c>
      <c r="AC48" s="1397">
        <f t="shared" si="19"/>
        <v>0</v>
      </c>
      <c r="AD48" s="1398">
        <f t="shared" si="19"/>
        <v>0</v>
      </c>
      <c r="AE48" s="1396">
        <f t="shared" si="19"/>
        <v>0</v>
      </c>
      <c r="AF48" s="1397">
        <f t="shared" si="19"/>
        <v>0</v>
      </c>
      <c r="AG48" s="1398">
        <f t="shared" si="19"/>
        <v>0</v>
      </c>
    </row>
    <row r="49" spans="1:33" ht="12.75" customHeight="1" outlineLevel="1">
      <c r="A49" s="529"/>
      <c r="B49" s="529"/>
      <c r="C49" s="529"/>
      <c r="E49" s="3837"/>
      <c r="F49" s="1769" t="s">
        <v>35</v>
      </c>
      <c r="G49" s="467"/>
      <c r="H49" s="513"/>
      <c r="I49" s="513"/>
      <c r="J49" s="513"/>
      <c r="K49" s="515"/>
      <c r="L49" s="514"/>
      <c r="M49" s="513"/>
      <c r="N49" s="513"/>
      <c r="O49" s="513"/>
      <c r="P49" s="515"/>
      <c r="Q49" s="467"/>
      <c r="R49" s="513"/>
      <c r="S49" s="513"/>
      <c r="T49" s="513"/>
      <c r="U49" s="515"/>
      <c r="V49" s="3693"/>
      <c r="W49" s="1427"/>
      <c r="X49" s="1427"/>
      <c r="Y49" s="1427"/>
      <c r="Z49" s="517"/>
      <c r="AA49" s="518"/>
      <c r="AB49" s="518"/>
      <c r="AC49" s="518"/>
      <c r="AD49" s="519"/>
      <c r="AE49" s="517"/>
      <c r="AF49" s="518"/>
      <c r="AG49" s="519"/>
    </row>
    <row r="50" spans="1:33" s="1019" customFormat="1" ht="12.75" customHeight="1" outlineLevel="1" thickBot="1">
      <c r="D50" s="1018"/>
      <c r="E50" s="3838"/>
      <c r="F50" s="1798" t="s">
        <v>621</v>
      </c>
      <c r="G50" s="1404">
        <f t="shared" ref="G50:L50" si="20">G48-G49</f>
        <v>0</v>
      </c>
      <c r="H50" s="1402">
        <f t="shared" si="20"/>
        <v>0</v>
      </c>
      <c r="I50" s="1402">
        <f t="shared" si="20"/>
        <v>0</v>
      </c>
      <c r="J50" s="1402">
        <f t="shared" si="20"/>
        <v>0</v>
      </c>
      <c r="K50" s="1403">
        <f t="shared" si="20"/>
        <v>0</v>
      </c>
      <c r="L50" s="1805">
        <f t="shared" si="20"/>
        <v>0</v>
      </c>
      <c r="M50" s="1402">
        <f>M48-M49</f>
        <v>0</v>
      </c>
      <c r="N50" s="1402">
        <f t="shared" ref="N50:P50" si="21">N48-N49</f>
        <v>0</v>
      </c>
      <c r="O50" s="1402">
        <f t="shared" si="21"/>
        <v>0</v>
      </c>
      <c r="P50" s="1403">
        <f t="shared" si="21"/>
        <v>0</v>
      </c>
      <c r="Q50" s="1404">
        <f>Q48-Q49</f>
        <v>0</v>
      </c>
      <c r="R50" s="1402">
        <f>R48-R49</f>
        <v>0</v>
      </c>
      <c r="S50" s="1402">
        <f>S48-S49</f>
        <v>0</v>
      </c>
      <c r="T50" s="1402">
        <f>T48-T49</f>
        <v>0</v>
      </c>
      <c r="U50" s="1403"/>
      <c r="V50" s="3694"/>
      <c r="Z50" s="1805">
        <f t="shared" ref="Z50:AE50" si="22">Z48-Z49</f>
        <v>0</v>
      </c>
      <c r="AA50" s="1402">
        <f t="shared" si="22"/>
        <v>0</v>
      </c>
      <c r="AB50" s="1402">
        <f t="shared" si="22"/>
        <v>0</v>
      </c>
      <c r="AC50" s="1402">
        <f t="shared" si="22"/>
        <v>0</v>
      </c>
      <c r="AD50" s="1403">
        <f t="shared" si="22"/>
        <v>0</v>
      </c>
      <c r="AE50" s="1805">
        <f t="shared" si="22"/>
        <v>0</v>
      </c>
      <c r="AF50" s="1402">
        <f>AF48-AF49</f>
        <v>0</v>
      </c>
      <c r="AG50" s="1403">
        <f t="shared" ref="AG50" si="23">AG48-AG49</f>
        <v>0</v>
      </c>
    </row>
    <row r="51" spans="1:33" s="229" customFormat="1" ht="40.5" customHeight="1" thickBot="1">
      <c r="A51" s="308"/>
      <c r="B51" s="308"/>
      <c r="C51" s="308"/>
      <c r="D51" s="308"/>
      <c r="E51" s="1824" t="s">
        <v>374</v>
      </c>
      <c r="F51" s="1799"/>
      <c r="G51" s="1793"/>
      <c r="H51" s="1794"/>
      <c r="I51" s="1794"/>
      <c r="J51" s="1794"/>
      <c r="K51" s="1794"/>
      <c r="L51" s="1794"/>
      <c r="M51" s="1794"/>
      <c r="N51" s="1794"/>
      <c r="O51" s="1794"/>
      <c r="P51" s="1794"/>
      <c r="Q51" s="1794"/>
      <c r="R51" s="1794"/>
      <c r="S51" s="1794"/>
      <c r="T51" s="1794"/>
      <c r="U51" s="1794"/>
      <c r="V51" s="1795"/>
      <c r="W51" s="1427"/>
      <c r="X51" s="1427"/>
      <c r="Y51" s="1427"/>
      <c r="Z51" s="2182"/>
      <c r="AA51" s="1794"/>
      <c r="AB51" s="1794"/>
      <c r="AC51" s="1794"/>
      <c r="AD51" s="1794"/>
      <c r="AE51" s="1794"/>
      <c r="AF51" s="1794"/>
      <c r="AG51" s="1795"/>
    </row>
    <row r="52" spans="1:33" outlineLevel="1">
      <c r="A52" s="229"/>
      <c r="B52" s="229"/>
      <c r="C52" s="229"/>
      <c r="E52" s="3836" t="s">
        <v>373</v>
      </c>
      <c r="F52" s="1797" t="s">
        <v>634</v>
      </c>
      <c r="G52" s="589"/>
      <c r="H52" s="589"/>
      <c r="I52" s="589"/>
      <c r="J52" s="589"/>
      <c r="K52" s="590"/>
      <c r="L52" s="599"/>
      <c r="M52" s="600"/>
      <c r="N52" s="600"/>
      <c r="O52" s="600"/>
      <c r="P52" s="601"/>
      <c r="Q52" s="600"/>
      <c r="R52" s="600"/>
      <c r="S52" s="600"/>
      <c r="T52" s="600"/>
      <c r="U52" s="601"/>
      <c r="V52" s="3692"/>
      <c r="W52" s="1427"/>
      <c r="X52" s="1427"/>
      <c r="Y52" s="1427"/>
      <c r="Z52" s="588"/>
      <c r="AA52" s="589"/>
      <c r="AB52" s="589"/>
      <c r="AC52" s="589"/>
      <c r="AD52" s="590"/>
      <c r="AE52" s="599"/>
      <c r="AF52" s="600"/>
      <c r="AG52" s="601"/>
    </row>
    <row r="53" spans="1:33" ht="12.75" customHeight="1" outlineLevel="1">
      <c r="A53" s="229"/>
      <c r="B53" s="229"/>
      <c r="C53" s="229"/>
      <c r="E53" s="3837"/>
      <c r="F53" s="1769" t="s">
        <v>595</v>
      </c>
      <c r="G53" s="523"/>
      <c r="H53" s="523"/>
      <c r="I53" s="523"/>
      <c r="J53" s="523"/>
      <c r="K53" s="591"/>
      <c r="L53" s="514"/>
      <c r="M53" s="513"/>
      <c r="N53" s="513"/>
      <c r="O53" s="513"/>
      <c r="P53" s="515"/>
      <c r="Q53" s="467"/>
      <c r="R53" s="513"/>
      <c r="S53" s="513"/>
      <c r="T53" s="513"/>
      <c r="U53" s="515"/>
      <c r="V53" s="3693"/>
      <c r="W53" s="1427"/>
      <c r="X53" s="1427"/>
      <c r="Y53" s="1427"/>
      <c r="Z53" s="525"/>
      <c r="AA53" s="523"/>
      <c r="AB53" s="523"/>
      <c r="AC53" s="523"/>
      <c r="AD53" s="591"/>
      <c r="AE53" s="517"/>
      <c r="AF53" s="518"/>
      <c r="AG53" s="519"/>
    </row>
    <row r="54" spans="1:33" ht="12.75" customHeight="1" outlineLevel="1">
      <c r="A54" s="529"/>
      <c r="B54" s="529"/>
      <c r="C54" s="529"/>
      <c r="E54" s="3837"/>
      <c r="F54" s="1769" t="s">
        <v>594</v>
      </c>
      <c r="G54" s="523"/>
      <c r="H54" s="523"/>
      <c r="I54" s="523"/>
      <c r="J54" s="523"/>
      <c r="K54" s="591"/>
      <c r="L54" s="514"/>
      <c r="M54" s="513"/>
      <c r="N54" s="513"/>
      <c r="O54" s="513"/>
      <c r="P54" s="515"/>
      <c r="Q54" s="467"/>
      <c r="R54" s="513"/>
      <c r="S54" s="513"/>
      <c r="T54" s="513"/>
      <c r="U54" s="515"/>
      <c r="V54" s="3693"/>
      <c r="W54" s="1427"/>
      <c r="X54" s="1427"/>
      <c r="Y54" s="1427"/>
      <c r="Z54" s="525"/>
      <c r="AA54" s="523"/>
      <c r="AB54" s="523"/>
      <c r="AC54" s="523"/>
      <c r="AD54" s="591"/>
      <c r="AE54" s="517"/>
      <c r="AF54" s="518"/>
      <c r="AG54" s="519"/>
    </row>
    <row r="55" spans="1:33" ht="12.75" customHeight="1" outlineLevel="1">
      <c r="A55" s="529"/>
      <c r="B55" s="529"/>
      <c r="C55" s="529"/>
      <c r="E55" s="3837"/>
      <c r="F55" s="1769" t="s">
        <v>614</v>
      </c>
      <c r="G55" s="523"/>
      <c r="H55" s="523"/>
      <c r="I55" s="523"/>
      <c r="J55" s="523"/>
      <c r="K55" s="591"/>
      <c r="L55" s="514"/>
      <c r="M55" s="513"/>
      <c r="N55" s="513"/>
      <c r="O55" s="513"/>
      <c r="P55" s="515"/>
      <c r="Q55" s="467"/>
      <c r="R55" s="513"/>
      <c r="S55" s="513"/>
      <c r="T55" s="513"/>
      <c r="U55" s="515"/>
      <c r="V55" s="3693"/>
      <c r="W55" s="1427"/>
      <c r="X55" s="1427"/>
      <c r="Y55" s="1427"/>
      <c r="Z55" s="525"/>
      <c r="AA55" s="523"/>
      <c r="AB55" s="523"/>
      <c r="AC55" s="523"/>
      <c r="AD55" s="591"/>
      <c r="AE55" s="517"/>
      <c r="AF55" s="518"/>
      <c r="AG55" s="519"/>
    </row>
    <row r="56" spans="1:33" ht="12.75" customHeight="1" outlineLevel="1">
      <c r="A56" s="529"/>
      <c r="B56" s="529"/>
      <c r="C56" s="529"/>
      <c r="E56" s="3837"/>
      <c r="F56" s="1796" t="s">
        <v>602</v>
      </c>
      <c r="G56" s="467"/>
      <c r="H56" s="513"/>
      <c r="I56" s="513"/>
      <c r="J56" s="513"/>
      <c r="K56" s="515"/>
      <c r="L56" s="401"/>
      <c r="M56" s="402">
        <f t="shared" ref="M56:T56" si="24">SUM(M53:M55)</f>
        <v>0</v>
      </c>
      <c r="N56" s="402">
        <f t="shared" si="24"/>
        <v>0</v>
      </c>
      <c r="O56" s="402">
        <f t="shared" si="24"/>
        <v>0</v>
      </c>
      <c r="P56" s="505">
        <f t="shared" si="24"/>
        <v>0</v>
      </c>
      <c r="Q56" s="502">
        <f t="shared" si="24"/>
        <v>0</v>
      </c>
      <c r="R56" s="402">
        <f t="shared" si="24"/>
        <v>0</v>
      </c>
      <c r="S56" s="402">
        <f t="shared" si="24"/>
        <v>0</v>
      </c>
      <c r="T56" s="402">
        <f t="shared" si="24"/>
        <v>0</v>
      </c>
      <c r="U56" s="505"/>
      <c r="V56" s="3693"/>
      <c r="W56" s="1427"/>
      <c r="X56" s="1427"/>
      <c r="Y56" s="1427"/>
      <c r="Z56" s="517"/>
      <c r="AA56" s="518"/>
      <c r="AB56" s="518"/>
      <c r="AC56" s="518"/>
      <c r="AD56" s="519"/>
      <c r="AE56" s="401"/>
      <c r="AF56" s="402">
        <f t="shared" ref="AF56:AG56" si="25">SUM(AF53:AF55)</f>
        <v>0</v>
      </c>
      <c r="AG56" s="505">
        <f t="shared" si="25"/>
        <v>0</v>
      </c>
    </row>
    <row r="57" spans="1:33" ht="12.75" customHeight="1" outlineLevel="1">
      <c r="A57" s="529"/>
      <c r="B57" s="529"/>
      <c r="C57" s="529"/>
      <c r="E57" s="3837"/>
      <c r="F57" s="1769" t="s">
        <v>619</v>
      </c>
      <c r="G57" s="467"/>
      <c r="H57" s="513"/>
      <c r="I57" s="513"/>
      <c r="J57" s="513"/>
      <c r="K57" s="515"/>
      <c r="L57" s="569"/>
      <c r="M57" s="570"/>
      <c r="N57" s="570"/>
      <c r="O57" s="570"/>
      <c r="P57" s="608"/>
      <c r="Q57" s="561"/>
      <c r="R57" s="532"/>
      <c r="S57" s="532"/>
      <c r="T57" s="532"/>
      <c r="U57" s="579"/>
      <c r="V57" s="3693"/>
      <c r="W57" s="1427"/>
      <c r="X57" s="1427"/>
      <c r="Y57" s="1427"/>
      <c r="Z57" s="517"/>
      <c r="AA57" s="518"/>
      <c r="AB57" s="518"/>
      <c r="AC57" s="518"/>
      <c r="AD57" s="519"/>
      <c r="AE57" s="569"/>
      <c r="AF57" s="570"/>
      <c r="AG57" s="608"/>
    </row>
    <row r="58" spans="1:33" ht="12.75" customHeight="1" outlineLevel="1">
      <c r="A58" s="529"/>
      <c r="B58" s="529"/>
      <c r="C58" s="529"/>
      <c r="E58" s="3837"/>
      <c r="F58" s="1769" t="s">
        <v>617</v>
      </c>
      <c r="G58" s="467"/>
      <c r="H58" s="513"/>
      <c r="I58" s="513"/>
      <c r="J58" s="513"/>
      <c r="K58" s="515"/>
      <c r="L58" s="517"/>
      <c r="M58" s="518"/>
      <c r="N58" s="518"/>
      <c r="O58" s="518"/>
      <c r="P58" s="519"/>
      <c r="Q58" s="467"/>
      <c r="R58" s="513"/>
      <c r="S58" s="513"/>
      <c r="T58" s="513"/>
      <c r="U58" s="515"/>
      <c r="V58" s="3693"/>
      <c r="W58" s="1427"/>
      <c r="X58" s="1427"/>
      <c r="Y58" s="1427"/>
      <c r="Z58" s="517"/>
      <c r="AA58" s="518"/>
      <c r="AB58" s="518"/>
      <c r="AC58" s="518"/>
      <c r="AD58" s="519"/>
      <c r="AE58" s="517"/>
      <c r="AF58" s="518"/>
      <c r="AG58" s="519"/>
    </row>
    <row r="59" spans="1:33" s="1019" customFormat="1" ht="12.75" customHeight="1" outlineLevel="1">
      <c r="D59" s="1018"/>
      <c r="E59" s="3837"/>
      <c r="F59" s="1796" t="s">
        <v>620</v>
      </c>
      <c r="G59" s="1399">
        <f t="shared" ref="G59:T59" si="26">SUM(G57:G58)</f>
        <v>0</v>
      </c>
      <c r="H59" s="1397">
        <f t="shared" si="26"/>
        <v>0</v>
      </c>
      <c r="I59" s="1397">
        <f t="shared" si="26"/>
        <v>0</v>
      </c>
      <c r="J59" s="1397">
        <f t="shared" si="26"/>
        <v>0</v>
      </c>
      <c r="K59" s="1398">
        <f t="shared" si="26"/>
        <v>0</v>
      </c>
      <c r="L59" s="1396">
        <f t="shared" si="26"/>
        <v>0</v>
      </c>
      <c r="M59" s="1397">
        <f t="shared" si="26"/>
        <v>0</v>
      </c>
      <c r="N59" s="1397">
        <f t="shared" si="26"/>
        <v>0</v>
      </c>
      <c r="O59" s="1397">
        <f t="shared" si="26"/>
        <v>0</v>
      </c>
      <c r="P59" s="1398">
        <f t="shared" si="26"/>
        <v>0</v>
      </c>
      <c r="Q59" s="1399">
        <f t="shared" si="26"/>
        <v>0</v>
      </c>
      <c r="R59" s="1397">
        <f t="shared" si="26"/>
        <v>0</v>
      </c>
      <c r="S59" s="1397">
        <f t="shared" si="26"/>
        <v>0</v>
      </c>
      <c r="T59" s="1397">
        <f t="shared" si="26"/>
        <v>0</v>
      </c>
      <c r="U59" s="1398"/>
      <c r="V59" s="3693"/>
      <c r="Z59" s="1396">
        <f t="shared" ref="Z59:AG59" si="27">SUM(Z57:Z58)</f>
        <v>0</v>
      </c>
      <c r="AA59" s="1397">
        <f t="shared" si="27"/>
        <v>0</v>
      </c>
      <c r="AB59" s="1397">
        <f t="shared" si="27"/>
        <v>0</v>
      </c>
      <c r="AC59" s="1397">
        <f t="shared" si="27"/>
        <v>0</v>
      </c>
      <c r="AD59" s="1398">
        <f t="shared" si="27"/>
        <v>0</v>
      </c>
      <c r="AE59" s="1396">
        <f t="shared" si="27"/>
        <v>0</v>
      </c>
      <c r="AF59" s="1397">
        <f t="shared" si="27"/>
        <v>0</v>
      </c>
      <c r="AG59" s="1398">
        <f t="shared" si="27"/>
        <v>0</v>
      </c>
    </row>
    <row r="60" spans="1:33" ht="12.75" customHeight="1" outlineLevel="1">
      <c r="A60" s="529"/>
      <c r="B60" s="529"/>
      <c r="C60" s="529"/>
      <c r="E60" s="3837"/>
      <c r="F60" s="1769" t="s">
        <v>35</v>
      </c>
      <c r="G60" s="467"/>
      <c r="H60" s="513"/>
      <c r="I60" s="513"/>
      <c r="J60" s="513"/>
      <c r="K60" s="515"/>
      <c r="L60" s="514"/>
      <c r="M60" s="513"/>
      <c r="N60" s="513"/>
      <c r="O60" s="513"/>
      <c r="P60" s="515"/>
      <c r="Q60" s="467"/>
      <c r="R60" s="513"/>
      <c r="S60" s="513"/>
      <c r="T60" s="513"/>
      <c r="U60" s="515"/>
      <c r="V60" s="3693"/>
      <c r="W60" s="1427"/>
      <c r="X60" s="1427"/>
      <c r="Y60" s="1427"/>
      <c r="Z60" s="517"/>
      <c r="AA60" s="518"/>
      <c r="AB60" s="518"/>
      <c r="AC60" s="518"/>
      <c r="AD60" s="519"/>
      <c r="AE60" s="517"/>
      <c r="AF60" s="518"/>
      <c r="AG60" s="519"/>
    </row>
    <row r="61" spans="1:33" s="1019" customFormat="1" ht="12.75" customHeight="1" outlineLevel="1" thickBot="1">
      <c r="D61" s="1018"/>
      <c r="E61" s="3838"/>
      <c r="F61" s="1798" t="s">
        <v>621</v>
      </c>
      <c r="G61" s="1404">
        <f t="shared" ref="G61:L61" si="28">G59-G60</f>
        <v>0</v>
      </c>
      <c r="H61" s="1402">
        <f t="shared" si="28"/>
        <v>0</v>
      </c>
      <c r="I61" s="1402">
        <f t="shared" si="28"/>
        <v>0</v>
      </c>
      <c r="J61" s="1402">
        <f t="shared" si="28"/>
        <v>0</v>
      </c>
      <c r="K61" s="1403">
        <f t="shared" si="28"/>
        <v>0</v>
      </c>
      <c r="L61" s="1805">
        <f t="shared" si="28"/>
        <v>0</v>
      </c>
      <c r="M61" s="1402">
        <f>M59-M60</f>
        <v>0</v>
      </c>
      <c r="N61" s="1402">
        <f t="shared" ref="N61:P61" si="29">N59-N60</f>
        <v>0</v>
      </c>
      <c r="O61" s="1402">
        <f t="shared" si="29"/>
        <v>0</v>
      </c>
      <c r="P61" s="1403">
        <f t="shared" si="29"/>
        <v>0</v>
      </c>
      <c r="Q61" s="1404">
        <f>Q59-Q60</f>
        <v>0</v>
      </c>
      <c r="R61" s="1402">
        <f>R59-R60</f>
        <v>0</v>
      </c>
      <c r="S61" s="1402">
        <f>S59-S60</f>
        <v>0</v>
      </c>
      <c r="T61" s="1402">
        <f>T59-T60</f>
        <v>0</v>
      </c>
      <c r="U61" s="1403"/>
      <c r="V61" s="3694"/>
      <c r="Z61" s="1805">
        <f t="shared" ref="Z61:AE61" si="30">Z59-Z60</f>
        <v>0</v>
      </c>
      <c r="AA61" s="1402">
        <f t="shared" si="30"/>
        <v>0</v>
      </c>
      <c r="AB61" s="1402">
        <f t="shared" si="30"/>
        <v>0</v>
      </c>
      <c r="AC61" s="1402">
        <f t="shared" si="30"/>
        <v>0</v>
      </c>
      <c r="AD61" s="1403">
        <f t="shared" si="30"/>
        <v>0</v>
      </c>
      <c r="AE61" s="1805">
        <f t="shared" si="30"/>
        <v>0</v>
      </c>
      <c r="AF61" s="1402">
        <f>AF59-AF60</f>
        <v>0</v>
      </c>
      <c r="AG61" s="1403">
        <f t="shared" ref="AG61" si="31">AG59-AG60</f>
        <v>0</v>
      </c>
    </row>
    <row r="62" spans="1:33" outlineLevel="1">
      <c r="A62" s="229"/>
      <c r="B62" s="229"/>
      <c r="C62" s="229"/>
      <c r="E62" s="3836" t="s">
        <v>373</v>
      </c>
      <c r="F62" s="1797" t="s">
        <v>634</v>
      </c>
      <c r="G62" s="589"/>
      <c r="H62" s="589"/>
      <c r="I62" s="589"/>
      <c r="J62" s="589"/>
      <c r="K62" s="590"/>
      <c r="L62" s="599"/>
      <c r="M62" s="600"/>
      <c r="N62" s="600"/>
      <c r="O62" s="600"/>
      <c r="P62" s="601"/>
      <c r="Q62" s="600"/>
      <c r="R62" s="600"/>
      <c r="S62" s="600"/>
      <c r="T62" s="600"/>
      <c r="U62" s="601"/>
      <c r="V62" s="3692"/>
      <c r="W62" s="1427"/>
      <c r="X62" s="1427"/>
      <c r="Y62" s="1427"/>
      <c r="Z62" s="588"/>
      <c r="AA62" s="589"/>
      <c r="AB62" s="589"/>
      <c r="AC62" s="589"/>
      <c r="AD62" s="590"/>
      <c r="AE62" s="599"/>
      <c r="AF62" s="600"/>
      <c r="AG62" s="601"/>
    </row>
    <row r="63" spans="1:33" ht="12.75" customHeight="1" outlineLevel="1">
      <c r="A63" s="229"/>
      <c r="B63" s="229"/>
      <c r="C63" s="229"/>
      <c r="E63" s="3837"/>
      <c r="F63" s="1769" t="s">
        <v>595</v>
      </c>
      <c r="G63" s="523"/>
      <c r="H63" s="523"/>
      <c r="I63" s="523"/>
      <c r="J63" s="523"/>
      <c r="K63" s="591"/>
      <c r="L63" s="514"/>
      <c r="M63" s="513"/>
      <c r="N63" s="513"/>
      <c r="O63" s="513"/>
      <c r="P63" s="515"/>
      <c r="Q63" s="467"/>
      <c r="R63" s="513"/>
      <c r="S63" s="513"/>
      <c r="T63" s="513"/>
      <c r="U63" s="515"/>
      <c r="V63" s="3693"/>
      <c r="W63" s="1427"/>
      <c r="X63" s="1427"/>
      <c r="Y63" s="1427"/>
      <c r="Z63" s="525"/>
      <c r="AA63" s="523"/>
      <c r="AB63" s="523"/>
      <c r="AC63" s="523"/>
      <c r="AD63" s="591"/>
      <c r="AE63" s="517"/>
      <c r="AF63" s="518"/>
      <c r="AG63" s="519"/>
    </row>
    <row r="64" spans="1:33" ht="12.75" customHeight="1" outlineLevel="1">
      <c r="A64" s="529"/>
      <c r="B64" s="529"/>
      <c r="C64" s="529"/>
      <c r="E64" s="3837"/>
      <c r="F64" s="1769" t="s">
        <v>594</v>
      </c>
      <c r="G64" s="523"/>
      <c r="H64" s="523"/>
      <c r="I64" s="523"/>
      <c r="J64" s="523"/>
      <c r="K64" s="591"/>
      <c r="L64" s="514"/>
      <c r="M64" s="513"/>
      <c r="N64" s="513"/>
      <c r="O64" s="513"/>
      <c r="P64" s="515"/>
      <c r="Q64" s="467"/>
      <c r="R64" s="513"/>
      <c r="S64" s="513"/>
      <c r="T64" s="513"/>
      <c r="U64" s="515"/>
      <c r="V64" s="3693"/>
      <c r="W64" s="1427"/>
      <c r="X64" s="1427"/>
      <c r="Y64" s="1427"/>
      <c r="Z64" s="525"/>
      <c r="AA64" s="523"/>
      <c r="AB64" s="523"/>
      <c r="AC64" s="523"/>
      <c r="AD64" s="591"/>
      <c r="AE64" s="517"/>
      <c r="AF64" s="518"/>
      <c r="AG64" s="519"/>
    </row>
    <row r="65" spans="1:33" ht="12.75" customHeight="1" outlineLevel="1">
      <c r="A65" s="529"/>
      <c r="B65" s="529"/>
      <c r="C65" s="529"/>
      <c r="E65" s="3837"/>
      <c r="F65" s="1769" t="s">
        <v>614</v>
      </c>
      <c r="G65" s="523"/>
      <c r="H65" s="523"/>
      <c r="I65" s="523"/>
      <c r="J65" s="523"/>
      <c r="K65" s="591"/>
      <c r="L65" s="514"/>
      <c r="M65" s="513"/>
      <c r="N65" s="513"/>
      <c r="O65" s="513"/>
      <c r="P65" s="515"/>
      <c r="Q65" s="467"/>
      <c r="R65" s="513"/>
      <c r="S65" s="513"/>
      <c r="T65" s="513"/>
      <c r="U65" s="515"/>
      <c r="V65" s="3693"/>
      <c r="W65" s="1427"/>
      <c r="X65" s="1427"/>
      <c r="Y65" s="1427"/>
      <c r="Z65" s="525"/>
      <c r="AA65" s="523"/>
      <c r="AB65" s="523"/>
      <c r="AC65" s="523"/>
      <c r="AD65" s="591"/>
      <c r="AE65" s="517"/>
      <c r="AF65" s="518"/>
      <c r="AG65" s="519"/>
    </row>
    <row r="66" spans="1:33" ht="12.75" customHeight="1" outlineLevel="1">
      <c r="A66" s="529"/>
      <c r="B66" s="529"/>
      <c r="C66" s="529"/>
      <c r="E66" s="3837"/>
      <c r="F66" s="1796" t="s">
        <v>602</v>
      </c>
      <c r="G66" s="467"/>
      <c r="H66" s="513"/>
      <c r="I66" s="513"/>
      <c r="J66" s="513"/>
      <c r="K66" s="515"/>
      <c r="L66" s="401"/>
      <c r="M66" s="402">
        <f t="shared" ref="M66:T66" si="32">SUM(M63:M65)</f>
        <v>0</v>
      </c>
      <c r="N66" s="402">
        <f t="shared" si="32"/>
        <v>0</v>
      </c>
      <c r="O66" s="402">
        <f t="shared" si="32"/>
        <v>0</v>
      </c>
      <c r="P66" s="505">
        <f t="shared" si="32"/>
        <v>0</v>
      </c>
      <c r="Q66" s="502">
        <f t="shared" si="32"/>
        <v>0</v>
      </c>
      <c r="R66" s="402">
        <f t="shared" si="32"/>
        <v>0</v>
      </c>
      <c r="S66" s="402">
        <f t="shared" si="32"/>
        <v>0</v>
      </c>
      <c r="T66" s="402">
        <f t="shared" si="32"/>
        <v>0</v>
      </c>
      <c r="U66" s="505"/>
      <c r="V66" s="3693"/>
      <c r="W66" s="1427"/>
      <c r="X66" s="1427"/>
      <c r="Y66" s="1427"/>
      <c r="Z66" s="517"/>
      <c r="AA66" s="518"/>
      <c r="AB66" s="518"/>
      <c r="AC66" s="518"/>
      <c r="AD66" s="519"/>
      <c r="AE66" s="401"/>
      <c r="AF66" s="402">
        <f t="shared" ref="AF66:AG66" si="33">SUM(AF63:AF65)</f>
        <v>0</v>
      </c>
      <c r="AG66" s="505">
        <f t="shared" si="33"/>
        <v>0</v>
      </c>
    </row>
    <row r="67" spans="1:33" ht="12.75" customHeight="1" outlineLevel="1">
      <c r="A67" s="529"/>
      <c r="B67" s="529"/>
      <c r="C67" s="529"/>
      <c r="E67" s="3837"/>
      <c r="F67" s="1769" t="s">
        <v>619</v>
      </c>
      <c r="G67" s="467"/>
      <c r="H67" s="513"/>
      <c r="I67" s="513"/>
      <c r="J67" s="513"/>
      <c r="K67" s="515"/>
      <c r="L67" s="569"/>
      <c r="M67" s="570"/>
      <c r="N67" s="570"/>
      <c r="O67" s="570"/>
      <c r="P67" s="608"/>
      <c r="Q67" s="561"/>
      <c r="R67" s="532"/>
      <c r="S67" s="532"/>
      <c r="T67" s="532"/>
      <c r="U67" s="579"/>
      <c r="V67" s="3693"/>
      <c r="W67" s="1427"/>
      <c r="X67" s="1427"/>
      <c r="Y67" s="1427"/>
      <c r="Z67" s="517"/>
      <c r="AA67" s="518"/>
      <c r="AB67" s="518"/>
      <c r="AC67" s="518"/>
      <c r="AD67" s="519"/>
      <c r="AE67" s="569"/>
      <c r="AF67" s="570"/>
      <c r="AG67" s="608"/>
    </row>
    <row r="68" spans="1:33" ht="12.75" customHeight="1" outlineLevel="1">
      <c r="A68" s="529"/>
      <c r="B68" s="529"/>
      <c r="C68" s="529"/>
      <c r="E68" s="3837"/>
      <c r="F68" s="1769" t="s">
        <v>617</v>
      </c>
      <c r="G68" s="467"/>
      <c r="H68" s="513"/>
      <c r="I68" s="513"/>
      <c r="J68" s="513"/>
      <c r="K68" s="515"/>
      <c r="L68" s="517"/>
      <c r="M68" s="518"/>
      <c r="N68" s="518"/>
      <c r="O68" s="518"/>
      <c r="P68" s="519"/>
      <c r="Q68" s="467"/>
      <c r="R68" s="513"/>
      <c r="S68" s="513"/>
      <c r="T68" s="513"/>
      <c r="U68" s="515"/>
      <c r="V68" s="3693"/>
      <c r="W68" s="1427"/>
      <c r="X68" s="1427"/>
      <c r="Y68" s="1427"/>
      <c r="Z68" s="517"/>
      <c r="AA68" s="518"/>
      <c r="AB68" s="518"/>
      <c r="AC68" s="518"/>
      <c r="AD68" s="519"/>
      <c r="AE68" s="517"/>
      <c r="AF68" s="518"/>
      <c r="AG68" s="519"/>
    </row>
    <row r="69" spans="1:33" s="1019" customFormat="1" ht="12.75" customHeight="1" outlineLevel="1">
      <c r="D69" s="1018"/>
      <c r="E69" s="3837"/>
      <c r="F69" s="1796" t="s">
        <v>620</v>
      </c>
      <c r="G69" s="1399">
        <f t="shared" ref="G69:T69" si="34">SUM(G67:G68)</f>
        <v>0</v>
      </c>
      <c r="H69" s="1397">
        <f t="shared" si="34"/>
        <v>0</v>
      </c>
      <c r="I69" s="1397">
        <f t="shared" si="34"/>
        <v>0</v>
      </c>
      <c r="J69" s="1397">
        <f t="shared" si="34"/>
        <v>0</v>
      </c>
      <c r="K69" s="1398">
        <f t="shared" si="34"/>
        <v>0</v>
      </c>
      <c r="L69" s="1396">
        <f t="shared" si="34"/>
        <v>0</v>
      </c>
      <c r="M69" s="1397">
        <f t="shared" si="34"/>
        <v>0</v>
      </c>
      <c r="N69" s="1397">
        <f t="shared" si="34"/>
        <v>0</v>
      </c>
      <c r="O69" s="1397">
        <f t="shared" si="34"/>
        <v>0</v>
      </c>
      <c r="P69" s="1398">
        <f t="shared" si="34"/>
        <v>0</v>
      </c>
      <c r="Q69" s="1399">
        <f t="shared" si="34"/>
        <v>0</v>
      </c>
      <c r="R69" s="1397">
        <f t="shared" si="34"/>
        <v>0</v>
      </c>
      <c r="S69" s="1397">
        <f t="shared" si="34"/>
        <v>0</v>
      </c>
      <c r="T69" s="1397">
        <f t="shared" si="34"/>
        <v>0</v>
      </c>
      <c r="U69" s="1398"/>
      <c r="V69" s="3693"/>
      <c r="Z69" s="1396">
        <f t="shared" ref="Z69:AG69" si="35">SUM(Z67:Z68)</f>
        <v>0</v>
      </c>
      <c r="AA69" s="1397">
        <f t="shared" si="35"/>
        <v>0</v>
      </c>
      <c r="AB69" s="1397">
        <f t="shared" si="35"/>
        <v>0</v>
      </c>
      <c r="AC69" s="1397">
        <f t="shared" si="35"/>
        <v>0</v>
      </c>
      <c r="AD69" s="1398">
        <f t="shared" si="35"/>
        <v>0</v>
      </c>
      <c r="AE69" s="1396">
        <f t="shared" si="35"/>
        <v>0</v>
      </c>
      <c r="AF69" s="1397">
        <f t="shared" si="35"/>
        <v>0</v>
      </c>
      <c r="AG69" s="1398">
        <f t="shared" si="35"/>
        <v>0</v>
      </c>
    </row>
    <row r="70" spans="1:33" ht="12.75" customHeight="1" outlineLevel="1">
      <c r="A70" s="529"/>
      <c r="B70" s="529"/>
      <c r="C70" s="529"/>
      <c r="E70" s="3837"/>
      <c r="F70" s="1769" t="s">
        <v>35</v>
      </c>
      <c r="G70" s="467"/>
      <c r="H70" s="513"/>
      <c r="I70" s="513"/>
      <c r="J70" s="513"/>
      <c r="K70" s="515"/>
      <c r="L70" s="514"/>
      <c r="M70" s="513"/>
      <c r="N70" s="513"/>
      <c r="O70" s="513"/>
      <c r="P70" s="515"/>
      <c r="Q70" s="467"/>
      <c r="R70" s="513"/>
      <c r="S70" s="513"/>
      <c r="T70" s="513"/>
      <c r="U70" s="515"/>
      <c r="V70" s="3693"/>
      <c r="W70" s="1427"/>
      <c r="X70" s="1427"/>
      <c r="Y70" s="1427"/>
      <c r="Z70" s="517"/>
      <c r="AA70" s="518"/>
      <c r="AB70" s="518"/>
      <c r="AC70" s="518"/>
      <c r="AD70" s="519"/>
      <c r="AE70" s="517"/>
      <c r="AF70" s="518"/>
      <c r="AG70" s="519"/>
    </row>
    <row r="71" spans="1:33" s="1019" customFormat="1" ht="12.75" customHeight="1" outlineLevel="1" thickBot="1">
      <c r="D71" s="1018"/>
      <c r="E71" s="3838"/>
      <c r="F71" s="1798" t="s">
        <v>621</v>
      </c>
      <c r="G71" s="1404">
        <f t="shared" ref="G71:L71" si="36">G69-G70</f>
        <v>0</v>
      </c>
      <c r="H71" s="1402">
        <f t="shared" si="36"/>
        <v>0</v>
      </c>
      <c r="I71" s="1402">
        <f t="shared" si="36"/>
        <v>0</v>
      </c>
      <c r="J71" s="1402">
        <f t="shared" si="36"/>
        <v>0</v>
      </c>
      <c r="K71" s="1403">
        <f t="shared" si="36"/>
        <v>0</v>
      </c>
      <c r="L71" s="1805">
        <f t="shared" si="36"/>
        <v>0</v>
      </c>
      <c r="M71" s="1402">
        <f>M69-M70</f>
        <v>0</v>
      </c>
      <c r="N71" s="1402">
        <f t="shared" ref="N71:P71" si="37">N69-N70</f>
        <v>0</v>
      </c>
      <c r="O71" s="1402">
        <f t="shared" si="37"/>
        <v>0</v>
      </c>
      <c r="P71" s="1403">
        <f t="shared" si="37"/>
        <v>0</v>
      </c>
      <c r="Q71" s="1404">
        <f>Q69-Q70</f>
        <v>0</v>
      </c>
      <c r="R71" s="1402">
        <f>R69-R70</f>
        <v>0</v>
      </c>
      <c r="S71" s="1402">
        <f>S69-S70</f>
        <v>0</v>
      </c>
      <c r="T71" s="1402">
        <f>T69-T70</f>
        <v>0</v>
      </c>
      <c r="U71" s="1403"/>
      <c r="V71" s="3694"/>
      <c r="Z71" s="1805">
        <f t="shared" ref="Z71:AE71" si="38">Z69-Z70</f>
        <v>0</v>
      </c>
      <c r="AA71" s="1402">
        <f t="shared" si="38"/>
        <v>0</v>
      </c>
      <c r="AB71" s="1402">
        <f t="shared" si="38"/>
        <v>0</v>
      </c>
      <c r="AC71" s="1402">
        <f t="shared" si="38"/>
        <v>0</v>
      </c>
      <c r="AD71" s="1403">
        <f t="shared" si="38"/>
        <v>0</v>
      </c>
      <c r="AE71" s="1805">
        <f t="shared" si="38"/>
        <v>0</v>
      </c>
      <c r="AF71" s="1402">
        <f>AF69-AF70</f>
        <v>0</v>
      </c>
      <c r="AG71" s="1403">
        <f t="shared" ref="AG71" si="39">AG69-AG70</f>
        <v>0</v>
      </c>
    </row>
    <row r="72" spans="1:33" outlineLevel="1">
      <c r="A72" s="229"/>
      <c r="B72" s="229"/>
      <c r="C72" s="229"/>
      <c r="E72" s="3836" t="s">
        <v>373</v>
      </c>
      <c r="F72" s="1797" t="s">
        <v>634</v>
      </c>
      <c r="G72" s="589"/>
      <c r="H72" s="589"/>
      <c r="I72" s="589"/>
      <c r="J72" s="589"/>
      <c r="K72" s="590"/>
      <c r="L72" s="599"/>
      <c r="M72" s="600"/>
      <c r="N72" s="600"/>
      <c r="O72" s="600"/>
      <c r="P72" s="601"/>
      <c r="Q72" s="600"/>
      <c r="R72" s="600"/>
      <c r="S72" s="600"/>
      <c r="T72" s="600"/>
      <c r="U72" s="601"/>
      <c r="V72" s="3692"/>
      <c r="W72" s="1427"/>
      <c r="X72" s="1427"/>
      <c r="Y72" s="1427"/>
      <c r="Z72" s="588"/>
      <c r="AA72" s="589"/>
      <c r="AB72" s="589"/>
      <c r="AC72" s="589"/>
      <c r="AD72" s="590"/>
      <c r="AE72" s="599"/>
      <c r="AF72" s="600"/>
      <c r="AG72" s="601"/>
    </row>
    <row r="73" spans="1:33" ht="12.75" customHeight="1" outlineLevel="1">
      <c r="A73" s="229"/>
      <c r="B73" s="229"/>
      <c r="C73" s="229"/>
      <c r="E73" s="3837"/>
      <c r="F73" s="1769" t="s">
        <v>595</v>
      </c>
      <c r="G73" s="523"/>
      <c r="H73" s="523"/>
      <c r="I73" s="523"/>
      <c r="J73" s="523"/>
      <c r="K73" s="591"/>
      <c r="L73" s="514"/>
      <c r="M73" s="513"/>
      <c r="N73" s="513"/>
      <c r="O73" s="513"/>
      <c r="P73" s="515"/>
      <c r="Q73" s="467"/>
      <c r="R73" s="513"/>
      <c r="S73" s="513"/>
      <c r="T73" s="513"/>
      <c r="U73" s="515"/>
      <c r="V73" s="3693"/>
      <c r="W73" s="1427"/>
      <c r="X73" s="1427"/>
      <c r="Y73" s="1427"/>
      <c r="Z73" s="525"/>
      <c r="AA73" s="523"/>
      <c r="AB73" s="523"/>
      <c r="AC73" s="523"/>
      <c r="AD73" s="591"/>
      <c r="AE73" s="517"/>
      <c r="AF73" s="518"/>
      <c r="AG73" s="519"/>
    </row>
    <row r="74" spans="1:33" ht="12.75" customHeight="1" outlineLevel="1">
      <c r="A74" s="529"/>
      <c r="B74" s="529"/>
      <c r="C74" s="529"/>
      <c r="E74" s="3837"/>
      <c r="F74" s="1769" t="s">
        <v>594</v>
      </c>
      <c r="G74" s="523"/>
      <c r="H74" s="523"/>
      <c r="I74" s="523"/>
      <c r="J74" s="523"/>
      <c r="K74" s="591"/>
      <c r="L74" s="514"/>
      <c r="M74" s="513"/>
      <c r="N74" s="513"/>
      <c r="O74" s="513"/>
      <c r="P74" s="515"/>
      <c r="Q74" s="467"/>
      <c r="R74" s="513"/>
      <c r="S74" s="513"/>
      <c r="T74" s="513"/>
      <c r="U74" s="515"/>
      <c r="V74" s="3693"/>
      <c r="W74" s="1427"/>
      <c r="X74" s="1427"/>
      <c r="Y74" s="1427"/>
      <c r="Z74" s="525"/>
      <c r="AA74" s="523"/>
      <c r="AB74" s="523"/>
      <c r="AC74" s="523"/>
      <c r="AD74" s="591"/>
      <c r="AE74" s="517"/>
      <c r="AF74" s="518"/>
      <c r="AG74" s="519"/>
    </row>
    <row r="75" spans="1:33" ht="12.75" customHeight="1" outlineLevel="1">
      <c r="A75" s="529"/>
      <c r="B75" s="529"/>
      <c r="C75" s="529"/>
      <c r="E75" s="3837"/>
      <c r="F75" s="1769" t="s">
        <v>614</v>
      </c>
      <c r="G75" s="523"/>
      <c r="H75" s="523"/>
      <c r="I75" s="523"/>
      <c r="J75" s="523"/>
      <c r="K75" s="591"/>
      <c r="L75" s="514"/>
      <c r="M75" s="513"/>
      <c r="N75" s="513"/>
      <c r="O75" s="513"/>
      <c r="P75" s="515"/>
      <c r="Q75" s="467"/>
      <c r="R75" s="513"/>
      <c r="S75" s="513"/>
      <c r="T75" s="513"/>
      <c r="U75" s="515"/>
      <c r="V75" s="3693"/>
      <c r="W75" s="1427"/>
      <c r="X75" s="1427"/>
      <c r="Y75" s="1427"/>
      <c r="Z75" s="525"/>
      <c r="AA75" s="523"/>
      <c r="AB75" s="523"/>
      <c r="AC75" s="523"/>
      <c r="AD75" s="591"/>
      <c r="AE75" s="517"/>
      <c r="AF75" s="518"/>
      <c r="AG75" s="519"/>
    </row>
    <row r="76" spans="1:33" ht="12.75" customHeight="1" outlineLevel="1">
      <c r="A76" s="529"/>
      <c r="B76" s="529"/>
      <c r="C76" s="529"/>
      <c r="E76" s="3837"/>
      <c r="F76" s="1796" t="s">
        <v>602</v>
      </c>
      <c r="G76" s="467"/>
      <c r="H76" s="513"/>
      <c r="I76" s="513"/>
      <c r="J76" s="513"/>
      <c r="K76" s="515"/>
      <c r="L76" s="401"/>
      <c r="M76" s="402">
        <f t="shared" ref="M76:T76" si="40">SUM(M73:M75)</f>
        <v>0</v>
      </c>
      <c r="N76" s="402">
        <f t="shared" si="40"/>
        <v>0</v>
      </c>
      <c r="O76" s="402">
        <f t="shared" si="40"/>
        <v>0</v>
      </c>
      <c r="P76" s="505">
        <f t="shared" si="40"/>
        <v>0</v>
      </c>
      <c r="Q76" s="502">
        <f t="shared" si="40"/>
        <v>0</v>
      </c>
      <c r="R76" s="402">
        <f t="shared" si="40"/>
        <v>0</v>
      </c>
      <c r="S76" s="402">
        <f t="shared" si="40"/>
        <v>0</v>
      </c>
      <c r="T76" s="402">
        <f t="shared" si="40"/>
        <v>0</v>
      </c>
      <c r="U76" s="505"/>
      <c r="V76" s="3693"/>
      <c r="W76" s="1427"/>
      <c r="X76" s="1427"/>
      <c r="Y76" s="1427"/>
      <c r="Z76" s="517"/>
      <c r="AA76" s="518"/>
      <c r="AB76" s="518"/>
      <c r="AC76" s="518"/>
      <c r="AD76" s="519"/>
      <c r="AE76" s="401"/>
      <c r="AF76" s="402">
        <f t="shared" ref="AF76:AG76" si="41">SUM(AF73:AF75)</f>
        <v>0</v>
      </c>
      <c r="AG76" s="505">
        <f t="shared" si="41"/>
        <v>0</v>
      </c>
    </row>
    <row r="77" spans="1:33" ht="12.75" customHeight="1" outlineLevel="1">
      <c r="A77" s="529"/>
      <c r="B77" s="529"/>
      <c r="C77" s="529"/>
      <c r="E77" s="3837"/>
      <c r="F77" s="1769" t="s">
        <v>619</v>
      </c>
      <c r="G77" s="467"/>
      <c r="H77" s="513"/>
      <c r="I77" s="513"/>
      <c r="J77" s="513"/>
      <c r="K77" s="515"/>
      <c r="L77" s="569"/>
      <c r="M77" s="570"/>
      <c r="N77" s="570"/>
      <c r="O77" s="570"/>
      <c r="P77" s="608"/>
      <c r="Q77" s="561"/>
      <c r="R77" s="532"/>
      <c r="S77" s="532"/>
      <c r="T77" s="532"/>
      <c r="U77" s="579"/>
      <c r="V77" s="3693"/>
      <c r="W77" s="1427"/>
      <c r="X77" s="1427"/>
      <c r="Y77" s="1427"/>
      <c r="Z77" s="517"/>
      <c r="AA77" s="518"/>
      <c r="AB77" s="518"/>
      <c r="AC77" s="518"/>
      <c r="AD77" s="519"/>
      <c r="AE77" s="569"/>
      <c r="AF77" s="570"/>
      <c r="AG77" s="608"/>
    </row>
    <row r="78" spans="1:33" ht="12.75" customHeight="1" outlineLevel="1">
      <c r="A78" s="529"/>
      <c r="B78" s="529"/>
      <c r="C78" s="529"/>
      <c r="E78" s="3837"/>
      <c r="F78" s="1769" t="s">
        <v>617</v>
      </c>
      <c r="G78" s="467"/>
      <c r="H78" s="513"/>
      <c r="I78" s="513"/>
      <c r="J78" s="513"/>
      <c r="K78" s="515"/>
      <c r="L78" s="517"/>
      <c r="M78" s="518"/>
      <c r="N78" s="518"/>
      <c r="O78" s="518"/>
      <c r="P78" s="519"/>
      <c r="Q78" s="467"/>
      <c r="R78" s="513"/>
      <c r="S78" s="513"/>
      <c r="T78" s="513"/>
      <c r="U78" s="515"/>
      <c r="V78" s="3693"/>
      <c r="W78" s="1427"/>
      <c r="X78" s="1427"/>
      <c r="Y78" s="1427"/>
      <c r="Z78" s="517"/>
      <c r="AA78" s="518"/>
      <c r="AB78" s="518"/>
      <c r="AC78" s="518"/>
      <c r="AD78" s="519"/>
      <c r="AE78" s="517"/>
      <c r="AF78" s="518"/>
      <c r="AG78" s="519"/>
    </row>
    <row r="79" spans="1:33" s="1019" customFormat="1" ht="12.75" customHeight="1" outlineLevel="1">
      <c r="D79" s="1018"/>
      <c r="E79" s="3837"/>
      <c r="F79" s="1796" t="s">
        <v>620</v>
      </c>
      <c r="G79" s="1399">
        <f t="shared" ref="G79:T79" si="42">SUM(G77:G78)</f>
        <v>0</v>
      </c>
      <c r="H79" s="1397">
        <f t="shared" si="42"/>
        <v>0</v>
      </c>
      <c r="I79" s="1397">
        <f t="shared" si="42"/>
        <v>0</v>
      </c>
      <c r="J79" s="1397">
        <f t="shared" si="42"/>
        <v>0</v>
      </c>
      <c r="K79" s="1398">
        <f t="shared" si="42"/>
        <v>0</v>
      </c>
      <c r="L79" s="1396">
        <f t="shared" si="42"/>
        <v>0</v>
      </c>
      <c r="M79" s="1397">
        <f t="shared" si="42"/>
        <v>0</v>
      </c>
      <c r="N79" s="1397">
        <f t="shared" si="42"/>
        <v>0</v>
      </c>
      <c r="O79" s="1397">
        <f t="shared" si="42"/>
        <v>0</v>
      </c>
      <c r="P79" s="1398">
        <f t="shared" si="42"/>
        <v>0</v>
      </c>
      <c r="Q79" s="1399">
        <f t="shared" si="42"/>
        <v>0</v>
      </c>
      <c r="R79" s="1397">
        <f t="shared" si="42"/>
        <v>0</v>
      </c>
      <c r="S79" s="1397">
        <f t="shared" si="42"/>
        <v>0</v>
      </c>
      <c r="T79" s="1397">
        <f t="shared" si="42"/>
        <v>0</v>
      </c>
      <c r="U79" s="1398"/>
      <c r="V79" s="3693"/>
      <c r="Z79" s="1396">
        <f t="shared" ref="Z79:AG79" si="43">SUM(Z77:Z78)</f>
        <v>0</v>
      </c>
      <c r="AA79" s="1397">
        <f t="shared" si="43"/>
        <v>0</v>
      </c>
      <c r="AB79" s="1397">
        <f t="shared" si="43"/>
        <v>0</v>
      </c>
      <c r="AC79" s="1397">
        <f t="shared" si="43"/>
        <v>0</v>
      </c>
      <c r="AD79" s="1398">
        <f t="shared" si="43"/>
        <v>0</v>
      </c>
      <c r="AE79" s="1396">
        <f t="shared" si="43"/>
        <v>0</v>
      </c>
      <c r="AF79" s="1397">
        <f t="shared" si="43"/>
        <v>0</v>
      </c>
      <c r="AG79" s="1398">
        <f t="shared" si="43"/>
        <v>0</v>
      </c>
    </row>
    <row r="80" spans="1:33" ht="12.75" customHeight="1" outlineLevel="1">
      <c r="A80" s="529"/>
      <c r="B80" s="529"/>
      <c r="C80" s="529"/>
      <c r="E80" s="3837"/>
      <c r="F80" s="1769" t="s">
        <v>35</v>
      </c>
      <c r="G80" s="467"/>
      <c r="H80" s="513"/>
      <c r="I80" s="513"/>
      <c r="J80" s="513"/>
      <c r="K80" s="515"/>
      <c r="L80" s="514"/>
      <c r="M80" s="513"/>
      <c r="N80" s="513"/>
      <c r="O80" s="513"/>
      <c r="P80" s="515"/>
      <c r="Q80" s="467"/>
      <c r="R80" s="513"/>
      <c r="S80" s="513"/>
      <c r="T80" s="513"/>
      <c r="U80" s="515"/>
      <c r="V80" s="3693"/>
      <c r="W80" s="1427"/>
      <c r="X80" s="1427"/>
      <c r="Y80" s="1427"/>
      <c r="Z80" s="517"/>
      <c r="AA80" s="518"/>
      <c r="AB80" s="518"/>
      <c r="AC80" s="518"/>
      <c r="AD80" s="519"/>
      <c r="AE80" s="517"/>
      <c r="AF80" s="518"/>
      <c r="AG80" s="519"/>
    </row>
    <row r="81" spans="1:34" s="1019" customFormat="1" ht="12.75" customHeight="1" outlineLevel="1" thickBot="1">
      <c r="D81" s="1018"/>
      <c r="E81" s="3838"/>
      <c r="F81" s="1798" t="s">
        <v>621</v>
      </c>
      <c r="G81" s="1404">
        <f t="shared" ref="G81:L81" si="44">G79-G80</f>
        <v>0</v>
      </c>
      <c r="H81" s="1402">
        <f t="shared" si="44"/>
        <v>0</v>
      </c>
      <c r="I81" s="1402">
        <f t="shared" si="44"/>
        <v>0</v>
      </c>
      <c r="J81" s="1402">
        <f t="shared" si="44"/>
        <v>0</v>
      </c>
      <c r="K81" s="1403">
        <f t="shared" si="44"/>
        <v>0</v>
      </c>
      <c r="L81" s="1805">
        <f t="shared" si="44"/>
        <v>0</v>
      </c>
      <c r="M81" s="1402">
        <f>M79-M80</f>
        <v>0</v>
      </c>
      <c r="N81" s="1402">
        <f t="shared" ref="N81:P81" si="45">N79-N80</f>
        <v>0</v>
      </c>
      <c r="O81" s="1402">
        <f t="shared" si="45"/>
        <v>0</v>
      </c>
      <c r="P81" s="1403">
        <f t="shared" si="45"/>
        <v>0</v>
      </c>
      <c r="Q81" s="1404">
        <f>Q79-Q80</f>
        <v>0</v>
      </c>
      <c r="R81" s="1402">
        <f>R79-R80</f>
        <v>0</v>
      </c>
      <c r="S81" s="1402">
        <f>S79-S80</f>
        <v>0</v>
      </c>
      <c r="T81" s="1402">
        <f>T79-T80</f>
        <v>0</v>
      </c>
      <c r="U81" s="1403"/>
      <c r="V81" s="3694"/>
      <c r="Z81" s="1805">
        <f t="shared" ref="Z81:AE81" si="46">Z79-Z80</f>
        <v>0</v>
      </c>
      <c r="AA81" s="1402">
        <f t="shared" si="46"/>
        <v>0</v>
      </c>
      <c r="AB81" s="1402">
        <f t="shared" si="46"/>
        <v>0</v>
      </c>
      <c r="AC81" s="1402">
        <f t="shared" si="46"/>
        <v>0</v>
      </c>
      <c r="AD81" s="1403">
        <f t="shared" si="46"/>
        <v>0</v>
      </c>
      <c r="AE81" s="1805">
        <f t="shared" si="46"/>
        <v>0</v>
      </c>
      <c r="AF81" s="1402">
        <f>AF79-AF80</f>
        <v>0</v>
      </c>
      <c r="AG81" s="1403">
        <f t="shared" ref="AG81" si="47">AG79-AG80</f>
        <v>0</v>
      </c>
    </row>
    <row r="82" spans="1:34">
      <c r="A82" s="529"/>
      <c r="B82" s="529"/>
      <c r="C82" s="529"/>
      <c r="E82" s="3823" t="s">
        <v>370</v>
      </c>
      <c r="F82" s="1156" t="s">
        <v>615</v>
      </c>
      <c r="G82" s="596">
        <f>SUMIF($F$21:$F$81,"Total direct expenditure ",G$21:G$81)</f>
        <v>0</v>
      </c>
      <c r="H82" s="597">
        <f t="shared" ref="H82:U82" si="48">SUMIF($F$21:$F$81,"Total direct expenditure ",H$21:H$81)</f>
        <v>0</v>
      </c>
      <c r="I82" s="597">
        <f t="shared" si="48"/>
        <v>0</v>
      </c>
      <c r="J82" s="597">
        <f t="shared" si="48"/>
        <v>0</v>
      </c>
      <c r="K82" s="610">
        <f t="shared" si="48"/>
        <v>0</v>
      </c>
      <c r="L82" s="596">
        <f t="shared" si="48"/>
        <v>0</v>
      </c>
      <c r="M82" s="597">
        <f t="shared" si="48"/>
        <v>0</v>
      </c>
      <c r="N82" s="597">
        <f t="shared" si="48"/>
        <v>0</v>
      </c>
      <c r="O82" s="597">
        <f t="shared" si="48"/>
        <v>0</v>
      </c>
      <c r="P82" s="597">
        <f t="shared" si="48"/>
        <v>0</v>
      </c>
      <c r="Q82" s="596">
        <f t="shared" si="48"/>
        <v>0</v>
      </c>
      <c r="R82" s="597">
        <f t="shared" si="48"/>
        <v>0</v>
      </c>
      <c r="S82" s="597">
        <f t="shared" si="48"/>
        <v>0</v>
      </c>
      <c r="T82" s="597">
        <f t="shared" si="48"/>
        <v>0</v>
      </c>
      <c r="U82" s="609">
        <f t="shared" si="48"/>
        <v>0</v>
      </c>
      <c r="V82" s="3688"/>
      <c r="W82" s="1427"/>
      <c r="X82" s="1427"/>
      <c r="Y82" s="1427"/>
      <c r="Z82" s="1804">
        <f>SUMIF($F$21:$F$81,"Total direct expenditure ",Z$21:Z$81)</f>
        <v>0</v>
      </c>
      <c r="AA82" s="597">
        <f t="shared" ref="AA82:AG82" si="49">SUMIF($F$21:$F$81,"Total direct expenditure ",AA$21:AA$81)</f>
        <v>0</v>
      </c>
      <c r="AB82" s="597">
        <f t="shared" si="49"/>
        <v>0</v>
      </c>
      <c r="AC82" s="597">
        <f t="shared" si="49"/>
        <v>0</v>
      </c>
      <c r="AD82" s="610">
        <f t="shared" si="49"/>
        <v>0</v>
      </c>
      <c r="AE82" s="1804">
        <f t="shared" si="49"/>
        <v>0</v>
      </c>
      <c r="AF82" s="597">
        <f t="shared" si="49"/>
        <v>0</v>
      </c>
      <c r="AG82" s="598">
        <f t="shared" si="49"/>
        <v>0</v>
      </c>
    </row>
    <row r="83" spans="1:34" ht="12.75" customHeight="1">
      <c r="A83" s="529"/>
      <c r="B83" s="529"/>
      <c r="C83" s="529"/>
      <c r="E83" s="3824"/>
      <c r="F83" s="1023" t="s">
        <v>619</v>
      </c>
      <c r="G83" s="1815">
        <f>SUMIF($F$21:$F$81,"Total overhead expenditure",G$21:G$81)</f>
        <v>0</v>
      </c>
      <c r="H83" s="1816">
        <f t="shared" ref="H83:U83" si="50">SUMIF($F$21:$F$81,"Total overhead expenditure",H$21:H$81)</f>
        <v>0</v>
      </c>
      <c r="I83" s="1816">
        <f t="shared" si="50"/>
        <v>0</v>
      </c>
      <c r="J83" s="1816">
        <f t="shared" si="50"/>
        <v>0</v>
      </c>
      <c r="K83" s="1817">
        <f t="shared" si="50"/>
        <v>0</v>
      </c>
      <c r="L83" s="1815">
        <f t="shared" si="50"/>
        <v>0</v>
      </c>
      <c r="M83" s="1816">
        <f t="shared" si="50"/>
        <v>0</v>
      </c>
      <c r="N83" s="1816">
        <f t="shared" si="50"/>
        <v>0</v>
      </c>
      <c r="O83" s="1816">
        <f t="shared" si="50"/>
        <v>0</v>
      </c>
      <c r="P83" s="1816">
        <f t="shared" si="50"/>
        <v>0</v>
      </c>
      <c r="Q83" s="1815">
        <f t="shared" si="50"/>
        <v>0</v>
      </c>
      <c r="R83" s="1816">
        <f t="shared" si="50"/>
        <v>0</v>
      </c>
      <c r="S83" s="1816">
        <f t="shared" si="50"/>
        <v>0</v>
      </c>
      <c r="T83" s="1816">
        <f t="shared" si="50"/>
        <v>0</v>
      </c>
      <c r="U83" s="1818">
        <f t="shared" si="50"/>
        <v>0</v>
      </c>
      <c r="V83" s="3689"/>
      <c r="W83" s="529"/>
      <c r="X83" s="529"/>
      <c r="Y83" s="529"/>
      <c r="Z83" s="1815">
        <f>SUMIF($F$21:$F$81,"Total overhead expenditure",Z$21:Z$81)</f>
        <v>0</v>
      </c>
      <c r="AA83" s="1816">
        <f t="shared" ref="AA83:AG83" si="51">SUMIF($F$21:$F$81,"Total overhead expenditure",AA$21:AA$81)</f>
        <v>0</v>
      </c>
      <c r="AB83" s="1816">
        <f t="shared" si="51"/>
        <v>0</v>
      </c>
      <c r="AC83" s="1816">
        <f t="shared" si="51"/>
        <v>0</v>
      </c>
      <c r="AD83" s="1817">
        <f t="shared" si="51"/>
        <v>0</v>
      </c>
      <c r="AE83" s="1815">
        <f t="shared" si="51"/>
        <v>0</v>
      </c>
      <c r="AF83" s="1816">
        <f t="shared" si="51"/>
        <v>0</v>
      </c>
      <c r="AG83" s="1819">
        <f t="shared" si="51"/>
        <v>0</v>
      </c>
    </row>
    <row r="84" spans="1:34" ht="12.75" customHeight="1">
      <c r="A84" s="529"/>
      <c r="B84" s="529"/>
      <c r="C84" s="529"/>
      <c r="E84" s="3824"/>
      <c r="F84" s="1023" t="s">
        <v>617</v>
      </c>
      <c r="G84" s="1815">
        <f>SUMIF($F$21:$F$81,"Related party margin expenditure",G$21:G$81)</f>
        <v>0</v>
      </c>
      <c r="H84" s="1816">
        <f t="shared" ref="H84:U84" si="52">SUMIF($F$21:$F$81,"Related party margin expenditure",H$21:H$81)</f>
        <v>0</v>
      </c>
      <c r="I84" s="1816">
        <f t="shared" si="52"/>
        <v>0</v>
      </c>
      <c r="J84" s="1816">
        <f t="shared" si="52"/>
        <v>0</v>
      </c>
      <c r="K84" s="1817">
        <f t="shared" si="52"/>
        <v>0</v>
      </c>
      <c r="L84" s="1815">
        <f t="shared" si="52"/>
        <v>0</v>
      </c>
      <c r="M84" s="1816">
        <f t="shared" si="52"/>
        <v>0</v>
      </c>
      <c r="N84" s="1816">
        <f t="shared" si="52"/>
        <v>0</v>
      </c>
      <c r="O84" s="1816">
        <f t="shared" si="52"/>
        <v>0</v>
      </c>
      <c r="P84" s="1816">
        <f t="shared" si="52"/>
        <v>0</v>
      </c>
      <c r="Q84" s="1815">
        <f t="shared" si="52"/>
        <v>0</v>
      </c>
      <c r="R84" s="1816">
        <f t="shared" si="52"/>
        <v>0</v>
      </c>
      <c r="S84" s="1816">
        <f t="shared" si="52"/>
        <v>0</v>
      </c>
      <c r="T84" s="1816">
        <f t="shared" si="52"/>
        <v>0</v>
      </c>
      <c r="U84" s="1818">
        <f t="shared" si="52"/>
        <v>0</v>
      </c>
      <c r="V84" s="3689"/>
      <c r="W84" s="529"/>
      <c r="X84" s="529"/>
      <c r="Y84" s="529"/>
      <c r="Z84" s="1815">
        <f>SUMIF($F$21:$F$81,"Related party margin expenditure",Z$21:Z$81)</f>
        <v>0</v>
      </c>
      <c r="AA84" s="1816">
        <f t="shared" ref="AA84:AG84" si="53">SUMIF($F$21:$F$81,"Related party margin expenditure",AA$21:AA$81)</f>
        <v>0</v>
      </c>
      <c r="AB84" s="1816">
        <f t="shared" si="53"/>
        <v>0</v>
      </c>
      <c r="AC84" s="1816">
        <f t="shared" si="53"/>
        <v>0</v>
      </c>
      <c r="AD84" s="1817">
        <f t="shared" si="53"/>
        <v>0</v>
      </c>
      <c r="AE84" s="1815">
        <f t="shared" si="53"/>
        <v>0</v>
      </c>
      <c r="AF84" s="1816">
        <f t="shared" si="53"/>
        <v>0</v>
      </c>
      <c r="AG84" s="1819">
        <f t="shared" si="53"/>
        <v>0</v>
      </c>
    </row>
    <row r="85" spans="1:34" ht="12.75" customHeight="1">
      <c r="A85" s="529"/>
      <c r="B85" s="529"/>
      <c r="C85" s="529"/>
      <c r="E85" s="3824"/>
      <c r="F85" s="1759" t="s">
        <v>620</v>
      </c>
      <c r="G85" s="417">
        <f>SUMIF($F$21:$F$81,"Total gross expenditure",G$21:G$81)</f>
        <v>0</v>
      </c>
      <c r="H85" s="1397">
        <f t="shared" ref="H85:U85" si="54">SUMIF($F$21:$F$81,"Total gross expenditure",H$21:H$81)</f>
        <v>0</v>
      </c>
      <c r="I85" s="1397">
        <f t="shared" si="54"/>
        <v>0</v>
      </c>
      <c r="J85" s="1397">
        <f t="shared" si="54"/>
        <v>0</v>
      </c>
      <c r="K85" s="1400">
        <f t="shared" si="54"/>
        <v>0</v>
      </c>
      <c r="L85" s="1396">
        <f t="shared" si="54"/>
        <v>0</v>
      </c>
      <c r="M85" s="1397">
        <f t="shared" si="54"/>
        <v>0</v>
      </c>
      <c r="N85" s="1397">
        <f t="shared" si="54"/>
        <v>0</v>
      </c>
      <c r="O85" s="1397">
        <f t="shared" si="54"/>
        <v>0</v>
      </c>
      <c r="P85" s="1397">
        <f t="shared" si="54"/>
        <v>0</v>
      </c>
      <c r="Q85" s="1396">
        <f t="shared" si="54"/>
        <v>0</v>
      </c>
      <c r="R85" s="1397">
        <f t="shared" si="54"/>
        <v>0</v>
      </c>
      <c r="S85" s="1397">
        <f t="shared" si="54"/>
        <v>0</v>
      </c>
      <c r="T85" s="1397">
        <f t="shared" si="54"/>
        <v>0</v>
      </c>
      <c r="U85" s="1405">
        <f t="shared" si="54"/>
        <v>0</v>
      </c>
      <c r="V85" s="3689"/>
      <c r="W85" s="1427"/>
      <c r="X85" s="1427"/>
      <c r="Y85" s="1427"/>
      <c r="Z85" s="417">
        <f>SUMIF($F$21:$F$81,"Total gross expenditure",Z$21:Z$81)</f>
        <v>0</v>
      </c>
      <c r="AA85" s="1397">
        <f t="shared" ref="AA85:AG85" si="55">SUMIF($F$21:$F$81,"Total gross expenditure",AA$21:AA$81)</f>
        <v>0</v>
      </c>
      <c r="AB85" s="1397">
        <f t="shared" si="55"/>
        <v>0</v>
      </c>
      <c r="AC85" s="1397">
        <f t="shared" si="55"/>
        <v>0</v>
      </c>
      <c r="AD85" s="1400">
        <f t="shared" si="55"/>
        <v>0</v>
      </c>
      <c r="AE85" s="1396">
        <f t="shared" si="55"/>
        <v>0</v>
      </c>
      <c r="AF85" s="1397">
        <f t="shared" si="55"/>
        <v>0</v>
      </c>
      <c r="AG85" s="1398">
        <f t="shared" si="55"/>
        <v>0</v>
      </c>
    </row>
    <row r="86" spans="1:34" ht="12.75" customHeight="1">
      <c r="A86" s="529"/>
      <c r="B86" s="529"/>
      <c r="C86" s="529"/>
      <c r="E86" s="3824"/>
      <c r="F86" s="1023" t="s">
        <v>35</v>
      </c>
      <c r="G86" s="1815">
        <f>SUMIF($F$21:$F$81,"Less customer contributions",G$21:G$81)</f>
        <v>0</v>
      </c>
      <c r="H86" s="1816">
        <f t="shared" ref="H86:U86" si="56">SUMIF($F$21:$F$81,"Less customer contributions",H$21:H$81)</f>
        <v>0</v>
      </c>
      <c r="I86" s="1816">
        <f t="shared" si="56"/>
        <v>0</v>
      </c>
      <c r="J86" s="1816">
        <f t="shared" si="56"/>
        <v>0</v>
      </c>
      <c r="K86" s="1817">
        <f t="shared" si="56"/>
        <v>0</v>
      </c>
      <c r="L86" s="1815">
        <f t="shared" si="56"/>
        <v>0</v>
      </c>
      <c r="M86" s="1816">
        <f t="shared" si="56"/>
        <v>0</v>
      </c>
      <c r="N86" s="1816">
        <f t="shared" si="56"/>
        <v>0</v>
      </c>
      <c r="O86" s="1816">
        <f t="shared" si="56"/>
        <v>0</v>
      </c>
      <c r="P86" s="1816">
        <f t="shared" si="56"/>
        <v>0</v>
      </c>
      <c r="Q86" s="1815">
        <f t="shared" si="56"/>
        <v>0</v>
      </c>
      <c r="R86" s="1816">
        <f t="shared" si="56"/>
        <v>0</v>
      </c>
      <c r="S86" s="1816">
        <f t="shared" si="56"/>
        <v>0</v>
      </c>
      <c r="T86" s="1816">
        <f t="shared" si="56"/>
        <v>0</v>
      </c>
      <c r="U86" s="1818">
        <f t="shared" si="56"/>
        <v>0</v>
      </c>
      <c r="V86" s="3689"/>
      <c r="W86" s="529"/>
      <c r="X86" s="529"/>
      <c r="Y86" s="529"/>
      <c r="Z86" s="1815">
        <f>SUMIF($F$21:$F$81,"Less customer contributions",Z$21:Z$81)</f>
        <v>0</v>
      </c>
      <c r="AA86" s="1816">
        <f t="shared" ref="AA86:AG86" si="57">SUMIF($F$21:$F$81,"Less customer contributions",AA$21:AA$81)</f>
        <v>0</v>
      </c>
      <c r="AB86" s="1816">
        <f t="shared" si="57"/>
        <v>0</v>
      </c>
      <c r="AC86" s="1816">
        <f t="shared" si="57"/>
        <v>0</v>
      </c>
      <c r="AD86" s="1817">
        <f t="shared" si="57"/>
        <v>0</v>
      </c>
      <c r="AE86" s="1815">
        <f t="shared" si="57"/>
        <v>0</v>
      </c>
      <c r="AF86" s="1816">
        <f t="shared" si="57"/>
        <v>0</v>
      </c>
      <c r="AG86" s="1819">
        <f t="shared" si="57"/>
        <v>0</v>
      </c>
    </row>
    <row r="87" spans="1:34" ht="13.5" thickBot="1">
      <c r="A87" s="529"/>
      <c r="B87" s="529"/>
      <c r="C87" s="529"/>
      <c r="E87" s="3825"/>
      <c r="F87" s="1760" t="s">
        <v>621</v>
      </c>
      <c r="G87" s="417">
        <f>SUMIF($F$21:$F$81,"Total net expenditure",G$21:G$81)</f>
        <v>0</v>
      </c>
      <c r="H87" s="1402">
        <f t="shared" ref="H87:U87" si="58">SUMIF($F$21:$F$81,"Total net expenditure",H$21:H$81)</f>
        <v>0</v>
      </c>
      <c r="I87" s="1402">
        <f t="shared" si="58"/>
        <v>0</v>
      </c>
      <c r="J87" s="1402">
        <f t="shared" si="58"/>
        <v>0</v>
      </c>
      <c r="K87" s="1406">
        <f t="shared" si="58"/>
        <v>0</v>
      </c>
      <c r="L87" s="1401">
        <f t="shared" si="58"/>
        <v>0</v>
      </c>
      <c r="M87" s="1402">
        <f t="shared" si="58"/>
        <v>0</v>
      </c>
      <c r="N87" s="1402">
        <f t="shared" si="58"/>
        <v>0</v>
      </c>
      <c r="O87" s="1402">
        <f t="shared" si="58"/>
        <v>0</v>
      </c>
      <c r="P87" s="1402">
        <f t="shared" si="58"/>
        <v>0</v>
      </c>
      <c r="Q87" s="1401">
        <f t="shared" si="58"/>
        <v>0</v>
      </c>
      <c r="R87" s="1402">
        <f t="shared" si="58"/>
        <v>0</v>
      </c>
      <c r="S87" s="1402">
        <f t="shared" si="58"/>
        <v>0</v>
      </c>
      <c r="T87" s="1402">
        <f t="shared" si="58"/>
        <v>0</v>
      </c>
      <c r="U87" s="1806">
        <f t="shared" si="58"/>
        <v>0</v>
      </c>
      <c r="V87" s="3846"/>
      <c r="W87" s="1427"/>
      <c r="X87" s="1427"/>
      <c r="Y87" s="1427"/>
      <c r="Z87" s="417">
        <f>SUMIF($F$21:$F$81,"Total net expenditure",Z$21:Z$81)</f>
        <v>0</v>
      </c>
      <c r="AA87" s="1402">
        <f t="shared" ref="AA87:AG87" si="59">SUMIF($F$21:$F$81,"Total net expenditure",AA$21:AA$81)</f>
        <v>0</v>
      </c>
      <c r="AB87" s="1402">
        <f t="shared" si="59"/>
        <v>0</v>
      </c>
      <c r="AC87" s="1402">
        <f t="shared" si="59"/>
        <v>0</v>
      </c>
      <c r="AD87" s="1406">
        <f t="shared" si="59"/>
        <v>0</v>
      </c>
      <c r="AE87" s="1805">
        <f t="shared" si="59"/>
        <v>0</v>
      </c>
      <c r="AF87" s="1402">
        <f t="shared" si="59"/>
        <v>0</v>
      </c>
      <c r="AG87" s="1403">
        <f t="shared" si="59"/>
        <v>0</v>
      </c>
    </row>
    <row r="88" spans="1:34" s="1427" customFormat="1" ht="42.75" customHeight="1" thickBot="1">
      <c r="A88" s="1433"/>
      <c r="B88" s="1433"/>
      <c r="C88" s="1433"/>
      <c r="D88" s="1115"/>
      <c r="E88" s="3610" t="s">
        <v>125</v>
      </c>
      <c r="F88" s="3611"/>
      <c r="G88" s="1801"/>
      <c r="H88" s="1802"/>
      <c r="I88" s="1802"/>
      <c r="J88" s="1802"/>
      <c r="K88" s="1802"/>
      <c r="L88" s="1802"/>
      <c r="M88" s="1802"/>
      <c r="N88" s="1802"/>
      <c r="O88" s="1802"/>
      <c r="P88" s="1802"/>
      <c r="Q88" s="1802"/>
      <c r="R88" s="1802"/>
      <c r="S88" s="1802"/>
      <c r="T88" s="1802"/>
      <c r="U88" s="1802"/>
      <c r="V88" s="1803"/>
      <c r="Z88" s="2135"/>
      <c r="AA88" s="2116"/>
      <c r="AB88" s="2116"/>
      <c r="AC88" s="2116"/>
      <c r="AD88" s="2116"/>
      <c r="AE88" s="2116"/>
      <c r="AF88" s="2116"/>
      <c r="AG88" s="2119"/>
    </row>
    <row r="89" spans="1:34" s="79" customFormat="1" ht="56.25" customHeight="1" thickBot="1">
      <c r="A89" s="308"/>
      <c r="B89" s="308"/>
      <c r="C89" s="308"/>
      <c r="D89" s="308"/>
      <c r="E89" s="545"/>
      <c r="F89" s="545"/>
      <c r="G89" s="545"/>
      <c r="H89" s="545"/>
      <c r="I89" s="545"/>
      <c r="J89" s="545"/>
      <c r="K89" s="545"/>
      <c r="L89" s="545"/>
      <c r="M89" s="545"/>
      <c r="N89" s="545"/>
      <c r="O89" s="545"/>
      <c r="P89" s="545"/>
      <c r="Q89" s="545"/>
      <c r="R89" s="545"/>
      <c r="S89" s="545"/>
      <c r="T89" s="545"/>
      <c r="U89" s="545"/>
      <c r="V89" s="545"/>
      <c r="W89"/>
      <c r="X89"/>
      <c r="Y89"/>
      <c r="Z89" s="545"/>
      <c r="AA89" s="545"/>
      <c r="AB89" s="545"/>
      <c r="AC89" s="545"/>
      <c r="AD89" s="545"/>
      <c r="AE89" s="545"/>
      <c r="AF89" s="545"/>
      <c r="AG89" s="545"/>
    </row>
    <row r="90" spans="1:34" s="79" customFormat="1" ht="24.75" customHeight="1" thickBot="1">
      <c r="A90" s="308"/>
      <c r="B90" s="308"/>
      <c r="C90" s="308"/>
      <c r="D90" s="308"/>
      <c r="E90" s="1576" t="s">
        <v>528</v>
      </c>
      <c r="F90" s="1577"/>
      <c r="G90" s="1577"/>
      <c r="H90" s="1577"/>
      <c r="I90" s="1577"/>
      <c r="J90" s="1577"/>
      <c r="K90" s="1577"/>
      <c r="L90" s="1577"/>
      <c r="M90" s="1577"/>
      <c r="N90" s="1577"/>
      <c r="O90" s="1577"/>
      <c r="P90" s="1578"/>
      <c r="Q90" s="288"/>
      <c r="R90" s="288"/>
      <c r="S90" s="288"/>
      <c r="T90" s="288"/>
      <c r="U90" s="288"/>
      <c r="V90" s="308"/>
      <c r="W90"/>
      <c r="X90"/>
      <c r="Y90"/>
      <c r="Z90"/>
      <c r="AA90"/>
      <c r="AB90"/>
      <c r="AC90"/>
      <c r="AD90"/>
      <c r="AE90"/>
      <c r="AF90"/>
      <c r="AG90"/>
      <c r="AH90"/>
    </row>
    <row r="91" spans="1:34" ht="15.75" customHeight="1">
      <c r="E91" s="290"/>
      <c r="F91" s="581"/>
      <c r="G91" s="3620" t="s">
        <v>36</v>
      </c>
      <c r="H91" s="3549"/>
      <c r="I91" s="3549"/>
      <c r="J91" s="3549"/>
      <c r="K91" s="3549"/>
      <c r="L91" s="3602" t="s">
        <v>37</v>
      </c>
      <c r="M91" s="3603"/>
      <c r="N91" s="3603"/>
      <c r="O91" s="3603"/>
      <c r="P91" s="3604"/>
      <c r="Q91" s="717"/>
      <c r="R91" s="843"/>
      <c r="S91" s="843"/>
      <c r="T91" s="843"/>
      <c r="U91" s="843"/>
      <c r="V91" s="843"/>
      <c r="Z91"/>
      <c r="AA91"/>
      <c r="AB91"/>
      <c r="AC91"/>
      <c r="AD91"/>
      <c r="AE91"/>
      <c r="AF91"/>
      <c r="AG91"/>
      <c r="AH91"/>
    </row>
    <row r="92" spans="1:34" ht="15" customHeight="1">
      <c r="E92" s="292"/>
      <c r="F92" s="582"/>
      <c r="G92" s="3550" t="str">
        <f>CONCATENATE("$0's, real ",dms_DollarReal)</f>
        <v>$0's, real December 2017</v>
      </c>
      <c r="H92" s="3551"/>
      <c r="I92" s="3551"/>
      <c r="J92" s="3551"/>
      <c r="K92" s="3551"/>
      <c r="L92" s="3551"/>
      <c r="M92" s="3551"/>
      <c r="N92" s="3551"/>
      <c r="O92" s="3551"/>
      <c r="P92" s="3552"/>
      <c r="Q92" s="717"/>
      <c r="R92" s="718"/>
      <c r="S92" s="718"/>
      <c r="T92" s="718"/>
      <c r="U92" s="718"/>
      <c r="V92" s="718"/>
      <c r="Z92"/>
      <c r="AA92"/>
      <c r="AB92"/>
      <c r="AC92"/>
      <c r="AD92"/>
      <c r="AE92"/>
      <c r="AF92"/>
      <c r="AG92"/>
      <c r="AH92"/>
    </row>
    <row r="93" spans="1:34" ht="15">
      <c r="E93" s="292"/>
      <c r="F93" s="582"/>
      <c r="G93" s="3550" t="s">
        <v>74</v>
      </c>
      <c r="H93" s="3551"/>
      <c r="I93" s="3551"/>
      <c r="J93" s="3551"/>
      <c r="K93" s="3551"/>
      <c r="L93" s="3551"/>
      <c r="M93" s="3551"/>
      <c r="N93" s="3551"/>
      <c r="O93" s="3551"/>
      <c r="P93" s="3552"/>
      <c r="Q93" s="717"/>
      <c r="R93" s="718"/>
      <c r="S93" s="718"/>
      <c r="T93" s="718"/>
      <c r="U93" s="718"/>
      <c r="V93" s="718"/>
      <c r="Z93"/>
      <c r="AA93"/>
      <c r="AB93"/>
      <c r="AC93"/>
      <c r="AD93"/>
      <c r="AE93"/>
      <c r="AF93"/>
      <c r="AG93"/>
      <c r="AH93"/>
    </row>
    <row r="94" spans="1:34" ht="15.75" thickBot="1">
      <c r="E94" s="583"/>
      <c r="F94" s="584"/>
      <c r="G94" s="391">
        <f t="array" ref="G94:K94">PRCP</f>
        <v>2008</v>
      </c>
      <c r="H94" s="390">
        <v>2009</v>
      </c>
      <c r="I94" s="390">
        <v>2010</v>
      </c>
      <c r="J94" s="390">
        <v>2011</v>
      </c>
      <c r="K94" s="390">
        <v>2012</v>
      </c>
      <c r="L94" s="392">
        <f>CRCP_y1</f>
        <v>2013</v>
      </c>
      <c r="M94" s="392">
        <f>CRCP_y2</f>
        <v>2014</v>
      </c>
      <c r="N94" s="392">
        <f>CRCP_y3</f>
        <v>2015</v>
      </c>
      <c r="O94" s="392">
        <f>CRCP_y4</f>
        <v>2016</v>
      </c>
      <c r="P94" s="603">
        <f>CRCP_y5</f>
        <v>2017</v>
      </c>
      <c r="Q94" s="717"/>
      <c r="R94" s="718"/>
      <c r="S94" s="718"/>
      <c r="T94" s="718"/>
      <c r="U94" s="718"/>
      <c r="V94" s="718"/>
      <c r="Z94"/>
      <c r="AA94"/>
      <c r="AB94"/>
      <c r="AC94"/>
      <c r="AD94"/>
      <c r="AE94"/>
      <c r="AF94"/>
      <c r="AG94"/>
      <c r="AH94"/>
    </row>
    <row r="95" spans="1:34" s="79" customFormat="1" ht="18" customHeight="1">
      <c r="A95" s="308"/>
      <c r="B95" s="308"/>
      <c r="C95" s="308"/>
      <c r="D95" s="308"/>
      <c r="E95" s="3843" t="s">
        <v>89</v>
      </c>
      <c r="F95" s="1016" t="s">
        <v>629</v>
      </c>
      <c r="G95" s="588"/>
      <c r="H95" s="589"/>
      <c r="I95" s="589"/>
      <c r="J95" s="589"/>
      <c r="K95" s="590"/>
      <c r="L95" s="599"/>
      <c r="M95" s="600"/>
      <c r="N95" s="600"/>
      <c r="O95" s="600"/>
      <c r="P95" s="601"/>
      <c r="Q95" s="719"/>
      <c r="R95" s="719"/>
      <c r="S95" s="719"/>
      <c r="T95" s="719"/>
      <c r="U95" s="719"/>
      <c r="V95" s="719"/>
      <c r="W95"/>
      <c r="X95"/>
      <c r="Y95"/>
      <c r="Z95"/>
      <c r="AA95"/>
      <c r="AB95"/>
      <c r="AC95"/>
      <c r="AD95"/>
      <c r="AE95"/>
      <c r="AF95"/>
      <c r="AG95"/>
      <c r="AH95"/>
    </row>
    <row r="96" spans="1:34">
      <c r="E96" s="3844"/>
      <c r="F96" s="575" t="s">
        <v>595</v>
      </c>
      <c r="G96" s="525"/>
      <c r="H96" s="523"/>
      <c r="I96" s="523"/>
      <c r="J96" s="523"/>
      <c r="K96" s="591"/>
      <c r="L96" s="514"/>
      <c r="M96" s="513"/>
      <c r="N96" s="513"/>
      <c r="O96" s="513"/>
      <c r="P96" s="515"/>
      <c r="Q96" s="613"/>
      <c r="R96" s="613"/>
      <c r="S96" s="613"/>
      <c r="T96" s="613"/>
      <c r="U96" s="613"/>
      <c r="V96" s="613"/>
      <c r="Z96"/>
      <c r="AA96"/>
      <c r="AB96"/>
      <c r="AC96"/>
      <c r="AD96"/>
      <c r="AE96"/>
      <c r="AF96"/>
      <c r="AG96"/>
      <c r="AH96"/>
    </row>
    <row r="97" spans="1:34">
      <c r="E97" s="3844"/>
      <c r="F97" s="575" t="s">
        <v>594</v>
      </c>
      <c r="G97" s="525"/>
      <c r="H97" s="523"/>
      <c r="I97" s="523"/>
      <c r="J97" s="523"/>
      <c r="K97" s="591"/>
      <c r="L97" s="514"/>
      <c r="M97" s="513"/>
      <c r="N97" s="513"/>
      <c r="O97" s="513"/>
      <c r="P97" s="515"/>
      <c r="Q97" s="613"/>
      <c r="R97" s="613"/>
      <c r="S97" s="613"/>
      <c r="T97" s="613"/>
      <c r="U97" s="613"/>
      <c r="V97" s="613"/>
      <c r="Z97"/>
      <c r="AA97"/>
      <c r="AB97"/>
      <c r="AC97"/>
      <c r="AD97"/>
      <c r="AE97"/>
      <c r="AF97"/>
      <c r="AG97"/>
      <c r="AH97"/>
    </row>
    <row r="98" spans="1:34">
      <c r="E98" s="3844"/>
      <c r="F98" s="575" t="s">
        <v>614</v>
      </c>
      <c r="G98" s="525"/>
      <c r="H98" s="523"/>
      <c r="I98" s="523"/>
      <c r="J98" s="523"/>
      <c r="K98" s="591"/>
      <c r="L98" s="514"/>
      <c r="M98" s="513"/>
      <c r="N98" s="513"/>
      <c r="O98" s="513"/>
      <c r="P98" s="515"/>
      <c r="Q98" s="613"/>
      <c r="R98" s="613"/>
      <c r="S98" s="613"/>
      <c r="T98" s="613"/>
      <c r="U98" s="613"/>
      <c r="V98" s="613"/>
      <c r="Z98"/>
      <c r="AA98"/>
      <c r="AB98"/>
      <c r="AC98"/>
      <c r="AD98"/>
      <c r="AE98"/>
      <c r="AF98"/>
      <c r="AG98"/>
      <c r="AH98"/>
    </row>
    <row r="99" spans="1:34">
      <c r="E99" s="3844"/>
      <c r="F99" s="576" t="s">
        <v>602</v>
      </c>
      <c r="G99" s="514"/>
      <c r="H99" s="513"/>
      <c r="I99" s="513"/>
      <c r="J99" s="513"/>
      <c r="K99" s="515"/>
      <c r="L99" s="401">
        <f t="shared" ref="L99:P99" si="60">SUM(L96:L98)</f>
        <v>0</v>
      </c>
      <c r="M99" s="402">
        <f t="shared" si="60"/>
        <v>0</v>
      </c>
      <c r="N99" s="402">
        <f t="shared" si="60"/>
        <v>0</v>
      </c>
      <c r="O99" s="402">
        <f t="shared" si="60"/>
        <v>0</v>
      </c>
      <c r="P99" s="505">
        <f t="shared" si="60"/>
        <v>0</v>
      </c>
      <c r="Q99" s="613"/>
      <c r="R99" s="613"/>
      <c r="S99" s="613"/>
      <c r="T99" s="613"/>
      <c r="U99" s="613"/>
      <c r="V99" s="613"/>
      <c r="Z99"/>
      <c r="AA99"/>
      <c r="AB99"/>
      <c r="AC99"/>
      <c r="AD99"/>
      <c r="AE99"/>
      <c r="AF99"/>
      <c r="AG99"/>
      <c r="AH99"/>
    </row>
    <row r="100" spans="1:34">
      <c r="E100" s="3844"/>
      <c r="F100" s="575" t="s">
        <v>619</v>
      </c>
      <c r="G100" s="514"/>
      <c r="H100" s="513"/>
      <c r="I100" s="513"/>
      <c r="J100" s="513"/>
      <c r="K100" s="515"/>
      <c r="L100" s="569"/>
      <c r="M100" s="570"/>
      <c r="N100" s="570"/>
      <c r="O100" s="570"/>
      <c r="P100" s="608"/>
      <c r="Q100" s="613"/>
      <c r="R100" s="613"/>
      <c r="S100" s="613"/>
      <c r="T100" s="613"/>
      <c r="U100" s="613"/>
      <c r="V100" s="613"/>
      <c r="Z100"/>
      <c r="AA100"/>
      <c r="AB100"/>
      <c r="AC100"/>
      <c r="AD100"/>
      <c r="AE100"/>
      <c r="AF100"/>
      <c r="AG100"/>
      <c r="AH100"/>
    </row>
    <row r="101" spans="1:34">
      <c r="E101" s="3844"/>
      <c r="F101" s="575" t="s">
        <v>159</v>
      </c>
      <c r="G101" s="514"/>
      <c r="H101" s="513"/>
      <c r="I101" s="513"/>
      <c r="J101" s="513"/>
      <c r="K101" s="515"/>
      <c r="L101" s="517"/>
      <c r="M101" s="518"/>
      <c r="N101" s="518"/>
      <c r="O101" s="518"/>
      <c r="P101" s="519"/>
      <c r="Q101" s="613"/>
      <c r="R101" s="613"/>
      <c r="S101" s="613"/>
      <c r="T101" s="613"/>
      <c r="U101" s="613"/>
      <c r="V101" s="613"/>
      <c r="Z101"/>
      <c r="AA101"/>
      <c r="AB101"/>
      <c r="AC101"/>
      <c r="AD101"/>
      <c r="AE101"/>
      <c r="AF101"/>
      <c r="AG101"/>
      <c r="AH101"/>
    </row>
    <row r="102" spans="1:34">
      <c r="E102" s="3844"/>
      <c r="F102" s="576" t="s">
        <v>620</v>
      </c>
      <c r="G102" s="1396">
        <f>SUM(G99:G101)</f>
        <v>0</v>
      </c>
      <c r="H102" s="1397">
        <f t="shared" ref="H102:P102" si="61">SUM(H99:H101)</f>
        <v>0</v>
      </c>
      <c r="I102" s="1397">
        <f t="shared" si="61"/>
        <v>0</v>
      </c>
      <c r="J102" s="1397">
        <f t="shared" si="61"/>
        <v>0</v>
      </c>
      <c r="K102" s="1398">
        <f t="shared" si="61"/>
        <v>0</v>
      </c>
      <c r="L102" s="1396">
        <f t="shared" si="61"/>
        <v>0</v>
      </c>
      <c r="M102" s="1397">
        <f t="shared" si="61"/>
        <v>0</v>
      </c>
      <c r="N102" s="1397">
        <f t="shared" si="61"/>
        <v>0</v>
      </c>
      <c r="O102" s="1397">
        <f t="shared" si="61"/>
        <v>0</v>
      </c>
      <c r="P102" s="1398">
        <f t="shared" si="61"/>
        <v>0</v>
      </c>
      <c r="Q102" s="613"/>
      <c r="R102" s="613"/>
      <c r="S102" s="613"/>
      <c r="T102" s="613"/>
      <c r="U102" s="613"/>
      <c r="V102" s="613"/>
      <c r="Z102"/>
      <c r="AA102"/>
      <c r="AB102"/>
      <c r="AC102"/>
      <c r="AD102"/>
      <c r="AE102"/>
      <c r="AF102"/>
      <c r="AG102"/>
      <c r="AH102"/>
    </row>
    <row r="103" spans="1:34">
      <c r="E103" s="3844"/>
      <c r="F103" s="575" t="s">
        <v>35</v>
      </c>
      <c r="G103" s="514"/>
      <c r="H103" s="513"/>
      <c r="I103" s="513"/>
      <c r="J103" s="513"/>
      <c r="K103" s="515"/>
      <c r="L103" s="514"/>
      <c r="M103" s="513"/>
      <c r="N103" s="513"/>
      <c r="O103" s="513"/>
      <c r="P103" s="515"/>
      <c r="Q103" s="613"/>
      <c r="R103" s="613"/>
      <c r="S103" s="613"/>
      <c r="T103" s="613"/>
      <c r="U103" s="613"/>
      <c r="V103" s="613"/>
      <c r="Z103"/>
      <c r="AA103"/>
      <c r="AB103"/>
      <c r="AC103"/>
      <c r="AD103"/>
      <c r="AE103"/>
      <c r="AF103"/>
      <c r="AG103"/>
      <c r="AH103"/>
    </row>
    <row r="104" spans="1:34" ht="13.5" thickBot="1">
      <c r="E104" s="3845"/>
      <c r="F104" s="1753" t="s">
        <v>621</v>
      </c>
      <c r="G104" s="1401">
        <f t="shared" ref="G104:P104" si="62">G102-G103</f>
        <v>0</v>
      </c>
      <c r="H104" s="1402">
        <f t="shared" si="62"/>
        <v>0</v>
      </c>
      <c r="I104" s="1402">
        <f t="shared" si="62"/>
        <v>0</v>
      </c>
      <c r="J104" s="1402">
        <f t="shared" si="62"/>
        <v>0</v>
      </c>
      <c r="K104" s="1403">
        <f t="shared" si="62"/>
        <v>0</v>
      </c>
      <c r="L104" s="1401">
        <f t="shared" si="62"/>
        <v>0</v>
      </c>
      <c r="M104" s="1402">
        <f t="shared" si="62"/>
        <v>0</v>
      </c>
      <c r="N104" s="1402">
        <f t="shared" si="62"/>
        <v>0</v>
      </c>
      <c r="O104" s="1402">
        <f t="shared" si="62"/>
        <v>0</v>
      </c>
      <c r="P104" s="1403">
        <f t="shared" si="62"/>
        <v>0</v>
      </c>
      <c r="Q104" s="613"/>
      <c r="R104" s="613"/>
      <c r="S104" s="613"/>
      <c r="T104" s="613"/>
      <c r="U104" s="613"/>
      <c r="V104" s="613"/>
      <c r="Z104"/>
      <c r="AA104"/>
      <c r="AB104"/>
      <c r="AC104"/>
      <c r="AD104"/>
      <c r="AE104"/>
      <c r="AF104"/>
      <c r="AG104"/>
      <c r="AH104"/>
    </row>
    <row r="105" spans="1:34" s="79" customFormat="1">
      <c r="A105" s="308"/>
      <c r="B105" s="308"/>
      <c r="C105" s="308"/>
      <c r="D105" s="308"/>
      <c r="E105" s="3843" t="s">
        <v>89</v>
      </c>
      <c r="F105" s="1016" t="s">
        <v>634</v>
      </c>
      <c r="G105" s="588"/>
      <c r="H105" s="589"/>
      <c r="I105" s="589"/>
      <c r="J105" s="589"/>
      <c r="K105" s="590"/>
      <c r="L105" s="599"/>
      <c r="M105" s="600"/>
      <c r="N105" s="600"/>
      <c r="O105" s="600"/>
      <c r="P105" s="601"/>
      <c r="Q105" s="719"/>
      <c r="R105" s="719"/>
      <c r="S105" s="719"/>
      <c r="T105" s="719"/>
      <c r="U105" s="719"/>
      <c r="V105" s="719"/>
      <c r="W105"/>
      <c r="X105"/>
      <c r="Y105"/>
      <c r="Z105"/>
      <c r="AA105"/>
      <c r="AB105"/>
      <c r="AC105"/>
      <c r="AD105"/>
      <c r="AE105"/>
      <c r="AF105"/>
      <c r="AG105"/>
      <c r="AH105"/>
    </row>
    <row r="106" spans="1:34">
      <c r="E106" s="3844"/>
      <c r="F106" s="575" t="s">
        <v>369</v>
      </c>
      <c r="G106" s="525"/>
      <c r="H106" s="523"/>
      <c r="I106" s="523"/>
      <c r="J106" s="523"/>
      <c r="K106" s="591"/>
      <c r="L106" s="514"/>
      <c r="M106" s="513"/>
      <c r="N106" s="513"/>
      <c r="O106" s="513"/>
      <c r="P106" s="515"/>
      <c r="Q106" s="613"/>
      <c r="R106" s="613"/>
      <c r="S106" s="613"/>
      <c r="T106" s="613"/>
      <c r="U106" s="613"/>
      <c r="V106" s="613"/>
      <c r="Z106"/>
      <c r="AA106"/>
      <c r="AB106"/>
      <c r="AC106"/>
      <c r="AD106"/>
      <c r="AE106"/>
      <c r="AF106"/>
      <c r="AG106"/>
      <c r="AH106"/>
    </row>
    <row r="107" spans="1:34">
      <c r="E107" s="3844"/>
      <c r="F107" s="575" t="s">
        <v>594</v>
      </c>
      <c r="G107" s="525"/>
      <c r="H107" s="523"/>
      <c r="I107" s="523"/>
      <c r="J107" s="523"/>
      <c r="K107" s="591"/>
      <c r="L107" s="514"/>
      <c r="M107" s="513"/>
      <c r="N107" s="513"/>
      <c r="O107" s="513"/>
      <c r="P107" s="515"/>
      <c r="Q107" s="613"/>
      <c r="R107" s="613"/>
      <c r="S107" s="613"/>
      <c r="T107" s="613"/>
      <c r="U107" s="613"/>
      <c r="V107" s="613"/>
      <c r="Z107"/>
      <c r="AA107"/>
      <c r="AB107"/>
      <c r="AC107"/>
      <c r="AD107"/>
      <c r="AE107"/>
      <c r="AF107"/>
      <c r="AG107"/>
      <c r="AH107"/>
    </row>
    <row r="108" spans="1:34">
      <c r="E108" s="3844"/>
      <c r="F108" s="575" t="s">
        <v>600</v>
      </c>
      <c r="G108" s="525"/>
      <c r="H108" s="523"/>
      <c r="I108" s="523"/>
      <c r="J108" s="523"/>
      <c r="K108" s="591"/>
      <c r="L108" s="514"/>
      <c r="M108" s="513"/>
      <c r="N108" s="513"/>
      <c r="O108" s="513"/>
      <c r="P108" s="515"/>
      <c r="Q108" s="613"/>
      <c r="R108" s="613"/>
      <c r="S108" s="613"/>
      <c r="T108" s="613"/>
      <c r="U108" s="613"/>
      <c r="V108" s="613"/>
      <c r="Z108"/>
      <c r="AA108"/>
      <c r="AB108"/>
      <c r="AC108"/>
      <c r="AD108"/>
      <c r="AE108"/>
      <c r="AF108"/>
      <c r="AG108"/>
      <c r="AH108"/>
    </row>
    <row r="109" spans="1:34">
      <c r="E109" s="3844"/>
      <c r="F109" s="576" t="s">
        <v>602</v>
      </c>
      <c r="G109" s="514"/>
      <c r="H109" s="513"/>
      <c r="I109" s="513"/>
      <c r="J109" s="513"/>
      <c r="K109" s="515"/>
      <c r="L109" s="401">
        <f t="shared" ref="L109:P109" si="63">SUM(L106:L108)</f>
        <v>0</v>
      </c>
      <c r="M109" s="402">
        <f t="shared" si="63"/>
        <v>0</v>
      </c>
      <c r="N109" s="402">
        <f t="shared" si="63"/>
        <v>0</v>
      </c>
      <c r="O109" s="402">
        <f t="shared" si="63"/>
        <v>0</v>
      </c>
      <c r="P109" s="505">
        <f t="shared" si="63"/>
        <v>0</v>
      </c>
      <c r="Q109" s="613"/>
      <c r="R109" s="613"/>
      <c r="S109" s="613"/>
      <c r="T109" s="613"/>
      <c r="U109" s="613"/>
      <c r="V109" s="613"/>
      <c r="Z109"/>
      <c r="AA109"/>
      <c r="AB109"/>
      <c r="AC109"/>
      <c r="AD109"/>
      <c r="AE109"/>
      <c r="AF109"/>
      <c r="AG109"/>
      <c r="AH109"/>
    </row>
    <row r="110" spans="1:34">
      <c r="E110" s="3844"/>
      <c r="F110" s="575" t="s">
        <v>619</v>
      </c>
      <c r="G110" s="514"/>
      <c r="H110" s="513"/>
      <c r="I110" s="513"/>
      <c r="J110" s="513"/>
      <c r="K110" s="515"/>
      <c r="L110" s="569"/>
      <c r="M110" s="570"/>
      <c r="N110" s="570"/>
      <c r="O110" s="570"/>
      <c r="P110" s="608"/>
      <c r="Q110" s="613"/>
      <c r="R110" s="613"/>
      <c r="S110" s="613"/>
      <c r="T110" s="613"/>
      <c r="U110" s="613"/>
      <c r="V110" s="613"/>
      <c r="Z110"/>
      <c r="AA110"/>
      <c r="AB110"/>
      <c r="AC110"/>
      <c r="AD110"/>
      <c r="AE110"/>
      <c r="AF110"/>
      <c r="AG110"/>
      <c r="AH110"/>
    </row>
    <row r="111" spans="1:34">
      <c r="E111" s="3844"/>
      <c r="F111" s="575" t="s">
        <v>159</v>
      </c>
      <c r="G111" s="514"/>
      <c r="H111" s="513"/>
      <c r="I111" s="513"/>
      <c r="J111" s="513"/>
      <c r="K111" s="515"/>
      <c r="L111" s="517"/>
      <c r="M111" s="518"/>
      <c r="N111" s="518"/>
      <c r="O111" s="518"/>
      <c r="P111" s="519"/>
      <c r="Q111" s="613"/>
      <c r="R111" s="613"/>
      <c r="S111" s="613"/>
      <c r="T111" s="613"/>
      <c r="U111" s="613"/>
      <c r="V111" s="613"/>
      <c r="Z111"/>
      <c r="AA111"/>
      <c r="AB111"/>
      <c r="AC111"/>
      <c r="AD111"/>
      <c r="AE111"/>
      <c r="AF111"/>
      <c r="AG111"/>
      <c r="AH111"/>
    </row>
    <row r="112" spans="1:34">
      <c r="E112" s="3844"/>
      <c r="F112" s="576" t="s">
        <v>620</v>
      </c>
      <c r="G112" s="1396">
        <f>SUM(G109:G111)</f>
        <v>0</v>
      </c>
      <c r="H112" s="1397">
        <f t="shared" ref="H112" si="64">SUM(H109:H111)</f>
        <v>0</v>
      </c>
      <c r="I112" s="1397">
        <f t="shared" ref="I112" si="65">SUM(I109:I111)</f>
        <v>0</v>
      </c>
      <c r="J112" s="1397">
        <f t="shared" ref="J112" si="66">SUM(J109:J111)</f>
        <v>0</v>
      </c>
      <c r="K112" s="1398">
        <f t="shared" ref="K112" si="67">SUM(K109:K111)</f>
        <v>0</v>
      </c>
      <c r="L112" s="1396">
        <f t="shared" ref="L112" si="68">SUM(L109:L111)</f>
        <v>0</v>
      </c>
      <c r="M112" s="1397">
        <f t="shared" ref="M112" si="69">SUM(M109:M111)</f>
        <v>0</v>
      </c>
      <c r="N112" s="1397">
        <f t="shared" ref="N112" si="70">SUM(N109:N111)</f>
        <v>0</v>
      </c>
      <c r="O112" s="1397">
        <f t="shared" ref="O112" si="71">SUM(O109:O111)</f>
        <v>0</v>
      </c>
      <c r="P112" s="1398">
        <f t="shared" ref="P112" si="72">SUM(P109:P111)</f>
        <v>0</v>
      </c>
      <c r="Q112" s="613"/>
      <c r="R112" s="613"/>
      <c r="S112" s="613"/>
      <c r="T112" s="613"/>
      <c r="U112" s="613"/>
      <c r="V112" s="613"/>
      <c r="Z112"/>
      <c r="AA112"/>
      <c r="AB112"/>
      <c r="AC112"/>
      <c r="AD112"/>
      <c r="AE112"/>
      <c r="AF112"/>
      <c r="AG112"/>
      <c r="AH112"/>
    </row>
    <row r="113" spans="1:34">
      <c r="E113" s="3844"/>
      <c r="F113" s="575" t="s">
        <v>35</v>
      </c>
      <c r="G113" s="514"/>
      <c r="H113" s="513"/>
      <c r="I113" s="513"/>
      <c r="J113" s="513"/>
      <c r="K113" s="515"/>
      <c r="L113" s="514"/>
      <c r="M113" s="513"/>
      <c r="N113" s="513"/>
      <c r="O113" s="513"/>
      <c r="P113" s="515"/>
      <c r="Q113" s="613"/>
      <c r="R113" s="613"/>
      <c r="S113" s="613"/>
      <c r="T113" s="613"/>
      <c r="U113" s="613"/>
      <c r="V113" s="613"/>
      <c r="Z113"/>
      <c r="AA113"/>
      <c r="AB113"/>
      <c r="AC113"/>
      <c r="AD113"/>
      <c r="AE113"/>
      <c r="AF113"/>
      <c r="AG113"/>
      <c r="AH113"/>
    </row>
    <row r="114" spans="1:34" ht="13.5" thickBot="1">
      <c r="E114" s="3845"/>
      <c r="F114" s="1753" t="s">
        <v>621</v>
      </c>
      <c r="G114" s="1401">
        <f t="shared" ref="G114:P114" si="73">G112-G113</f>
        <v>0</v>
      </c>
      <c r="H114" s="1402">
        <f t="shared" si="73"/>
        <v>0</v>
      </c>
      <c r="I114" s="1402">
        <f t="shared" si="73"/>
        <v>0</v>
      </c>
      <c r="J114" s="1402">
        <f t="shared" si="73"/>
        <v>0</v>
      </c>
      <c r="K114" s="1403">
        <f t="shared" si="73"/>
        <v>0</v>
      </c>
      <c r="L114" s="1401">
        <f t="shared" si="73"/>
        <v>0</v>
      </c>
      <c r="M114" s="1402">
        <f t="shared" si="73"/>
        <v>0</v>
      </c>
      <c r="N114" s="1402">
        <f t="shared" si="73"/>
        <v>0</v>
      </c>
      <c r="O114" s="1402">
        <f t="shared" si="73"/>
        <v>0</v>
      </c>
      <c r="P114" s="1403">
        <f t="shared" si="73"/>
        <v>0</v>
      </c>
      <c r="Q114" s="613"/>
      <c r="R114" s="613"/>
      <c r="S114" s="613"/>
      <c r="T114" s="613"/>
      <c r="U114" s="613"/>
      <c r="V114" s="613"/>
      <c r="Z114"/>
      <c r="AA114"/>
      <c r="AB114"/>
      <c r="AC114"/>
      <c r="AD114"/>
      <c r="AE114"/>
      <c r="AF114"/>
      <c r="AG114"/>
      <c r="AH114"/>
    </row>
    <row r="115" spans="1:34">
      <c r="E115" s="3824" t="s">
        <v>370</v>
      </c>
      <c r="F115" s="1800" t="s">
        <v>602</v>
      </c>
      <c r="G115" s="726">
        <f>SUMIF($F$95:$F$114,"Total direct expenditure ",G$95:G$114)</f>
        <v>0</v>
      </c>
      <c r="H115" s="727">
        <f t="shared" ref="H115:P115" si="74">SUMIF($F$95:$F$114,"Total direct expenditure ",H$95:H$114)</f>
        <v>0</v>
      </c>
      <c r="I115" s="727">
        <f t="shared" si="74"/>
        <v>0</v>
      </c>
      <c r="J115" s="727">
        <f t="shared" si="74"/>
        <v>0</v>
      </c>
      <c r="K115" s="728">
        <f t="shared" si="74"/>
        <v>0</v>
      </c>
      <c r="L115" s="726">
        <f t="shared" si="74"/>
        <v>0</v>
      </c>
      <c r="M115" s="727">
        <f t="shared" si="74"/>
        <v>0</v>
      </c>
      <c r="N115" s="727">
        <f t="shared" si="74"/>
        <v>0</v>
      </c>
      <c r="O115" s="727">
        <f t="shared" si="74"/>
        <v>0</v>
      </c>
      <c r="P115" s="1561">
        <f t="shared" si="74"/>
        <v>0</v>
      </c>
      <c r="Q115" s="719"/>
      <c r="R115" s="719"/>
      <c r="S115" s="719"/>
      <c r="T115" s="719"/>
      <c r="U115" s="719"/>
      <c r="V115" s="719"/>
      <c r="Z115"/>
      <c r="AA115"/>
      <c r="AB115"/>
      <c r="AC115"/>
      <c r="AD115"/>
      <c r="AE115"/>
      <c r="AF115"/>
      <c r="AG115"/>
      <c r="AH115"/>
    </row>
    <row r="116" spans="1:34">
      <c r="E116" s="3824"/>
      <c r="F116" s="1023" t="s">
        <v>619</v>
      </c>
      <c r="G116" s="1820">
        <f>SUMIF($F$95:$F$114,"Total overhead expenditure",G$95:G$114)</f>
        <v>0</v>
      </c>
      <c r="H116" s="1821">
        <f t="shared" ref="H116:P116" si="75">SUMIF($F$95:$F$114,"Total overhead expenditure",H$95:H$114)</f>
        <v>0</v>
      </c>
      <c r="I116" s="1821">
        <f t="shared" si="75"/>
        <v>0</v>
      </c>
      <c r="J116" s="1821">
        <f t="shared" si="75"/>
        <v>0</v>
      </c>
      <c r="K116" s="1822">
        <f t="shared" si="75"/>
        <v>0</v>
      </c>
      <c r="L116" s="1820">
        <f t="shared" si="75"/>
        <v>0</v>
      </c>
      <c r="M116" s="1821">
        <f t="shared" si="75"/>
        <v>0</v>
      </c>
      <c r="N116" s="1821">
        <f t="shared" si="75"/>
        <v>0</v>
      </c>
      <c r="O116" s="1821">
        <f t="shared" si="75"/>
        <v>0</v>
      </c>
      <c r="P116" s="1823">
        <f t="shared" si="75"/>
        <v>0</v>
      </c>
      <c r="Q116" s="720"/>
      <c r="R116" s="721"/>
      <c r="S116" s="721"/>
      <c r="T116" s="721"/>
      <c r="U116" s="721"/>
      <c r="V116" s="721"/>
      <c r="Z116"/>
      <c r="AA116"/>
      <c r="AB116"/>
      <c r="AC116"/>
      <c r="AD116"/>
      <c r="AE116"/>
      <c r="AF116"/>
      <c r="AG116"/>
      <c r="AH116"/>
    </row>
    <row r="117" spans="1:34">
      <c r="E117" s="3824"/>
      <c r="F117" s="1023" t="s">
        <v>617</v>
      </c>
      <c r="G117" s="1820">
        <f>SUMIF($F$95:$F$114,"Related party margin",G$95:G$114)</f>
        <v>0</v>
      </c>
      <c r="H117" s="1821">
        <f t="shared" ref="H117:P117" si="76">SUMIF($F$95:$F$114,"Related party margin",H$95:H$114)</f>
        <v>0</v>
      </c>
      <c r="I117" s="1821">
        <f t="shared" si="76"/>
        <v>0</v>
      </c>
      <c r="J117" s="1821">
        <f t="shared" si="76"/>
        <v>0</v>
      </c>
      <c r="K117" s="1822">
        <f t="shared" si="76"/>
        <v>0</v>
      </c>
      <c r="L117" s="1820">
        <f t="shared" si="76"/>
        <v>0</v>
      </c>
      <c r="M117" s="1821">
        <f t="shared" si="76"/>
        <v>0</v>
      </c>
      <c r="N117" s="1821">
        <f t="shared" si="76"/>
        <v>0</v>
      </c>
      <c r="O117" s="1821">
        <f t="shared" si="76"/>
        <v>0</v>
      </c>
      <c r="P117" s="1823">
        <f t="shared" si="76"/>
        <v>0</v>
      </c>
      <c r="Q117" s="721"/>
      <c r="R117" s="721"/>
      <c r="S117" s="721"/>
      <c r="T117" s="721"/>
      <c r="U117" s="721"/>
      <c r="V117" s="721"/>
      <c r="Z117"/>
      <c r="AA117"/>
      <c r="AB117"/>
      <c r="AC117"/>
      <c r="AD117"/>
      <c r="AE117"/>
      <c r="AF117"/>
      <c r="AG117"/>
      <c r="AH117"/>
    </row>
    <row r="118" spans="1:34" s="70" customFormat="1">
      <c r="A118" s="410"/>
      <c r="B118" s="360"/>
      <c r="C118" s="360"/>
      <c r="D118" s="360"/>
      <c r="E118" s="3824"/>
      <c r="F118" s="1759" t="s">
        <v>620</v>
      </c>
      <c r="G118" s="732">
        <f>SUMIF($F$95:$F$114,"Total gross expenditure",G$95:G$114)</f>
        <v>0</v>
      </c>
      <c r="H118" s="710">
        <f t="shared" ref="H118:P118" si="77">SUMIF($F$95:$F$114,"Total gross expenditure",H$95:H$114)</f>
        <v>0</v>
      </c>
      <c r="I118" s="710">
        <f t="shared" si="77"/>
        <v>0</v>
      </c>
      <c r="J118" s="710">
        <f t="shared" si="77"/>
        <v>0</v>
      </c>
      <c r="K118" s="711">
        <f t="shared" si="77"/>
        <v>0</v>
      </c>
      <c r="L118" s="732">
        <f t="shared" si="77"/>
        <v>0</v>
      </c>
      <c r="M118" s="710">
        <f t="shared" si="77"/>
        <v>0</v>
      </c>
      <c r="N118" s="710">
        <f t="shared" si="77"/>
        <v>0</v>
      </c>
      <c r="O118" s="710">
        <f t="shared" si="77"/>
        <v>0</v>
      </c>
      <c r="P118" s="733">
        <f t="shared" si="77"/>
        <v>0</v>
      </c>
      <c r="Q118" s="722"/>
      <c r="R118" s="719"/>
      <c r="S118" s="719"/>
      <c r="T118" s="719"/>
      <c r="U118" s="719"/>
      <c r="V118" s="719"/>
      <c r="W118"/>
      <c r="X118"/>
      <c r="Y118"/>
      <c r="Z118"/>
      <c r="AA118"/>
      <c r="AB118"/>
      <c r="AC118"/>
      <c r="AD118"/>
      <c r="AE118"/>
      <c r="AF118"/>
      <c r="AG118"/>
      <c r="AH118"/>
    </row>
    <row r="119" spans="1:34" s="70" customFormat="1">
      <c r="A119" s="410"/>
      <c r="B119" s="360"/>
      <c r="C119" s="360"/>
      <c r="D119" s="360"/>
      <c r="E119" s="3824"/>
      <c r="F119" s="1023" t="s">
        <v>35</v>
      </c>
      <c r="G119" s="1820">
        <f>SUMIF($F$95:$F$114,"Less customer contributions",G$95:G$114)</f>
        <v>0</v>
      </c>
      <c r="H119" s="1821">
        <f t="shared" ref="H119:P119" si="78">SUMIF($F$95:$F$114,"Less customer contributions",H$95:H$114)</f>
        <v>0</v>
      </c>
      <c r="I119" s="1821">
        <f t="shared" si="78"/>
        <v>0</v>
      </c>
      <c r="J119" s="1821">
        <f t="shared" si="78"/>
        <v>0</v>
      </c>
      <c r="K119" s="1822">
        <f t="shared" si="78"/>
        <v>0</v>
      </c>
      <c r="L119" s="1820">
        <f t="shared" si="78"/>
        <v>0</v>
      </c>
      <c r="M119" s="1821">
        <f t="shared" si="78"/>
        <v>0</v>
      </c>
      <c r="N119" s="1821">
        <f t="shared" si="78"/>
        <v>0</v>
      </c>
      <c r="O119" s="1821">
        <f t="shared" si="78"/>
        <v>0</v>
      </c>
      <c r="P119" s="1823">
        <f t="shared" si="78"/>
        <v>0</v>
      </c>
      <c r="Q119" s="723"/>
      <c r="R119" s="724"/>
      <c r="S119" s="724"/>
      <c r="T119" s="724"/>
      <c r="U119" s="724"/>
      <c r="V119" s="724"/>
      <c r="W119"/>
      <c r="X119"/>
      <c r="Y119"/>
      <c r="Z119"/>
      <c r="AA119"/>
      <c r="AB119"/>
      <c r="AC119"/>
      <c r="AD119"/>
      <c r="AE119"/>
      <c r="AF119"/>
      <c r="AG119"/>
      <c r="AH119"/>
    </row>
    <row r="120" spans="1:34" s="70" customFormat="1" ht="13.5" thickBot="1">
      <c r="A120" s="410"/>
      <c r="B120" s="360"/>
      <c r="C120" s="360"/>
      <c r="D120" s="360"/>
      <c r="E120" s="3825"/>
      <c r="F120" s="1760" t="s">
        <v>621</v>
      </c>
      <c r="G120" s="734">
        <f>SUMIF($F$95:$F$114,"Total net expenditure",G$95:G$114)</f>
        <v>0</v>
      </c>
      <c r="H120" s="735">
        <f t="shared" ref="H120:P120" si="79">SUMIF($F$95:$F$114,"Total net expenditure",H$95:H$114)</f>
        <v>0</v>
      </c>
      <c r="I120" s="735">
        <f t="shared" si="79"/>
        <v>0</v>
      </c>
      <c r="J120" s="735">
        <f t="shared" si="79"/>
        <v>0</v>
      </c>
      <c r="K120" s="736">
        <f t="shared" si="79"/>
        <v>0</v>
      </c>
      <c r="L120" s="734">
        <f t="shared" si="79"/>
        <v>0</v>
      </c>
      <c r="M120" s="735">
        <f t="shared" si="79"/>
        <v>0</v>
      </c>
      <c r="N120" s="735">
        <f t="shared" si="79"/>
        <v>0</v>
      </c>
      <c r="O120" s="735">
        <f t="shared" si="79"/>
        <v>0</v>
      </c>
      <c r="P120" s="737">
        <f t="shared" si="79"/>
        <v>0</v>
      </c>
      <c r="Q120" s="723"/>
      <c r="R120" s="724"/>
      <c r="S120" s="724"/>
      <c r="T120" s="724"/>
      <c r="U120" s="724"/>
      <c r="V120" s="724"/>
      <c r="W120"/>
      <c r="X120"/>
      <c r="Y120"/>
      <c r="Z120"/>
      <c r="AA120"/>
      <c r="AB120"/>
      <c r="AC120"/>
      <c r="AD120"/>
      <c r="AE120"/>
      <c r="AF120"/>
      <c r="AG120"/>
      <c r="AH120"/>
    </row>
    <row r="121" spans="1:34" s="70" customFormat="1" ht="32.25" customHeight="1" thickBot="1">
      <c r="A121" s="410"/>
      <c r="B121" s="360"/>
      <c r="C121" s="360"/>
      <c r="D121" s="360"/>
      <c r="E121" s="3610" t="s">
        <v>125</v>
      </c>
      <c r="F121" s="3611"/>
      <c r="G121" s="309"/>
      <c r="H121" s="310"/>
      <c r="I121" s="310"/>
      <c r="J121" s="310"/>
      <c r="K121" s="310"/>
      <c r="L121" s="310"/>
      <c r="M121" s="310"/>
      <c r="N121" s="310"/>
      <c r="O121" s="310"/>
      <c r="P121" s="458"/>
      <c r="Q121" s="723"/>
      <c r="R121" s="724"/>
      <c r="S121" s="724"/>
      <c r="T121" s="724"/>
      <c r="U121" s="724"/>
      <c r="V121" s="724"/>
      <c r="W121"/>
      <c r="X121"/>
      <c r="Y121"/>
      <c r="Z121"/>
      <c r="AA121"/>
      <c r="AB121"/>
      <c r="AC121"/>
      <c r="AD121"/>
      <c r="AE121"/>
      <c r="AF121"/>
      <c r="AG121"/>
      <c r="AH121"/>
    </row>
    <row r="122" spans="1:34" s="66" customFormat="1">
      <c r="A122" s="288"/>
      <c r="B122" s="288"/>
      <c r="C122" s="288"/>
      <c r="D122" s="288"/>
      <c r="E122" s="308"/>
      <c r="F122" s="308"/>
      <c r="G122" s="288"/>
      <c r="H122" s="288"/>
      <c r="I122" s="288"/>
      <c r="J122" s="288"/>
      <c r="K122" s="288"/>
      <c r="L122" s="725"/>
      <c r="M122" s="725"/>
      <c r="N122" s="725"/>
      <c r="O122" s="725"/>
      <c r="P122" s="725"/>
      <c r="Q122" s="644"/>
      <c r="R122" s="644"/>
      <c r="S122" s="644"/>
      <c r="T122" s="644"/>
      <c r="U122" s="644"/>
      <c r="V122" s="644"/>
      <c r="W122"/>
      <c r="X122"/>
      <c r="Y122"/>
      <c r="Z122"/>
      <c r="AA122"/>
      <c r="AB122"/>
      <c r="AC122"/>
      <c r="AD122"/>
      <c r="AE122"/>
      <c r="AF122"/>
      <c r="AG122"/>
      <c r="AH122"/>
    </row>
    <row r="123" spans="1:34">
      <c r="E123" s="308"/>
      <c r="F123" s="308"/>
      <c r="G123" s="308"/>
      <c r="H123" s="308"/>
      <c r="I123" s="308"/>
      <c r="J123" s="308"/>
      <c r="K123" s="308"/>
      <c r="L123" s="308"/>
      <c r="M123" s="308"/>
      <c r="N123" s="308"/>
      <c r="O123" s="308"/>
      <c r="P123" s="308"/>
      <c r="Z123" s="308"/>
      <c r="AA123" s="308"/>
      <c r="AB123" s="308"/>
      <c r="AC123" s="308"/>
      <c r="AD123" s="308"/>
      <c r="AE123" s="308"/>
      <c r="AF123" s="308"/>
      <c r="AG123" s="308"/>
    </row>
  </sheetData>
  <mergeCells count="40">
    <mergeCell ref="E121:F121"/>
    <mergeCell ref="E115:E120"/>
    <mergeCell ref="E95:E104"/>
    <mergeCell ref="E105:E114"/>
    <mergeCell ref="V62:V71"/>
    <mergeCell ref="E72:E81"/>
    <mergeCell ref="V72:V81"/>
    <mergeCell ref="E82:E87"/>
    <mergeCell ref="V82:V87"/>
    <mergeCell ref="G93:P93"/>
    <mergeCell ref="G92:P92"/>
    <mergeCell ref="G91:K91"/>
    <mergeCell ref="L91:P91"/>
    <mergeCell ref="E62:E71"/>
    <mergeCell ref="E88:F88"/>
    <mergeCell ref="E7:G7"/>
    <mergeCell ref="E8:G8"/>
    <mergeCell ref="E9:G9"/>
    <mergeCell ref="V41:V50"/>
    <mergeCell ref="E52:E61"/>
    <mergeCell ref="V52:V61"/>
    <mergeCell ref="E21:E30"/>
    <mergeCell ref="V21:V30"/>
    <mergeCell ref="E31:E40"/>
    <mergeCell ref="V31:V40"/>
    <mergeCell ref="E41:E50"/>
    <mergeCell ref="V16:V19"/>
    <mergeCell ref="G16:K16"/>
    <mergeCell ref="E10:G10"/>
    <mergeCell ref="E11:G11"/>
    <mergeCell ref="Q16:U16"/>
    <mergeCell ref="Z16:AD16"/>
    <mergeCell ref="AE16:AG16"/>
    <mergeCell ref="Z17:AG17"/>
    <mergeCell ref="Z18:AG18"/>
    <mergeCell ref="L16:P16"/>
    <mergeCell ref="G17:N17"/>
    <mergeCell ref="O17:U17"/>
    <mergeCell ref="G18:N18"/>
    <mergeCell ref="O18:U18"/>
  </mergeCells>
  <pageMargins left="0.7" right="0.7" top="0.75" bottom="0.75" header="0.3" footer="0.3"/>
  <pageSetup paperSize="9" orientation="portrait" r:id="rId1"/>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theme="7" tint="0.39997558519241921"/>
    <pageSetUpPr autoPageBreaks="0"/>
  </sheetPr>
  <dimension ref="A1:AI86"/>
  <sheetViews>
    <sheetView showGridLines="0" zoomScale="70" zoomScaleNormal="70" zoomScaleSheetLayoutView="115" workbookViewId="0"/>
  </sheetViews>
  <sheetFormatPr defaultColWidth="9.140625" defaultRowHeight="12.75"/>
  <cols>
    <col min="1" max="1" width="14.42578125" style="78" customWidth="1"/>
    <col min="2" max="2" width="91.5703125" style="78" customWidth="1"/>
    <col min="3" max="7" width="15.7109375" style="78" customWidth="1"/>
    <col min="8" max="8" width="15.7109375" style="529" customWidth="1"/>
    <col min="9" max="11" width="15.7109375" style="78" customWidth="1"/>
    <col min="12" max="12" width="17.7109375" style="78" customWidth="1"/>
    <col min="13" max="17" width="15.7109375" style="78" customWidth="1"/>
    <col min="18" max="20" width="8.7109375"/>
    <col min="21" max="28" width="15.7109375" style="529" customWidth="1"/>
    <col min="29" max="29" width="8.7109375" customWidth="1"/>
    <col min="30" max="16384" width="9.140625" style="78"/>
  </cols>
  <sheetData>
    <row r="1" spans="1:32" s="165" customFormat="1" ht="24" customHeight="1">
      <c r="B1" s="3050" t="str">
        <f>IF(dms_DataQuality="backcast",INDEX(dms_Worksheet_List,MATCH(dms_Model,dms_Model_List))&amp;" BACKCAST",INDEX(dms_Worksheet_List,MATCH(dms_Model,dms_Model_List)))</f>
        <v>REGULATORY REPORTING STATEMENT</v>
      </c>
      <c r="C1" s="166"/>
      <c r="D1" s="166"/>
      <c r="E1" s="166"/>
      <c r="F1" s="166"/>
      <c r="G1" s="166"/>
      <c r="H1" s="163"/>
      <c r="I1" s="163"/>
      <c r="J1" s="163"/>
      <c r="K1" s="163"/>
      <c r="L1" s="163"/>
      <c r="M1" s="163"/>
      <c r="N1" s="163"/>
      <c r="O1" s="163"/>
      <c r="P1" s="163"/>
      <c r="Q1" s="163"/>
      <c r="R1" s="225"/>
      <c r="S1" s="225"/>
      <c r="T1" s="225"/>
      <c r="U1" s="225"/>
      <c r="V1" s="225"/>
      <c r="W1" s="225"/>
      <c r="X1" s="225"/>
      <c r="Y1" s="225"/>
      <c r="Z1" s="225"/>
      <c r="AA1" s="225"/>
      <c r="AB1" s="225"/>
      <c r="AC1"/>
      <c r="AD1"/>
      <c r="AE1"/>
      <c r="AF1"/>
    </row>
    <row r="2" spans="1:32" s="223" customFormat="1" ht="24" customHeight="1">
      <c r="B2" s="3054" t="str">
        <f>INDEX(dms_TradingNameFull_List,MATCH(dms_TradingName,dms_TradingName_List))</f>
        <v>AusNet Gas Services</v>
      </c>
      <c r="C2" s="226"/>
      <c r="D2" s="226"/>
      <c r="E2" s="226"/>
      <c r="F2" s="226"/>
      <c r="G2" s="226"/>
      <c r="H2" s="225"/>
      <c r="I2" s="225"/>
      <c r="J2" s="225"/>
      <c r="K2" s="225"/>
      <c r="L2" s="225"/>
      <c r="M2" s="225"/>
      <c r="N2" s="225"/>
      <c r="O2" s="225"/>
      <c r="P2" s="225"/>
      <c r="Q2" s="225"/>
      <c r="R2" s="225"/>
      <c r="S2" s="225"/>
      <c r="T2" s="225"/>
      <c r="U2" s="225"/>
      <c r="V2" s="225"/>
      <c r="W2" s="225"/>
      <c r="X2" s="225"/>
      <c r="Y2" s="225"/>
      <c r="Z2" s="225"/>
      <c r="AA2" s="225"/>
      <c r="AB2" s="225"/>
      <c r="AC2"/>
      <c r="AD2"/>
      <c r="AE2"/>
      <c r="AF2"/>
    </row>
    <row r="3" spans="1:32" s="223" customFormat="1" ht="24" customHeight="1">
      <c r="B3" s="3054" t="str">
        <f ca="1">IF(SUM(dms_SingleYear_Model)&gt;0,CRY,CONCATENATE(FRCP_y1," to ",dms_MultiYear_FinalYear_Result))</f>
        <v>2018 to 2022</v>
      </c>
      <c r="C3" s="227"/>
      <c r="D3" s="227"/>
      <c r="E3" s="227"/>
      <c r="F3" s="227"/>
      <c r="G3" s="227"/>
      <c r="H3" s="228" t="str">
        <f>CONCATENATE(LEFT(FRCP_y1,4),"-",LEFT(FRCP_y5,2),RIGHT(FRCP_y5,2))</f>
        <v>2018-2022</v>
      </c>
      <c r="I3" s="228" t="str">
        <f>CONCATENATE(LEFT(FRCP_y1,4),"-",LEFT(FRCP_y5,2),RIGHT(FRCP_y5,2))</f>
        <v>2018-2022</v>
      </c>
      <c r="J3" s="227"/>
      <c r="K3" s="227"/>
      <c r="L3" s="227"/>
      <c r="M3" s="227"/>
      <c r="N3" s="227"/>
      <c r="O3" s="227"/>
      <c r="P3" s="227"/>
      <c r="Q3" s="227"/>
      <c r="R3" s="1426"/>
      <c r="S3" s="1426"/>
      <c r="T3" s="1426"/>
      <c r="U3" s="1426"/>
      <c r="V3" s="1426"/>
      <c r="W3" s="1426"/>
      <c r="X3" s="1426"/>
      <c r="Y3" s="1426"/>
      <c r="Z3" s="1426"/>
      <c r="AA3" s="1426"/>
      <c r="AB3" s="1426"/>
      <c r="AC3"/>
      <c r="AD3"/>
      <c r="AE3"/>
      <c r="AF3"/>
    </row>
    <row r="4" spans="1:32" s="165" customFormat="1" ht="24" customHeight="1">
      <c r="B4" s="10" t="s">
        <v>529</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c r="AF4"/>
    </row>
    <row r="5" spans="1:32" customFormat="1"/>
    <row r="6" spans="1:32" customFormat="1"/>
    <row r="7" spans="1:32" ht="24.75" customHeight="1">
      <c r="A7" s="308"/>
      <c r="B7" s="86" t="s">
        <v>59</v>
      </c>
      <c r="C7" s="86"/>
      <c r="D7" s="86"/>
      <c r="E7" s="308"/>
      <c r="F7" s="288"/>
      <c r="G7" s="288"/>
      <c r="H7" s="288"/>
      <c r="I7" s="288"/>
      <c r="J7" s="288"/>
      <c r="K7" s="288"/>
      <c r="L7" s="288"/>
      <c r="M7" s="308"/>
      <c r="N7" s="308"/>
      <c r="O7" s="308"/>
      <c r="P7" s="308"/>
      <c r="Q7" s="308"/>
      <c r="U7"/>
      <c r="V7"/>
      <c r="W7"/>
      <c r="X7"/>
      <c r="Y7"/>
      <c r="Z7"/>
      <c r="AA7"/>
      <c r="AB7"/>
      <c r="AD7"/>
      <c r="AE7"/>
      <c r="AF7"/>
    </row>
    <row r="8" spans="1:32" ht="24.75" customHeight="1">
      <c r="A8" s="308"/>
      <c r="B8" s="3616" t="s">
        <v>97</v>
      </c>
      <c r="C8" s="3616"/>
      <c r="D8" s="3616"/>
      <c r="E8" s="308"/>
      <c r="F8" s="288"/>
      <c r="G8" s="288"/>
      <c r="H8" s="288"/>
      <c r="I8" s="288"/>
      <c r="J8" s="288"/>
      <c r="K8" s="288"/>
      <c r="L8" s="288"/>
      <c r="M8" s="308"/>
      <c r="N8" s="308"/>
      <c r="O8" s="308"/>
      <c r="P8" s="308"/>
      <c r="Q8" s="308"/>
      <c r="U8"/>
      <c r="V8"/>
      <c r="W8"/>
      <c r="X8"/>
      <c r="Y8"/>
      <c r="Z8"/>
      <c r="AA8"/>
      <c r="AB8"/>
      <c r="AD8"/>
      <c r="AE8"/>
      <c r="AF8"/>
    </row>
    <row r="9" spans="1:32" ht="24.75" customHeight="1">
      <c r="A9" s="308"/>
      <c r="B9" s="3563" t="s">
        <v>530</v>
      </c>
      <c r="C9" s="3563"/>
      <c r="D9" s="3563"/>
      <c r="E9" s="308"/>
      <c r="F9" s="288"/>
      <c r="G9" s="288"/>
      <c r="H9" s="288"/>
      <c r="I9" s="288"/>
      <c r="J9" s="288"/>
      <c r="K9" s="288"/>
      <c r="L9" s="288"/>
      <c r="M9" s="308"/>
      <c r="N9" s="308"/>
      <c r="O9" s="308"/>
      <c r="P9" s="308"/>
      <c r="Q9" s="308"/>
      <c r="U9"/>
      <c r="V9"/>
      <c r="W9"/>
      <c r="X9"/>
      <c r="Y9"/>
      <c r="Z9"/>
      <c r="AA9"/>
      <c r="AB9"/>
      <c r="AD9"/>
      <c r="AE9"/>
      <c r="AF9"/>
    </row>
    <row r="10" spans="1:32" ht="24.75" customHeight="1">
      <c r="A10" s="308"/>
      <c r="B10" s="158" t="s">
        <v>259</v>
      </c>
      <c r="C10" s="158"/>
      <c r="D10" s="158"/>
      <c r="E10" s="308"/>
      <c r="F10" s="308"/>
      <c r="G10" s="308"/>
      <c r="H10" s="308"/>
      <c r="I10" s="308"/>
      <c r="J10" s="308"/>
      <c r="K10" s="308"/>
      <c r="L10" s="308"/>
      <c r="M10" s="308"/>
      <c r="N10" s="308"/>
      <c r="O10" s="308"/>
      <c r="P10" s="308"/>
      <c r="Q10" s="308"/>
      <c r="U10"/>
      <c r="V10"/>
      <c r="W10"/>
      <c r="X10"/>
      <c r="Y10"/>
      <c r="Z10"/>
      <c r="AA10"/>
      <c r="AB10"/>
      <c r="AD10"/>
      <c r="AE10"/>
      <c r="AF10"/>
    </row>
    <row r="11" spans="1:32" customFormat="1">
      <c r="U11" s="1427"/>
      <c r="V11" s="1427"/>
      <c r="W11" s="1427"/>
      <c r="X11" s="1427"/>
      <c r="Y11" s="1427"/>
      <c r="Z11" s="1427"/>
      <c r="AA11" s="1427"/>
      <c r="AB11" s="1427"/>
    </row>
    <row r="12" spans="1:32" s="79" customFormat="1" ht="21" thickBot="1">
      <c r="A12" s="308"/>
      <c r="B12" s="82"/>
      <c r="C12" s="544"/>
      <c r="D12" s="544"/>
      <c r="E12" s="544"/>
      <c r="F12" s="544"/>
      <c r="G12" s="544"/>
      <c r="H12" s="544"/>
      <c r="I12" s="544"/>
      <c r="J12" s="544"/>
      <c r="K12" s="544"/>
      <c r="L12" s="544"/>
      <c r="M12" s="544"/>
      <c r="N12" s="308"/>
      <c r="O12" s="308"/>
      <c r="P12" s="308"/>
      <c r="Q12" s="308"/>
      <c r="R12"/>
      <c r="S12"/>
      <c r="T12"/>
      <c r="U12" s="544"/>
      <c r="V12" s="544"/>
      <c r="W12" s="544"/>
      <c r="X12" s="544"/>
      <c r="Y12" s="544"/>
      <c r="Z12" s="544"/>
      <c r="AA12" s="544"/>
      <c r="AB12" s="544"/>
      <c r="AC12"/>
    </row>
    <row r="13" spans="1:32" s="229" customFormat="1" ht="24.75" customHeight="1" thickBot="1">
      <c r="A13" s="308"/>
      <c r="B13" s="856" t="s">
        <v>531</v>
      </c>
      <c r="C13" s="856"/>
      <c r="D13" s="856"/>
      <c r="E13" s="856"/>
      <c r="F13" s="856"/>
      <c r="G13" s="856"/>
      <c r="H13" s="856"/>
      <c r="I13" s="856"/>
      <c r="J13" s="856"/>
      <c r="K13" s="856"/>
      <c r="L13" s="856"/>
      <c r="M13" s="856"/>
      <c r="N13" s="856"/>
      <c r="O13" s="856"/>
      <c r="P13" s="856"/>
      <c r="Q13" s="856"/>
      <c r="R13" s="1427"/>
      <c r="S13" s="1427"/>
      <c r="T13" s="1427"/>
      <c r="U13" s="856" t="s">
        <v>681</v>
      </c>
      <c r="V13" s="856"/>
      <c r="W13" s="856"/>
      <c r="X13" s="856"/>
      <c r="Y13" s="856"/>
      <c r="Z13" s="856"/>
      <c r="AA13" s="856"/>
      <c r="AB13" s="1465"/>
      <c r="AC13" s="1427"/>
    </row>
    <row r="14" spans="1:32" s="79" customFormat="1" ht="24.75" customHeight="1" thickBot="1">
      <c r="A14" s="308"/>
      <c r="B14" s="1576" t="s">
        <v>532</v>
      </c>
      <c r="C14" s="1577"/>
      <c r="D14" s="1577"/>
      <c r="E14" s="1577"/>
      <c r="F14" s="1577"/>
      <c r="G14" s="1577"/>
      <c r="H14" s="1577"/>
      <c r="I14" s="1577"/>
      <c r="J14" s="1577"/>
      <c r="K14" s="1577"/>
      <c r="L14" s="1577"/>
      <c r="M14" s="1577"/>
      <c r="N14" s="1577"/>
      <c r="O14" s="1577"/>
      <c r="P14" s="1577"/>
      <c r="Q14" s="1578"/>
      <c r="R14"/>
      <c r="S14"/>
      <c r="T14"/>
      <c r="U14" s="1576"/>
      <c r="V14" s="1577"/>
      <c r="W14" s="1577"/>
      <c r="X14" s="1577"/>
      <c r="Y14" s="1577"/>
      <c r="Z14" s="1577"/>
      <c r="AA14" s="1577"/>
      <c r="AB14" s="1578"/>
      <c r="AC14"/>
    </row>
    <row r="15" spans="1:32" s="529" customFormat="1" ht="15.75" customHeight="1">
      <c r="A15" s="308"/>
      <c r="B15" s="292"/>
      <c r="C15" s="3701" t="s">
        <v>36</v>
      </c>
      <c r="D15" s="3702"/>
      <c r="E15" s="3702"/>
      <c r="F15" s="3702"/>
      <c r="G15" s="3702"/>
      <c r="H15" s="3703" t="s">
        <v>37</v>
      </c>
      <c r="I15" s="3704"/>
      <c r="J15" s="3704"/>
      <c r="K15" s="3704"/>
      <c r="L15" s="3704"/>
      <c r="M15" s="3728" t="s">
        <v>73</v>
      </c>
      <c r="N15" s="3728"/>
      <c r="O15" s="3728"/>
      <c r="P15" s="3728"/>
      <c r="Q15" s="3729"/>
      <c r="R15"/>
      <c r="S15"/>
      <c r="T15"/>
      <c r="U15" s="3701" t="s">
        <v>36</v>
      </c>
      <c r="V15" s="3702"/>
      <c r="W15" s="3702"/>
      <c r="X15" s="3702"/>
      <c r="Y15" s="3702"/>
      <c r="Z15" s="3703" t="s">
        <v>37</v>
      </c>
      <c r="AA15" s="3704"/>
      <c r="AB15" s="3705"/>
      <c r="AC15"/>
    </row>
    <row r="16" spans="1:32" s="529" customFormat="1" ht="12.75" customHeight="1">
      <c r="A16" s="308"/>
      <c r="B16" s="292"/>
      <c r="C16" s="3550" t="s">
        <v>579</v>
      </c>
      <c r="D16" s="3551"/>
      <c r="E16" s="3551"/>
      <c r="F16" s="3551"/>
      <c r="G16" s="3551"/>
      <c r="H16" s="3551"/>
      <c r="I16" s="3551"/>
      <c r="J16" s="3595"/>
      <c r="K16" s="3589" t="str">
        <f>CONCATENATE("$0's, real ",dms_DollarReal)</f>
        <v>$0's, real December 2017</v>
      </c>
      <c r="L16" s="3590"/>
      <c r="M16" s="3590"/>
      <c r="N16" s="3590"/>
      <c r="O16" s="3590"/>
      <c r="P16" s="3590"/>
      <c r="Q16" s="3734"/>
      <c r="R16"/>
      <c r="S16"/>
      <c r="T16"/>
      <c r="U16" s="3605" t="str">
        <f>CONCATENATE("$0's, real ",dms_DollarReal)</f>
        <v>$0's, real December 2017</v>
      </c>
      <c r="V16" s="3590"/>
      <c r="W16" s="3590"/>
      <c r="X16" s="3590"/>
      <c r="Y16" s="3590"/>
      <c r="Z16" s="3590"/>
      <c r="AA16" s="3590"/>
      <c r="AB16" s="3591"/>
      <c r="AC16"/>
    </row>
    <row r="17" spans="1:29" s="529" customFormat="1" ht="15" customHeight="1">
      <c r="A17" s="308"/>
      <c r="B17" s="292"/>
      <c r="C17" s="3550" t="s">
        <v>54</v>
      </c>
      <c r="D17" s="3551"/>
      <c r="E17" s="3551"/>
      <c r="F17" s="3551"/>
      <c r="G17" s="3551"/>
      <c r="H17" s="3551"/>
      <c r="I17" s="3551"/>
      <c r="J17" s="3595"/>
      <c r="K17" s="3589" t="s">
        <v>55</v>
      </c>
      <c r="L17" s="3590"/>
      <c r="M17" s="3590"/>
      <c r="N17" s="3590"/>
      <c r="O17" s="3590"/>
      <c r="P17" s="3590"/>
      <c r="Q17" s="3734"/>
      <c r="R17"/>
      <c r="S17"/>
      <c r="T17"/>
      <c r="U17" s="3550" t="s">
        <v>54</v>
      </c>
      <c r="V17" s="3551"/>
      <c r="W17" s="3551"/>
      <c r="X17" s="3551"/>
      <c r="Y17" s="3551"/>
      <c r="Z17" s="3551"/>
      <c r="AA17" s="3551"/>
      <c r="AB17" s="3552"/>
      <c r="AC17"/>
    </row>
    <row r="18" spans="1:29" s="529" customFormat="1" ht="15" customHeight="1" thickBot="1">
      <c r="A18" s="308"/>
      <c r="B18" s="583"/>
      <c r="C18" s="391">
        <f t="array" ref="C18:G18">PRCP</f>
        <v>2008</v>
      </c>
      <c r="D18" s="390">
        <v>2009</v>
      </c>
      <c r="E18" s="390">
        <v>2010</v>
      </c>
      <c r="F18" s="390">
        <v>2011</v>
      </c>
      <c r="G18" s="390">
        <v>2012</v>
      </c>
      <c r="H18" s="392">
        <f>CRCP_y1</f>
        <v>2013</v>
      </c>
      <c r="I18" s="392">
        <f>CRCP_y2</f>
        <v>2014</v>
      </c>
      <c r="J18" s="392">
        <f>CRCP_y3</f>
        <v>2015</v>
      </c>
      <c r="K18" s="392">
        <f>CRCP_y4</f>
        <v>2016</v>
      </c>
      <c r="L18" s="392">
        <f>CRCP_y5</f>
        <v>2017</v>
      </c>
      <c r="M18" s="390" t="str">
        <f t="array" ref="M18:Q18">FRCP</f>
        <v>2018</v>
      </c>
      <c r="N18" s="390">
        <v>2019</v>
      </c>
      <c r="O18" s="390">
        <v>2020</v>
      </c>
      <c r="P18" s="390">
        <v>2021</v>
      </c>
      <c r="Q18" s="498">
        <v>2022</v>
      </c>
      <c r="R18"/>
      <c r="S18"/>
      <c r="T18"/>
      <c r="U18" s="1789">
        <f t="array" ref="U18:Y18">PRCP</f>
        <v>2008</v>
      </c>
      <c r="V18" s="390">
        <v>2009</v>
      </c>
      <c r="W18" s="390">
        <v>2010</v>
      </c>
      <c r="X18" s="390">
        <v>2011</v>
      </c>
      <c r="Y18" s="390">
        <v>2012</v>
      </c>
      <c r="Z18" s="392">
        <f>CRCP_y1</f>
        <v>2013</v>
      </c>
      <c r="AA18" s="392">
        <f>CRCP_y2</f>
        <v>2014</v>
      </c>
      <c r="AB18" s="603">
        <f>CRCP_y3</f>
        <v>2015</v>
      </c>
      <c r="AC18"/>
    </row>
    <row r="19" spans="1:29" ht="24.75" customHeight="1" thickBot="1">
      <c r="A19" s="308"/>
      <c r="B19" s="743" t="s">
        <v>660</v>
      </c>
      <c r="C19" s="509"/>
      <c r="D19" s="509"/>
      <c r="E19" s="509"/>
      <c r="F19" s="509"/>
      <c r="G19" s="509"/>
      <c r="H19" s="509"/>
      <c r="I19" s="509"/>
      <c r="J19" s="509"/>
      <c r="K19" s="509"/>
      <c r="L19" s="509"/>
      <c r="M19" s="509"/>
      <c r="N19" s="509"/>
      <c r="O19" s="509"/>
      <c r="P19" s="509"/>
      <c r="Q19" s="756"/>
      <c r="U19" s="2134"/>
      <c r="V19" s="509"/>
      <c r="W19" s="509"/>
      <c r="X19" s="509"/>
      <c r="Y19" s="509"/>
      <c r="Z19" s="509"/>
      <c r="AA19" s="509"/>
      <c r="AB19" s="478"/>
    </row>
    <row r="20" spans="1:29">
      <c r="A20" s="308"/>
      <c r="B20" s="744" t="s">
        <v>663</v>
      </c>
      <c r="C20" s="462"/>
      <c r="D20" s="463"/>
      <c r="E20" s="463"/>
      <c r="F20" s="463"/>
      <c r="G20" s="562"/>
      <c r="H20" s="758"/>
      <c r="I20" s="741"/>
      <c r="J20" s="741"/>
      <c r="K20" s="741"/>
      <c r="L20" s="759"/>
      <c r="M20" s="758"/>
      <c r="N20" s="741"/>
      <c r="O20" s="741"/>
      <c r="P20" s="741"/>
      <c r="Q20" s="759"/>
      <c r="U20" s="1926"/>
      <c r="V20" s="508"/>
      <c r="W20" s="508"/>
      <c r="X20" s="508"/>
      <c r="Y20" s="587"/>
      <c r="Z20" s="2187"/>
      <c r="AA20" s="2188"/>
      <c r="AB20" s="2189"/>
    </row>
    <row r="21" spans="1:29">
      <c r="A21" s="308"/>
      <c r="B21" s="745" t="s">
        <v>663</v>
      </c>
      <c r="C21" s="514"/>
      <c r="D21" s="513"/>
      <c r="E21" s="513"/>
      <c r="F21" s="513"/>
      <c r="G21" s="515"/>
      <c r="H21" s="760"/>
      <c r="I21" s="742"/>
      <c r="J21" s="742"/>
      <c r="K21" s="742"/>
      <c r="L21" s="761"/>
      <c r="M21" s="760"/>
      <c r="N21" s="742"/>
      <c r="O21" s="742"/>
      <c r="P21" s="742"/>
      <c r="Q21" s="761"/>
      <c r="U21" s="517"/>
      <c r="V21" s="518"/>
      <c r="W21" s="518"/>
      <c r="X21" s="518"/>
      <c r="Y21" s="519"/>
      <c r="Z21" s="2190"/>
      <c r="AA21" s="2191"/>
      <c r="AB21" s="2192"/>
    </row>
    <row r="22" spans="1:29">
      <c r="A22" s="308"/>
      <c r="B22" s="745" t="s">
        <v>663</v>
      </c>
      <c r="C22" s="514"/>
      <c r="D22" s="513"/>
      <c r="E22" s="513"/>
      <c r="F22" s="513"/>
      <c r="G22" s="515"/>
      <c r="H22" s="760"/>
      <c r="I22" s="742"/>
      <c r="J22" s="742"/>
      <c r="K22" s="742"/>
      <c r="L22" s="761"/>
      <c r="M22" s="760"/>
      <c r="N22" s="742"/>
      <c r="O22" s="742"/>
      <c r="P22" s="742"/>
      <c r="Q22" s="761"/>
      <c r="U22" s="517"/>
      <c r="V22" s="518"/>
      <c r="W22" s="518"/>
      <c r="X22" s="518"/>
      <c r="Y22" s="519"/>
      <c r="Z22" s="2190"/>
      <c r="AA22" s="2191"/>
      <c r="AB22" s="2192"/>
    </row>
    <row r="23" spans="1:29">
      <c r="A23" s="308"/>
      <c r="B23" s="745" t="s">
        <v>663</v>
      </c>
      <c r="C23" s="514"/>
      <c r="D23" s="513"/>
      <c r="E23" s="513"/>
      <c r="F23" s="513"/>
      <c r="G23" s="515"/>
      <c r="H23" s="760"/>
      <c r="I23" s="742"/>
      <c r="J23" s="742"/>
      <c r="K23" s="742"/>
      <c r="L23" s="761"/>
      <c r="M23" s="760"/>
      <c r="N23" s="742"/>
      <c r="O23" s="742"/>
      <c r="P23" s="742"/>
      <c r="Q23" s="761"/>
      <c r="U23" s="517"/>
      <c r="V23" s="518"/>
      <c r="W23" s="518"/>
      <c r="X23" s="518"/>
      <c r="Y23" s="519"/>
      <c r="Z23" s="2190"/>
      <c r="AA23" s="2191"/>
      <c r="AB23" s="2192"/>
    </row>
    <row r="24" spans="1:29">
      <c r="A24" s="308"/>
      <c r="B24" s="745" t="s">
        <v>663</v>
      </c>
      <c r="C24" s="514"/>
      <c r="D24" s="513"/>
      <c r="E24" s="513"/>
      <c r="F24" s="513"/>
      <c r="G24" s="515"/>
      <c r="H24" s="760"/>
      <c r="I24" s="742"/>
      <c r="J24" s="742"/>
      <c r="K24" s="742"/>
      <c r="L24" s="761"/>
      <c r="M24" s="760"/>
      <c r="N24" s="742"/>
      <c r="O24" s="742"/>
      <c r="P24" s="742"/>
      <c r="Q24" s="761"/>
      <c r="U24" s="517"/>
      <c r="V24" s="518"/>
      <c r="W24" s="518"/>
      <c r="X24" s="518"/>
      <c r="Y24" s="519"/>
      <c r="Z24" s="2190"/>
      <c r="AA24" s="2191"/>
      <c r="AB24" s="2192"/>
    </row>
    <row r="25" spans="1:29">
      <c r="A25" s="308"/>
      <c r="B25" s="745" t="s">
        <v>663</v>
      </c>
      <c r="C25" s="514"/>
      <c r="D25" s="513"/>
      <c r="E25" s="513"/>
      <c r="F25" s="513"/>
      <c r="G25" s="515"/>
      <c r="H25" s="760"/>
      <c r="I25" s="742"/>
      <c r="J25" s="742"/>
      <c r="K25" s="742"/>
      <c r="L25" s="761"/>
      <c r="M25" s="760"/>
      <c r="N25" s="742"/>
      <c r="O25" s="742"/>
      <c r="P25" s="742"/>
      <c r="Q25" s="761"/>
      <c r="U25" s="517"/>
      <c r="V25" s="518"/>
      <c r="W25" s="518"/>
      <c r="X25" s="518"/>
      <c r="Y25" s="519"/>
      <c r="Z25" s="2190"/>
      <c r="AA25" s="2191"/>
      <c r="AB25" s="2192"/>
    </row>
    <row r="26" spans="1:29" ht="13.5" thickBot="1">
      <c r="A26" s="308"/>
      <c r="B26" s="750" t="s">
        <v>663</v>
      </c>
      <c r="C26" s="751"/>
      <c r="D26" s="752"/>
      <c r="E26" s="752"/>
      <c r="F26" s="752"/>
      <c r="G26" s="757"/>
      <c r="H26" s="762"/>
      <c r="I26" s="753"/>
      <c r="J26" s="753"/>
      <c r="K26" s="753"/>
      <c r="L26" s="763"/>
      <c r="M26" s="762"/>
      <c r="N26" s="753"/>
      <c r="O26" s="753"/>
      <c r="P26" s="753"/>
      <c r="Q26" s="763"/>
      <c r="U26" s="2193"/>
      <c r="V26" s="2194"/>
      <c r="W26" s="2194"/>
      <c r="X26" s="2194"/>
      <c r="Y26" s="2195"/>
      <c r="Z26" s="2196"/>
      <c r="AA26" s="2197"/>
      <c r="AB26" s="2198"/>
    </row>
    <row r="27" spans="1:29" s="529" customFormat="1" ht="24.75" customHeight="1" thickBot="1">
      <c r="A27" s="308"/>
      <c r="B27" s="743" t="s">
        <v>661</v>
      </c>
      <c r="C27" s="746"/>
      <c r="D27" s="747"/>
      <c r="E27" s="747"/>
      <c r="F27" s="747"/>
      <c r="G27" s="756"/>
      <c r="H27" s="746"/>
      <c r="I27" s="747"/>
      <c r="J27" s="747"/>
      <c r="K27" s="747"/>
      <c r="L27" s="756"/>
      <c r="M27" s="746"/>
      <c r="N27" s="747"/>
      <c r="O27" s="747"/>
      <c r="P27" s="747"/>
      <c r="Q27" s="756"/>
      <c r="R27"/>
      <c r="S27"/>
      <c r="T27"/>
      <c r="U27" s="2199"/>
      <c r="V27" s="2200"/>
      <c r="W27" s="2200"/>
      <c r="X27" s="2200"/>
      <c r="Y27" s="2201"/>
      <c r="Z27" s="2199"/>
      <c r="AA27" s="2200"/>
      <c r="AB27" s="2201"/>
      <c r="AC27"/>
    </row>
    <row r="28" spans="1:29">
      <c r="A28" s="308"/>
      <c r="B28" s="754" t="s">
        <v>663</v>
      </c>
      <c r="C28" s="466"/>
      <c r="D28" s="549"/>
      <c r="E28" s="549"/>
      <c r="F28" s="549"/>
      <c r="G28" s="563"/>
      <c r="H28" s="764"/>
      <c r="I28" s="755"/>
      <c r="J28" s="755"/>
      <c r="K28" s="755"/>
      <c r="L28" s="765"/>
      <c r="M28" s="764"/>
      <c r="N28" s="755"/>
      <c r="O28" s="755"/>
      <c r="P28" s="755"/>
      <c r="Q28" s="765"/>
      <c r="U28" s="2170"/>
      <c r="V28" s="2171"/>
      <c r="W28" s="2171"/>
      <c r="X28" s="2171"/>
      <c r="Y28" s="2172"/>
      <c r="Z28" s="2202"/>
      <c r="AA28" s="2203"/>
      <c r="AB28" s="2204"/>
    </row>
    <row r="29" spans="1:29">
      <c r="A29" s="308"/>
      <c r="B29" s="745" t="s">
        <v>663</v>
      </c>
      <c r="C29" s="514"/>
      <c r="D29" s="513"/>
      <c r="E29" s="513"/>
      <c r="F29" s="513"/>
      <c r="G29" s="515"/>
      <c r="H29" s="760"/>
      <c r="I29" s="742"/>
      <c r="J29" s="742"/>
      <c r="K29" s="742"/>
      <c r="L29" s="761"/>
      <c r="M29" s="760"/>
      <c r="N29" s="742"/>
      <c r="O29" s="742"/>
      <c r="P29" s="742"/>
      <c r="Q29" s="761"/>
      <c r="U29" s="517"/>
      <c r="V29" s="518"/>
      <c r="W29" s="518"/>
      <c r="X29" s="518"/>
      <c r="Y29" s="519"/>
      <c r="Z29" s="2190"/>
      <c r="AA29" s="2191"/>
      <c r="AB29" s="2192"/>
    </row>
    <row r="30" spans="1:29">
      <c r="A30" s="308"/>
      <c r="B30" s="745" t="s">
        <v>663</v>
      </c>
      <c r="C30" s="514"/>
      <c r="D30" s="513"/>
      <c r="E30" s="513"/>
      <c r="F30" s="513"/>
      <c r="G30" s="515"/>
      <c r="H30" s="760"/>
      <c r="I30" s="742"/>
      <c r="J30" s="742"/>
      <c r="K30" s="742"/>
      <c r="L30" s="761"/>
      <c r="M30" s="760"/>
      <c r="N30" s="742"/>
      <c r="O30" s="742"/>
      <c r="P30" s="742"/>
      <c r="Q30" s="761"/>
      <c r="U30" s="517"/>
      <c r="V30" s="518"/>
      <c r="W30" s="518"/>
      <c r="X30" s="518"/>
      <c r="Y30" s="519"/>
      <c r="Z30" s="2190"/>
      <c r="AA30" s="2191"/>
      <c r="AB30" s="2192"/>
    </row>
    <row r="31" spans="1:29">
      <c r="A31" s="308"/>
      <c r="B31" s="745" t="s">
        <v>663</v>
      </c>
      <c r="C31" s="514"/>
      <c r="D31" s="513"/>
      <c r="E31" s="513"/>
      <c r="F31" s="513"/>
      <c r="G31" s="515"/>
      <c r="H31" s="760"/>
      <c r="I31" s="742"/>
      <c r="J31" s="742"/>
      <c r="K31" s="742"/>
      <c r="L31" s="761"/>
      <c r="M31" s="760"/>
      <c r="N31" s="742"/>
      <c r="O31" s="742"/>
      <c r="P31" s="742"/>
      <c r="Q31" s="761"/>
      <c r="U31" s="517"/>
      <c r="V31" s="518"/>
      <c r="W31" s="518"/>
      <c r="X31" s="518"/>
      <c r="Y31" s="519"/>
      <c r="Z31" s="2190"/>
      <c r="AA31" s="2191"/>
      <c r="AB31" s="2192"/>
    </row>
    <row r="32" spans="1:29">
      <c r="A32" s="308"/>
      <c r="B32" s="745" t="s">
        <v>663</v>
      </c>
      <c r="C32" s="514"/>
      <c r="D32" s="513"/>
      <c r="E32" s="513"/>
      <c r="F32" s="513"/>
      <c r="G32" s="515"/>
      <c r="H32" s="760"/>
      <c r="I32" s="742"/>
      <c r="J32" s="742"/>
      <c r="K32" s="742"/>
      <c r="L32" s="761"/>
      <c r="M32" s="760"/>
      <c r="N32" s="742"/>
      <c r="O32" s="742"/>
      <c r="P32" s="742"/>
      <c r="Q32" s="761"/>
      <c r="U32" s="517"/>
      <c r="V32" s="518"/>
      <c r="W32" s="518"/>
      <c r="X32" s="518"/>
      <c r="Y32" s="519"/>
      <c r="Z32" s="2190"/>
      <c r="AA32" s="2191"/>
      <c r="AB32" s="2192"/>
    </row>
    <row r="33" spans="1:29">
      <c r="A33" s="308"/>
      <c r="B33" s="745" t="s">
        <v>663</v>
      </c>
      <c r="C33" s="514"/>
      <c r="D33" s="513"/>
      <c r="E33" s="513"/>
      <c r="F33" s="513"/>
      <c r="G33" s="515"/>
      <c r="H33" s="760"/>
      <c r="I33" s="742"/>
      <c r="J33" s="742"/>
      <c r="K33" s="742"/>
      <c r="L33" s="761"/>
      <c r="M33" s="760"/>
      <c r="N33" s="742"/>
      <c r="O33" s="742"/>
      <c r="P33" s="742"/>
      <c r="Q33" s="761"/>
      <c r="U33" s="517"/>
      <c r="V33" s="518"/>
      <c r="W33" s="518"/>
      <c r="X33" s="518"/>
      <c r="Y33" s="519"/>
      <c r="Z33" s="2190"/>
      <c r="AA33" s="2191"/>
      <c r="AB33" s="2192"/>
    </row>
    <row r="34" spans="1:29" s="1019" customFormat="1" ht="13.5" thickBot="1">
      <c r="A34" s="1018"/>
      <c r="B34" s="749" t="s">
        <v>619</v>
      </c>
      <c r="C34" s="1401">
        <f t="shared" ref="C34:P34" si="0">SUM(C20:C33)</f>
        <v>0</v>
      </c>
      <c r="D34" s="1402">
        <f t="shared" si="0"/>
        <v>0</v>
      </c>
      <c r="E34" s="1402">
        <f t="shared" si="0"/>
        <v>0</v>
      </c>
      <c r="F34" s="1402">
        <f t="shared" si="0"/>
        <v>0</v>
      </c>
      <c r="G34" s="1403">
        <f t="shared" si="0"/>
        <v>0</v>
      </c>
      <c r="H34" s="1401">
        <f t="shared" si="0"/>
        <v>0</v>
      </c>
      <c r="I34" s="1402">
        <f t="shared" si="0"/>
        <v>0</v>
      </c>
      <c r="J34" s="1402">
        <f t="shared" si="0"/>
        <v>0</v>
      </c>
      <c r="K34" s="1402">
        <f t="shared" si="0"/>
        <v>0</v>
      </c>
      <c r="L34" s="1403">
        <f t="shared" si="0"/>
        <v>0</v>
      </c>
      <c r="M34" s="1401">
        <f t="shared" si="0"/>
        <v>0</v>
      </c>
      <c r="N34" s="1402">
        <f t="shared" si="0"/>
        <v>0</v>
      </c>
      <c r="O34" s="1402">
        <f t="shared" si="0"/>
        <v>0</v>
      </c>
      <c r="P34" s="1402">
        <f t="shared" si="0"/>
        <v>0</v>
      </c>
      <c r="Q34" s="1403">
        <f t="shared" ref="Q34" si="1">SUM(Q20:Q33)</f>
        <v>0</v>
      </c>
      <c r="U34" s="1805">
        <f t="shared" ref="U34:AB34" si="2">SUM(U20:U33)</f>
        <v>0</v>
      </c>
      <c r="V34" s="1402">
        <f t="shared" si="2"/>
        <v>0</v>
      </c>
      <c r="W34" s="1402">
        <f t="shared" si="2"/>
        <v>0</v>
      </c>
      <c r="X34" s="1402">
        <f t="shared" si="2"/>
        <v>0</v>
      </c>
      <c r="Y34" s="1403">
        <f t="shared" si="2"/>
        <v>0</v>
      </c>
      <c r="Z34" s="1805">
        <f t="shared" si="2"/>
        <v>0</v>
      </c>
      <c r="AA34" s="1402">
        <f t="shared" si="2"/>
        <v>0</v>
      </c>
      <c r="AB34" s="1403">
        <f t="shared" si="2"/>
        <v>0</v>
      </c>
    </row>
    <row r="35" spans="1:29" s="70" customFormat="1" ht="28.5" customHeight="1" thickBot="1">
      <c r="A35" s="360"/>
      <c r="B35" s="430" t="s">
        <v>125</v>
      </c>
      <c r="C35" s="748"/>
      <c r="D35" s="310"/>
      <c r="E35" s="310"/>
      <c r="F35" s="310"/>
      <c r="G35" s="310"/>
      <c r="H35" s="310"/>
      <c r="I35" s="310"/>
      <c r="J35" s="310"/>
      <c r="K35" s="310"/>
      <c r="L35" s="310"/>
      <c r="M35" s="310"/>
      <c r="N35" s="310"/>
      <c r="O35" s="310"/>
      <c r="P35" s="310"/>
      <c r="Q35" s="458"/>
      <c r="R35"/>
      <c r="S35"/>
      <c r="T35"/>
      <c r="U35" s="2135"/>
      <c r="V35" s="2116"/>
      <c r="W35" s="2116"/>
      <c r="X35" s="2116"/>
      <c r="Y35" s="2116"/>
      <c r="Z35" s="2116"/>
      <c r="AA35" s="2116"/>
      <c r="AB35" s="2119"/>
      <c r="AC35"/>
    </row>
    <row r="36" spans="1:29" s="138" customFormat="1" ht="39.75" customHeight="1">
      <c r="A36" s="360"/>
      <c r="B36" s="724"/>
      <c r="C36" s="724"/>
      <c r="D36" s="724"/>
      <c r="E36" s="724"/>
      <c r="F36" s="724"/>
      <c r="G36" s="724"/>
      <c r="H36" s="724"/>
      <c r="I36" s="724"/>
      <c r="J36" s="724"/>
      <c r="K36" s="724"/>
      <c r="L36" s="724"/>
      <c r="M36" s="724"/>
      <c r="N36" s="724"/>
      <c r="O36" s="724"/>
      <c r="P36" s="724"/>
      <c r="Q36" s="724"/>
      <c r="R36"/>
      <c r="S36"/>
      <c r="T36"/>
      <c r="U36" s="724"/>
      <c r="V36" s="724"/>
      <c r="W36" s="724"/>
      <c r="X36" s="724"/>
      <c r="Y36" s="724"/>
      <c r="Z36" s="724"/>
      <c r="AA36" s="724"/>
      <c r="AB36" s="724"/>
      <c r="AC36"/>
    </row>
    <row r="37" spans="1:29" s="79" customFormat="1" ht="39" customHeight="1" thickBot="1">
      <c r="A37" s="308"/>
      <c r="B37" s="308"/>
      <c r="C37" s="544"/>
      <c r="D37" s="544"/>
      <c r="E37" s="544"/>
      <c r="F37" s="544"/>
      <c r="G37" s="544"/>
      <c r="H37" s="544"/>
      <c r="I37" s="544"/>
      <c r="J37" s="544"/>
      <c r="K37" s="544"/>
      <c r="L37" s="544"/>
      <c r="M37" s="544"/>
      <c r="N37" s="308"/>
      <c r="O37" s="308"/>
      <c r="P37" s="308"/>
      <c r="Q37" s="308"/>
      <c r="R37"/>
      <c r="S37"/>
      <c r="T37"/>
      <c r="U37" s="544"/>
      <c r="V37" s="544"/>
      <c r="W37" s="544"/>
      <c r="X37" s="544"/>
      <c r="Y37" s="544"/>
      <c r="Z37" s="544"/>
      <c r="AA37" s="544"/>
      <c r="AB37" s="544"/>
      <c r="AC37"/>
    </row>
    <row r="38" spans="1:29" s="229" customFormat="1" ht="24.75" customHeight="1" thickBot="1">
      <c r="A38" s="308"/>
      <c r="B38" s="1576" t="s">
        <v>1459</v>
      </c>
      <c r="C38" s="1577"/>
      <c r="D38" s="1577"/>
      <c r="E38" s="1577"/>
      <c r="F38" s="1577"/>
      <c r="G38" s="1577"/>
      <c r="H38" s="1577"/>
      <c r="I38" s="1577"/>
      <c r="J38" s="1577"/>
      <c r="K38" s="1577"/>
      <c r="L38" s="1577"/>
      <c r="M38" s="1577"/>
      <c r="N38" s="1577"/>
      <c r="O38" s="1577"/>
      <c r="P38" s="1577"/>
      <c r="Q38" s="1578"/>
      <c r="R38" s="1427"/>
      <c r="S38" s="1427"/>
      <c r="T38" s="1427"/>
      <c r="U38" s="1576"/>
      <c r="V38" s="1577"/>
      <c r="W38" s="1577"/>
      <c r="X38" s="1577"/>
      <c r="Y38" s="1577"/>
      <c r="Z38" s="1577"/>
      <c r="AA38" s="1577"/>
      <c r="AB38" s="1578"/>
      <c r="AC38" s="1427"/>
    </row>
    <row r="39" spans="1:29" s="529" customFormat="1" ht="15.75" customHeight="1">
      <c r="A39" s="308"/>
      <c r="B39" s="292"/>
      <c r="C39" s="3701" t="s">
        <v>36</v>
      </c>
      <c r="D39" s="3702"/>
      <c r="E39" s="3702"/>
      <c r="F39" s="3702"/>
      <c r="G39" s="3702"/>
      <c r="H39" s="3703" t="s">
        <v>37</v>
      </c>
      <c r="I39" s="3704"/>
      <c r="J39" s="3704"/>
      <c r="K39" s="3704"/>
      <c r="L39" s="3704"/>
      <c r="M39" s="3728" t="s">
        <v>73</v>
      </c>
      <c r="N39" s="3728"/>
      <c r="O39" s="3728"/>
      <c r="P39" s="3728"/>
      <c r="Q39" s="3729"/>
      <c r="R39"/>
      <c r="S39"/>
      <c r="T39"/>
      <c r="U39" s="3701" t="s">
        <v>36</v>
      </c>
      <c r="V39" s="3702"/>
      <c r="W39" s="3702"/>
      <c r="X39" s="3702"/>
      <c r="Y39" s="3702"/>
      <c r="Z39" s="3703" t="s">
        <v>37</v>
      </c>
      <c r="AA39" s="3704"/>
      <c r="AB39" s="3705"/>
      <c r="AC39"/>
    </row>
    <row r="40" spans="1:29" s="529" customFormat="1" ht="12.75" customHeight="1">
      <c r="A40" s="308"/>
      <c r="B40" s="292"/>
      <c r="C40" s="3550" t="s">
        <v>579</v>
      </c>
      <c r="D40" s="3551"/>
      <c r="E40" s="3551"/>
      <c r="F40" s="3551"/>
      <c r="G40" s="3551"/>
      <c r="H40" s="3551"/>
      <c r="I40" s="3551"/>
      <c r="J40" s="3595"/>
      <c r="K40" s="3589" t="str">
        <f>CONCATENATE("$0's, real ",dms_DollarReal)</f>
        <v>$0's, real December 2017</v>
      </c>
      <c r="L40" s="3590"/>
      <c r="M40" s="3590"/>
      <c r="N40" s="3590"/>
      <c r="O40" s="3590"/>
      <c r="P40" s="3590"/>
      <c r="Q40" s="3734"/>
      <c r="R40"/>
      <c r="S40"/>
      <c r="T40"/>
      <c r="U40" s="3605" t="str">
        <f>CONCATENATE("$0's, real ",dms_DollarReal)</f>
        <v>$0's, real December 2017</v>
      </c>
      <c r="V40" s="3590"/>
      <c r="W40" s="3590"/>
      <c r="X40" s="3590"/>
      <c r="Y40" s="3590"/>
      <c r="Z40" s="3590"/>
      <c r="AA40" s="3590"/>
      <c r="AB40" s="3591"/>
      <c r="AC40"/>
    </row>
    <row r="41" spans="1:29" s="529" customFormat="1" ht="15" customHeight="1">
      <c r="A41" s="308"/>
      <c r="B41" s="292"/>
      <c r="C41" s="3550" t="s">
        <v>54</v>
      </c>
      <c r="D41" s="3551"/>
      <c r="E41" s="3551"/>
      <c r="F41" s="3551"/>
      <c r="G41" s="3551"/>
      <c r="H41" s="3551"/>
      <c r="I41" s="3551"/>
      <c r="J41" s="3595"/>
      <c r="K41" s="3589" t="s">
        <v>55</v>
      </c>
      <c r="L41" s="3590"/>
      <c r="M41" s="3590"/>
      <c r="N41" s="3590"/>
      <c r="O41" s="3590"/>
      <c r="P41" s="3590"/>
      <c r="Q41" s="3734"/>
      <c r="R41"/>
      <c r="S41"/>
      <c r="T41"/>
      <c r="U41" s="3550" t="s">
        <v>54</v>
      </c>
      <c r="V41" s="3551"/>
      <c r="W41" s="3551"/>
      <c r="X41" s="3551"/>
      <c r="Y41" s="3551"/>
      <c r="Z41" s="3551"/>
      <c r="AA41" s="3551"/>
      <c r="AB41" s="3552"/>
      <c r="AC41"/>
    </row>
    <row r="42" spans="1:29" s="529" customFormat="1" ht="15" customHeight="1" thickBot="1">
      <c r="A42" s="308"/>
      <c r="B42" s="292"/>
      <c r="C42" s="393">
        <f t="array" ref="C42:G42">PRCP</f>
        <v>2008</v>
      </c>
      <c r="D42" s="394">
        <v>2009</v>
      </c>
      <c r="E42" s="394">
        <v>2010</v>
      </c>
      <c r="F42" s="394">
        <v>2011</v>
      </c>
      <c r="G42" s="394">
        <v>2012</v>
      </c>
      <c r="H42" s="395">
        <f>CRCP_y1</f>
        <v>2013</v>
      </c>
      <c r="I42" s="395">
        <f>CRCP_y2</f>
        <v>2014</v>
      </c>
      <c r="J42" s="395">
        <f>CRCP_y3</f>
        <v>2015</v>
      </c>
      <c r="K42" s="395">
        <f>CRCP_y4</f>
        <v>2016</v>
      </c>
      <c r="L42" s="395">
        <f>CRCP_y5</f>
        <v>2017</v>
      </c>
      <c r="M42" s="394" t="str">
        <f t="array" ref="M42:Q42">FRCP</f>
        <v>2018</v>
      </c>
      <c r="N42" s="394">
        <v>2019</v>
      </c>
      <c r="O42" s="394">
        <v>2020</v>
      </c>
      <c r="P42" s="394">
        <v>2021</v>
      </c>
      <c r="Q42" s="615">
        <v>2022</v>
      </c>
      <c r="R42"/>
      <c r="S42"/>
      <c r="T42"/>
      <c r="U42" s="1487">
        <f t="array" ref="U42:Y42">PRCP</f>
        <v>2008</v>
      </c>
      <c r="V42" s="1488">
        <v>2009</v>
      </c>
      <c r="W42" s="1488">
        <v>2010</v>
      </c>
      <c r="X42" s="1488">
        <v>2011</v>
      </c>
      <c r="Y42" s="1488">
        <v>2012</v>
      </c>
      <c r="Z42" s="395">
        <f>CRCP_y1</f>
        <v>2013</v>
      </c>
      <c r="AA42" s="395">
        <f>CRCP_y2</f>
        <v>2014</v>
      </c>
      <c r="AB42" s="2117">
        <f>CRCP_y3</f>
        <v>2015</v>
      </c>
      <c r="AC42"/>
    </row>
    <row r="43" spans="1:29">
      <c r="A43" s="308"/>
      <c r="B43" s="1825" t="s">
        <v>173</v>
      </c>
      <c r="C43" s="462"/>
      <c r="D43" s="463"/>
      <c r="E43" s="463"/>
      <c r="F43" s="463"/>
      <c r="G43" s="1419"/>
      <c r="H43" s="758"/>
      <c r="I43" s="741"/>
      <c r="J43" s="741"/>
      <c r="K43" s="741"/>
      <c r="L43" s="759"/>
      <c r="M43" s="758"/>
      <c r="N43" s="741"/>
      <c r="O43" s="741"/>
      <c r="P43" s="741"/>
      <c r="Q43" s="759"/>
      <c r="U43" s="1926"/>
      <c r="V43" s="508"/>
      <c r="W43" s="508"/>
      <c r="X43" s="508"/>
      <c r="Y43" s="1939"/>
      <c r="Z43" s="2187"/>
      <c r="AA43" s="2188"/>
      <c r="AB43" s="2189"/>
    </row>
    <row r="44" spans="1:29">
      <c r="A44" s="308"/>
      <c r="B44" s="1826" t="s">
        <v>174</v>
      </c>
      <c r="C44" s="533">
        <f>C45-C43</f>
        <v>0</v>
      </c>
      <c r="D44" s="534">
        <f t="shared" ref="D44:Q44" si="3">D45-D43</f>
        <v>0</v>
      </c>
      <c r="E44" s="534">
        <f t="shared" si="3"/>
        <v>0</v>
      </c>
      <c r="F44" s="534">
        <f t="shared" si="3"/>
        <v>0</v>
      </c>
      <c r="G44" s="1464">
        <f t="shared" si="3"/>
        <v>0</v>
      </c>
      <c r="H44" s="533">
        <f t="shared" ref="H44" si="4">H45-H43</f>
        <v>0</v>
      </c>
      <c r="I44" s="534">
        <f t="shared" si="3"/>
        <v>0</v>
      </c>
      <c r="J44" s="534">
        <f t="shared" si="3"/>
        <v>0</v>
      </c>
      <c r="K44" s="534">
        <f t="shared" si="3"/>
        <v>0</v>
      </c>
      <c r="L44" s="479">
        <f t="shared" si="3"/>
        <v>0</v>
      </c>
      <c r="M44" s="534">
        <f>M45-M43</f>
        <v>0</v>
      </c>
      <c r="N44" s="534">
        <f t="shared" si="3"/>
        <v>0</v>
      </c>
      <c r="O44" s="534">
        <f t="shared" si="3"/>
        <v>0</v>
      </c>
      <c r="P44" s="534">
        <f t="shared" si="3"/>
        <v>0</v>
      </c>
      <c r="Q44" s="479">
        <f t="shared" si="3"/>
        <v>0</v>
      </c>
      <c r="U44" s="533">
        <f>U45-U43</f>
        <v>0</v>
      </c>
      <c r="V44" s="534">
        <f t="shared" ref="V44:AB44" si="5">V45-V43</f>
        <v>0</v>
      </c>
      <c r="W44" s="534">
        <f t="shared" si="5"/>
        <v>0</v>
      </c>
      <c r="X44" s="534">
        <f t="shared" si="5"/>
        <v>0</v>
      </c>
      <c r="Y44" s="1464">
        <f t="shared" si="5"/>
        <v>0</v>
      </c>
      <c r="Z44" s="533">
        <f t="shared" si="5"/>
        <v>0</v>
      </c>
      <c r="AA44" s="534">
        <f t="shared" si="5"/>
        <v>0</v>
      </c>
      <c r="AB44" s="479">
        <f t="shared" si="5"/>
        <v>0</v>
      </c>
    </row>
    <row r="45" spans="1:29" ht="13.5" thickBot="1">
      <c r="A45" s="308"/>
      <c r="B45" s="766" t="s">
        <v>175</v>
      </c>
      <c r="C45" s="1401">
        <f t="shared" ref="C45:H45" si="6">C34</f>
        <v>0</v>
      </c>
      <c r="D45" s="1402">
        <f t="shared" si="6"/>
        <v>0</v>
      </c>
      <c r="E45" s="1402">
        <f t="shared" si="6"/>
        <v>0</v>
      </c>
      <c r="F45" s="1402">
        <f t="shared" si="6"/>
        <v>0</v>
      </c>
      <c r="G45" s="1406">
        <f t="shared" si="6"/>
        <v>0</v>
      </c>
      <c r="H45" s="1401">
        <f t="shared" si="6"/>
        <v>0</v>
      </c>
      <c r="I45" s="1402">
        <f t="shared" ref="I45:Q45" si="7">H34</f>
        <v>0</v>
      </c>
      <c r="J45" s="1402">
        <f t="shared" si="7"/>
        <v>0</v>
      </c>
      <c r="K45" s="1402">
        <f t="shared" si="7"/>
        <v>0</v>
      </c>
      <c r="L45" s="1403">
        <f t="shared" si="7"/>
        <v>0</v>
      </c>
      <c r="M45" s="1402">
        <f t="shared" si="7"/>
        <v>0</v>
      </c>
      <c r="N45" s="1402">
        <f t="shared" si="7"/>
        <v>0</v>
      </c>
      <c r="O45" s="1402">
        <f t="shared" si="7"/>
        <v>0</v>
      </c>
      <c r="P45" s="1402">
        <f t="shared" si="7"/>
        <v>0</v>
      </c>
      <c r="Q45" s="1403">
        <f t="shared" si="7"/>
        <v>0</v>
      </c>
      <c r="U45" s="1805">
        <f t="shared" ref="U45:Z45" si="8">U34</f>
        <v>0</v>
      </c>
      <c r="V45" s="1402">
        <f t="shared" si="8"/>
        <v>0</v>
      </c>
      <c r="W45" s="1402">
        <f t="shared" si="8"/>
        <v>0</v>
      </c>
      <c r="X45" s="1402">
        <f t="shared" si="8"/>
        <v>0</v>
      </c>
      <c r="Y45" s="1406">
        <f t="shared" si="8"/>
        <v>0</v>
      </c>
      <c r="Z45" s="1805">
        <f t="shared" si="8"/>
        <v>0</v>
      </c>
      <c r="AA45" s="1402">
        <f>Z34</f>
        <v>0</v>
      </c>
      <c r="AB45" s="1403">
        <f>AA34</f>
        <v>0</v>
      </c>
    </row>
    <row r="46" spans="1:29" s="70" customFormat="1" ht="28.5" customHeight="1" thickBot="1">
      <c r="A46" s="360"/>
      <c r="B46" s="1722" t="s">
        <v>125</v>
      </c>
      <c r="C46" s="748"/>
      <c r="D46" s="310"/>
      <c r="E46" s="310"/>
      <c r="F46" s="310"/>
      <c r="G46" s="310"/>
      <c r="H46" s="310"/>
      <c r="I46" s="310"/>
      <c r="J46" s="310"/>
      <c r="K46" s="310"/>
      <c r="L46" s="310"/>
      <c r="M46" s="310"/>
      <c r="N46" s="310"/>
      <c r="O46" s="310"/>
      <c r="P46" s="310"/>
      <c r="Q46" s="458"/>
      <c r="R46"/>
      <c r="S46"/>
      <c r="T46"/>
      <c r="U46" s="2135"/>
      <c r="V46" s="2116"/>
      <c r="W46" s="2116"/>
      <c r="X46" s="2116"/>
      <c r="Y46" s="2116"/>
      <c r="Z46" s="2116"/>
      <c r="AA46" s="2116"/>
      <c r="AB46" s="2119"/>
      <c r="AC46"/>
    </row>
    <row r="47" spans="1:29" s="79" customFormat="1" ht="45.75" customHeight="1" thickBot="1">
      <c r="A47" s="308"/>
      <c r="C47" s="81"/>
      <c r="D47" s="81"/>
      <c r="E47" s="81"/>
      <c r="F47" s="81"/>
      <c r="G47" s="81"/>
      <c r="H47" s="81"/>
      <c r="I47" s="81"/>
      <c r="J47" s="81"/>
      <c r="K47" s="81"/>
      <c r="L47" s="81"/>
      <c r="M47" s="81"/>
      <c r="R47"/>
      <c r="S47"/>
      <c r="T47"/>
      <c r="U47" s="231"/>
      <c r="V47" s="231"/>
      <c r="W47" s="231"/>
      <c r="X47" s="231"/>
      <c r="Y47" s="231"/>
      <c r="Z47" s="231"/>
      <c r="AA47" s="231"/>
      <c r="AB47" s="231"/>
      <c r="AC47"/>
    </row>
    <row r="48" spans="1:29" s="229" customFormat="1" ht="24.75" customHeight="1" thickBot="1">
      <c r="A48" s="308"/>
      <c r="B48" s="1576" t="s">
        <v>1460</v>
      </c>
      <c r="C48" s="1577"/>
      <c r="D48" s="1577"/>
      <c r="E48" s="1577"/>
      <c r="F48" s="1577"/>
      <c r="G48" s="1577"/>
      <c r="H48" s="1577"/>
      <c r="I48" s="1577"/>
      <c r="J48" s="1577"/>
      <c r="K48" s="1577"/>
      <c r="L48" s="1577"/>
      <c r="M48" s="1577"/>
      <c r="N48" s="1577"/>
      <c r="O48" s="1577"/>
      <c r="P48" s="1577"/>
      <c r="Q48" s="1578"/>
      <c r="R48" s="1427"/>
      <c r="S48" s="1427"/>
      <c r="T48" s="1427"/>
      <c r="U48" s="1576"/>
      <c r="V48" s="1577"/>
      <c r="W48" s="1577"/>
      <c r="X48" s="1577"/>
      <c r="Y48" s="1577"/>
      <c r="Z48" s="1577"/>
      <c r="AA48" s="1577"/>
      <c r="AB48" s="1578"/>
      <c r="AC48" s="1427"/>
    </row>
    <row r="49" spans="1:35" ht="15.75" customHeight="1">
      <c r="A49" s="308"/>
      <c r="B49" s="768"/>
      <c r="C49" s="3620" t="s">
        <v>36</v>
      </c>
      <c r="D49" s="3549"/>
      <c r="E49" s="3549"/>
      <c r="F49" s="3549"/>
      <c r="G49" s="3549"/>
      <c r="H49" s="3602" t="s">
        <v>37</v>
      </c>
      <c r="I49" s="3603"/>
      <c r="J49" s="3603"/>
      <c r="K49" s="3603"/>
      <c r="L49" s="3603"/>
      <c r="M49" s="3543" t="s">
        <v>73</v>
      </c>
      <c r="N49" s="3543"/>
      <c r="O49" s="3543"/>
      <c r="P49" s="3543"/>
      <c r="Q49" s="3678"/>
      <c r="U49" s="3601" t="s">
        <v>36</v>
      </c>
      <c r="V49" s="3549"/>
      <c r="W49" s="3549"/>
      <c r="X49" s="3549"/>
      <c r="Y49" s="3549"/>
      <c r="Z49" s="3602" t="s">
        <v>37</v>
      </c>
      <c r="AA49" s="3603"/>
      <c r="AB49" s="3604"/>
    </row>
    <row r="50" spans="1:35" ht="15" customHeight="1">
      <c r="A50" s="308"/>
      <c r="B50" s="585"/>
      <c r="C50" s="3550" t="s">
        <v>116</v>
      </c>
      <c r="D50" s="3551" t="s">
        <v>116</v>
      </c>
      <c r="E50" s="3551" t="s">
        <v>116</v>
      </c>
      <c r="F50" s="3551" t="s">
        <v>116</v>
      </c>
      <c r="G50" s="3551" t="s">
        <v>116</v>
      </c>
      <c r="H50" s="3551" t="s">
        <v>116</v>
      </c>
      <c r="I50" s="3551" t="s">
        <v>116</v>
      </c>
      <c r="J50" s="3551" t="s">
        <v>116</v>
      </c>
      <c r="K50" s="3551" t="s">
        <v>116</v>
      </c>
      <c r="L50" s="3551" t="s">
        <v>116</v>
      </c>
      <c r="M50" s="3551" t="s">
        <v>116</v>
      </c>
      <c r="N50" s="3551" t="s">
        <v>116</v>
      </c>
      <c r="O50" s="3551" t="s">
        <v>116</v>
      </c>
      <c r="P50" s="3551" t="s">
        <v>116</v>
      </c>
      <c r="Q50" s="3552" t="s">
        <v>116</v>
      </c>
      <c r="U50" s="3550" t="s">
        <v>116</v>
      </c>
      <c r="V50" s="3551"/>
      <c r="W50" s="3551"/>
      <c r="X50" s="3551"/>
      <c r="Y50" s="3551"/>
      <c r="Z50" s="3551"/>
      <c r="AA50" s="3551"/>
      <c r="AB50" s="3552"/>
      <c r="AD50"/>
      <c r="AE50"/>
      <c r="AF50"/>
      <c r="AG50"/>
      <c r="AH50"/>
      <c r="AI50"/>
    </row>
    <row r="51" spans="1:35" s="529" customFormat="1" ht="15">
      <c r="A51" s="308"/>
      <c r="B51" s="585"/>
      <c r="C51" s="3550" t="s">
        <v>54</v>
      </c>
      <c r="D51" s="3551"/>
      <c r="E51" s="3551"/>
      <c r="F51" s="3551"/>
      <c r="G51" s="3551"/>
      <c r="H51" s="3551"/>
      <c r="I51" s="3551"/>
      <c r="J51" s="3595"/>
      <c r="K51" s="3589" t="s">
        <v>55</v>
      </c>
      <c r="L51" s="3590"/>
      <c r="M51" s="3590"/>
      <c r="N51" s="3590"/>
      <c r="O51" s="3590"/>
      <c r="P51" s="3590"/>
      <c r="Q51" s="3591"/>
      <c r="R51" s="1427"/>
      <c r="S51" s="1427"/>
      <c r="T51" s="1427"/>
      <c r="U51" s="3550" t="s">
        <v>54</v>
      </c>
      <c r="V51" s="3551"/>
      <c r="W51" s="3551"/>
      <c r="X51" s="3551"/>
      <c r="Y51" s="3551"/>
      <c r="Z51" s="3551"/>
      <c r="AA51" s="3551"/>
      <c r="AB51" s="3552"/>
      <c r="AC51" s="1427"/>
    </row>
    <row r="52" spans="1:35" ht="12.75" customHeight="1" thickBot="1">
      <c r="A52" s="308"/>
      <c r="B52" s="767"/>
      <c r="C52" s="391">
        <f t="array" ref="C52:G52">PRCP</f>
        <v>2008</v>
      </c>
      <c r="D52" s="390">
        <v>2009</v>
      </c>
      <c r="E52" s="390">
        <v>2010</v>
      </c>
      <c r="F52" s="390">
        <v>2011</v>
      </c>
      <c r="G52" s="390">
        <v>2012</v>
      </c>
      <c r="H52" s="392">
        <f>CRCP_y1</f>
        <v>2013</v>
      </c>
      <c r="I52" s="392">
        <f>CRCP_y2</f>
        <v>2014</v>
      </c>
      <c r="J52" s="392">
        <f>CRCP_y3</f>
        <v>2015</v>
      </c>
      <c r="K52" s="392">
        <f>CRCP_y4</f>
        <v>2016</v>
      </c>
      <c r="L52" s="392">
        <f>CRCP_y5</f>
        <v>2017</v>
      </c>
      <c r="M52" s="390" t="str">
        <f t="array" ref="M52:Q52">FRCP</f>
        <v>2018</v>
      </c>
      <c r="N52" s="390">
        <v>2019</v>
      </c>
      <c r="O52" s="390">
        <v>2020</v>
      </c>
      <c r="P52" s="390">
        <v>2021</v>
      </c>
      <c r="Q52" s="498">
        <v>2022</v>
      </c>
      <c r="U52" s="1789">
        <f t="array" ref="U52:Y52">PRCP</f>
        <v>2008</v>
      </c>
      <c r="V52" s="390">
        <v>2009</v>
      </c>
      <c r="W52" s="390">
        <v>2010</v>
      </c>
      <c r="X52" s="390">
        <v>2011</v>
      </c>
      <c r="Y52" s="390">
        <v>2012</v>
      </c>
      <c r="Z52" s="392">
        <f>CRCP_y1</f>
        <v>2013</v>
      </c>
      <c r="AA52" s="392">
        <f>CRCP_y2</f>
        <v>2014</v>
      </c>
      <c r="AB52" s="603">
        <f>CRCP_y3</f>
        <v>2015</v>
      </c>
    </row>
    <row r="53" spans="1:35" ht="27" customHeight="1" thickBot="1">
      <c r="A53" s="308"/>
      <c r="B53" s="1564" t="s">
        <v>163</v>
      </c>
      <c r="C53" s="771"/>
      <c r="D53" s="772"/>
      <c r="E53" s="772"/>
      <c r="F53" s="772"/>
      <c r="G53" s="773"/>
      <c r="H53" s="774"/>
      <c r="I53" s="775"/>
      <c r="J53" s="775"/>
      <c r="K53" s="775"/>
      <c r="L53" s="775"/>
      <c r="M53" s="774"/>
      <c r="N53" s="775"/>
      <c r="O53" s="775"/>
      <c r="P53" s="775"/>
      <c r="Q53" s="776"/>
      <c r="U53" s="2324"/>
      <c r="V53" s="2325"/>
      <c r="W53" s="2325"/>
      <c r="X53" s="2325"/>
      <c r="Y53" s="2326"/>
      <c r="Z53" s="2327"/>
      <c r="AA53" s="2328"/>
      <c r="AB53" s="2329"/>
    </row>
    <row r="54" spans="1:35" ht="15.75" customHeight="1" thickBot="1">
      <c r="A54" s="308"/>
      <c r="B54" s="2330" t="s">
        <v>258</v>
      </c>
      <c r="C54" s="3854" t="s">
        <v>579</v>
      </c>
      <c r="D54" s="3855"/>
      <c r="E54" s="3855"/>
      <c r="F54" s="3855"/>
      <c r="G54" s="3855"/>
      <c r="H54" s="3855"/>
      <c r="I54" s="3855"/>
      <c r="J54" s="3856"/>
      <c r="K54" s="3853" t="str">
        <f>CONCATENATE("$0's, real ",dms_DollarReal)</f>
        <v>$0's, real December 2017</v>
      </c>
      <c r="L54" s="3848"/>
      <c r="M54" s="3848"/>
      <c r="N54" s="3848"/>
      <c r="O54" s="3848"/>
      <c r="P54" s="3848"/>
      <c r="Q54" s="3849"/>
      <c r="U54" s="3847" t="str">
        <f>CONCATENATE("$0's, real ",dms_DollarReal)</f>
        <v>$0's, real December 2017</v>
      </c>
      <c r="V54" s="3848"/>
      <c r="W54" s="3848"/>
      <c r="X54" s="3848"/>
      <c r="Y54" s="3848"/>
      <c r="Z54" s="3848"/>
      <c r="AA54" s="3848"/>
      <c r="AB54" s="3849"/>
    </row>
    <row r="55" spans="1:35">
      <c r="A55" s="308"/>
      <c r="B55" s="850" t="s">
        <v>419</v>
      </c>
      <c r="C55" s="462"/>
      <c r="D55" s="463"/>
      <c r="E55" s="463"/>
      <c r="F55" s="463"/>
      <c r="G55" s="562"/>
      <c r="H55" s="462"/>
      <c r="I55" s="463"/>
      <c r="J55" s="463"/>
      <c r="K55" s="463"/>
      <c r="L55" s="463"/>
      <c r="M55" s="462"/>
      <c r="N55" s="463"/>
      <c r="O55" s="463"/>
      <c r="P55" s="463"/>
      <c r="Q55" s="562"/>
      <c r="U55" s="1926"/>
      <c r="V55" s="508"/>
      <c r="W55" s="508"/>
      <c r="X55" s="508"/>
      <c r="Y55" s="587"/>
      <c r="Z55" s="1926"/>
      <c r="AA55" s="508"/>
      <c r="AB55" s="587"/>
    </row>
    <row r="56" spans="1:35">
      <c r="A56" s="308"/>
      <c r="B56" s="769" t="s">
        <v>380</v>
      </c>
      <c r="C56" s="514"/>
      <c r="D56" s="513"/>
      <c r="E56" s="513"/>
      <c r="F56" s="513"/>
      <c r="G56" s="515"/>
      <c r="H56" s="514"/>
      <c r="I56" s="513"/>
      <c r="J56" s="513"/>
      <c r="K56" s="513"/>
      <c r="L56" s="513"/>
      <c r="M56" s="514"/>
      <c r="N56" s="513"/>
      <c r="O56" s="513"/>
      <c r="P56" s="513"/>
      <c r="Q56" s="515"/>
      <c r="U56" s="517"/>
      <c r="V56" s="518"/>
      <c r="W56" s="518"/>
      <c r="X56" s="518"/>
      <c r="Y56" s="519"/>
      <c r="Z56" s="517"/>
      <c r="AA56" s="518"/>
      <c r="AB56" s="519"/>
    </row>
    <row r="57" spans="1:35">
      <c r="A57" s="308"/>
      <c r="B57" s="769" t="s">
        <v>164</v>
      </c>
      <c r="C57" s="514"/>
      <c r="D57" s="513"/>
      <c r="E57" s="513"/>
      <c r="F57" s="513"/>
      <c r="G57" s="515"/>
      <c r="H57" s="514"/>
      <c r="I57" s="513"/>
      <c r="J57" s="513"/>
      <c r="K57" s="513"/>
      <c r="L57" s="513"/>
      <c r="M57" s="514"/>
      <c r="N57" s="513"/>
      <c r="O57" s="513"/>
      <c r="P57" s="513"/>
      <c r="Q57" s="515"/>
      <c r="U57" s="517"/>
      <c r="V57" s="518"/>
      <c r="W57" s="518"/>
      <c r="X57" s="518"/>
      <c r="Y57" s="519"/>
      <c r="Z57" s="517"/>
      <c r="AA57" s="518"/>
      <c r="AB57" s="519"/>
    </row>
    <row r="58" spans="1:35">
      <c r="A58" s="308"/>
      <c r="B58" s="769" t="s">
        <v>165</v>
      </c>
      <c r="C58" s="514"/>
      <c r="D58" s="513"/>
      <c r="E58" s="513"/>
      <c r="F58" s="513"/>
      <c r="G58" s="515"/>
      <c r="H58" s="514"/>
      <c r="I58" s="513"/>
      <c r="J58" s="513"/>
      <c r="K58" s="513"/>
      <c r="L58" s="513"/>
      <c r="M58" s="514"/>
      <c r="N58" s="513"/>
      <c r="O58" s="513"/>
      <c r="P58" s="513"/>
      <c r="Q58" s="515"/>
      <c r="U58" s="517"/>
      <c r="V58" s="518"/>
      <c r="W58" s="518"/>
      <c r="X58" s="518"/>
      <c r="Y58" s="519"/>
      <c r="Z58" s="517"/>
      <c r="AA58" s="518"/>
      <c r="AB58" s="519"/>
    </row>
    <row r="59" spans="1:35">
      <c r="A59" s="308"/>
      <c r="B59" s="769" t="s">
        <v>158</v>
      </c>
      <c r="C59" s="514"/>
      <c r="D59" s="513"/>
      <c r="E59" s="513"/>
      <c r="F59" s="513"/>
      <c r="G59" s="515"/>
      <c r="H59" s="514"/>
      <c r="I59" s="513"/>
      <c r="J59" s="513"/>
      <c r="K59" s="513"/>
      <c r="L59" s="513"/>
      <c r="M59" s="514"/>
      <c r="N59" s="513"/>
      <c r="O59" s="513"/>
      <c r="P59" s="513"/>
      <c r="Q59" s="515"/>
      <c r="U59" s="517"/>
      <c r="V59" s="518"/>
      <c r="W59" s="518"/>
      <c r="X59" s="518"/>
      <c r="Y59" s="519"/>
      <c r="Z59" s="517"/>
      <c r="AA59" s="518"/>
      <c r="AB59" s="519"/>
    </row>
    <row r="60" spans="1:35">
      <c r="A60" s="308"/>
      <c r="B60" s="769" t="s">
        <v>166</v>
      </c>
      <c r="C60" s="514"/>
      <c r="D60" s="513"/>
      <c r="E60" s="513"/>
      <c r="F60" s="513"/>
      <c r="G60" s="515"/>
      <c r="H60" s="514"/>
      <c r="I60" s="513"/>
      <c r="J60" s="513"/>
      <c r="K60" s="513"/>
      <c r="L60" s="513"/>
      <c r="M60" s="514"/>
      <c r="N60" s="513"/>
      <c r="O60" s="513"/>
      <c r="P60" s="513"/>
      <c r="Q60" s="515"/>
      <c r="U60" s="517"/>
      <c r="V60" s="518"/>
      <c r="W60" s="518"/>
      <c r="X60" s="518"/>
      <c r="Y60" s="519"/>
      <c r="Z60" s="517"/>
      <c r="AA60" s="518"/>
      <c r="AB60" s="519"/>
    </row>
    <row r="61" spans="1:35">
      <c r="A61" s="308"/>
      <c r="B61" s="769" t="s">
        <v>62</v>
      </c>
      <c r="C61" s="514"/>
      <c r="D61" s="513"/>
      <c r="E61" s="513"/>
      <c r="F61" s="513"/>
      <c r="G61" s="515"/>
      <c r="H61" s="514"/>
      <c r="I61" s="513"/>
      <c r="J61" s="513"/>
      <c r="K61" s="513"/>
      <c r="L61" s="513"/>
      <c r="M61" s="514"/>
      <c r="N61" s="513"/>
      <c r="O61" s="513"/>
      <c r="P61" s="513"/>
      <c r="Q61" s="515"/>
      <c r="U61" s="517"/>
      <c r="V61" s="518"/>
      <c r="W61" s="518"/>
      <c r="X61" s="518"/>
      <c r="Y61" s="519"/>
      <c r="Z61" s="517"/>
      <c r="AA61" s="518"/>
      <c r="AB61" s="519"/>
    </row>
    <row r="62" spans="1:35">
      <c r="A62" s="308"/>
      <c r="B62" s="1837" t="s">
        <v>662</v>
      </c>
      <c r="C62" s="1838"/>
      <c r="D62" s="1839"/>
      <c r="E62" s="1839"/>
      <c r="F62" s="1839"/>
      <c r="G62" s="1840"/>
      <c r="H62" s="1838"/>
      <c r="I62" s="1839"/>
      <c r="J62" s="1839"/>
      <c r="K62" s="1839"/>
      <c r="L62" s="1839"/>
      <c r="M62" s="1838"/>
      <c r="N62" s="1839"/>
      <c r="O62" s="1839"/>
      <c r="P62" s="1839"/>
      <c r="Q62" s="1840"/>
      <c r="U62" s="1812"/>
      <c r="V62" s="1810"/>
      <c r="W62" s="1810"/>
      <c r="X62" s="1810"/>
      <c r="Y62" s="1811"/>
      <c r="Z62" s="1812"/>
      <c r="AA62" s="1810"/>
      <c r="AB62" s="1811"/>
    </row>
    <row r="63" spans="1:35" ht="13.5" thickBot="1">
      <c r="A63" s="308"/>
      <c r="B63" s="1833" t="s">
        <v>175</v>
      </c>
      <c r="C63" s="1834"/>
      <c r="D63" s="1835"/>
      <c r="E63" s="1835"/>
      <c r="F63" s="1835"/>
      <c r="G63" s="1836"/>
      <c r="H63" s="1834"/>
      <c r="I63" s="1835"/>
      <c r="J63" s="1835"/>
      <c r="K63" s="1835"/>
      <c r="L63" s="1835"/>
      <c r="M63" s="1834"/>
      <c r="N63" s="1835"/>
      <c r="O63" s="1835"/>
      <c r="P63" s="1835"/>
      <c r="Q63" s="1836"/>
      <c r="U63" s="2184"/>
      <c r="V63" s="2185"/>
      <c r="W63" s="2185"/>
      <c r="X63" s="2185"/>
      <c r="Y63" s="2186"/>
      <c r="Z63" s="2184"/>
      <c r="AA63" s="2185"/>
      <c r="AB63" s="2186"/>
    </row>
    <row r="64" spans="1:35" s="70" customFormat="1" ht="28.5" customHeight="1" thickBot="1">
      <c r="A64" s="360"/>
      <c r="B64" s="1722" t="s">
        <v>125</v>
      </c>
      <c r="C64" s="748"/>
      <c r="D64" s="310"/>
      <c r="E64" s="310"/>
      <c r="F64" s="310"/>
      <c r="G64" s="310"/>
      <c r="H64" s="310"/>
      <c r="I64" s="310"/>
      <c r="J64" s="310"/>
      <c r="K64" s="310"/>
      <c r="L64" s="310"/>
      <c r="M64" s="310"/>
      <c r="N64" s="310"/>
      <c r="O64" s="310"/>
      <c r="P64" s="310"/>
      <c r="Q64" s="458"/>
      <c r="R64"/>
      <c r="S64"/>
      <c r="T64"/>
      <c r="U64" s="2135"/>
      <c r="V64" s="2116"/>
      <c r="W64" s="2116"/>
      <c r="X64" s="2116"/>
      <c r="Y64" s="2116"/>
      <c r="Z64" s="2116"/>
      <c r="AA64" s="2116"/>
      <c r="AB64" s="2119"/>
      <c r="AC64"/>
    </row>
    <row r="65" spans="1:29" s="138" customFormat="1" ht="51.75" customHeight="1" thickBot="1">
      <c r="A65" s="360"/>
      <c r="B65" s="724"/>
      <c r="C65" s="724"/>
      <c r="D65" s="724"/>
      <c r="E65" s="724"/>
      <c r="F65" s="724"/>
      <c r="G65" s="724"/>
      <c r="H65" s="724"/>
      <c r="I65" s="724"/>
      <c r="J65" s="724"/>
      <c r="K65" s="724"/>
      <c r="L65" s="724"/>
      <c r="M65" s="724"/>
      <c r="N65" s="724"/>
      <c r="O65" s="724"/>
      <c r="P65" s="724"/>
      <c r="Q65" s="724"/>
      <c r="R65"/>
      <c r="S65"/>
      <c r="T65"/>
      <c r="U65" s="724"/>
      <c r="V65" s="724"/>
      <c r="W65" s="724"/>
      <c r="X65" s="724"/>
      <c r="Y65" s="724"/>
      <c r="Z65" s="724"/>
      <c r="AA65" s="724"/>
      <c r="AB65" s="724"/>
      <c r="AC65"/>
    </row>
    <row r="66" spans="1:29" s="229" customFormat="1" ht="24.75" customHeight="1" thickBot="1">
      <c r="A66" s="308"/>
      <c r="B66" s="1576" t="s">
        <v>1461</v>
      </c>
      <c r="C66" s="1577"/>
      <c r="D66" s="1577"/>
      <c r="E66" s="1577"/>
      <c r="F66" s="1577"/>
      <c r="G66" s="1577"/>
      <c r="H66" s="1577"/>
      <c r="I66" s="1577"/>
      <c r="J66" s="1577"/>
      <c r="K66" s="1577"/>
      <c r="L66" s="1578"/>
      <c r="M66" s="1427"/>
      <c r="N66" s="1427"/>
      <c r="O66" s="1427"/>
      <c r="P66" s="1427"/>
      <c r="Q66" s="1427"/>
      <c r="R66" s="1427"/>
      <c r="S66" s="1427"/>
      <c r="T66" s="1427"/>
      <c r="U66"/>
      <c r="V66"/>
      <c r="W66"/>
      <c r="X66"/>
      <c r="Y66"/>
      <c r="Z66"/>
      <c r="AA66"/>
      <c r="AB66"/>
    </row>
    <row r="67" spans="1:29" ht="15.75" customHeight="1">
      <c r="A67" s="308"/>
      <c r="B67" s="290"/>
      <c r="C67" s="3620" t="s">
        <v>36</v>
      </c>
      <c r="D67" s="3549"/>
      <c r="E67" s="3549"/>
      <c r="F67" s="3549"/>
      <c r="G67" s="3549"/>
      <c r="H67" s="3602" t="s">
        <v>37</v>
      </c>
      <c r="I67" s="3603"/>
      <c r="J67" s="3603"/>
      <c r="K67" s="3603"/>
      <c r="L67" s="3604"/>
      <c r="M67" s="308"/>
      <c r="N67" s="308"/>
      <c r="O67" s="308"/>
      <c r="P67" s="308"/>
      <c r="Q67" s="308"/>
      <c r="U67"/>
      <c r="V67"/>
      <c r="W67"/>
      <c r="X67"/>
      <c r="Y67"/>
      <c r="Z67"/>
      <c r="AA67"/>
      <c r="AB67"/>
    </row>
    <row r="68" spans="1:29" ht="12.75" customHeight="1">
      <c r="A68" s="308"/>
      <c r="B68" s="1434"/>
      <c r="C68" s="3592" t="s">
        <v>116</v>
      </c>
      <c r="D68" s="3593"/>
      <c r="E68" s="3593"/>
      <c r="F68" s="3593"/>
      <c r="G68" s="3593"/>
      <c r="H68" s="3593"/>
      <c r="I68" s="3593"/>
      <c r="J68" s="3593"/>
      <c r="K68" s="3593"/>
      <c r="L68" s="3606"/>
      <c r="M68" s="308"/>
      <c r="N68" s="308"/>
      <c r="O68" s="308"/>
      <c r="P68" s="308"/>
      <c r="Q68" s="308"/>
      <c r="U68"/>
      <c r="V68"/>
      <c r="W68"/>
      <c r="X68"/>
      <c r="Y68"/>
      <c r="Z68"/>
      <c r="AA68"/>
      <c r="AB68"/>
    </row>
    <row r="69" spans="1:29" ht="15" customHeight="1">
      <c r="A69" s="308"/>
      <c r="B69" s="1434"/>
      <c r="C69" s="3592" t="s">
        <v>74</v>
      </c>
      <c r="D69" s="3593"/>
      <c r="E69" s="3593"/>
      <c r="F69" s="3593"/>
      <c r="G69" s="3593"/>
      <c r="H69" s="3593"/>
      <c r="I69" s="3593"/>
      <c r="J69" s="3593"/>
      <c r="K69" s="3593"/>
      <c r="L69" s="3606"/>
      <c r="M69" s="308"/>
      <c r="N69" s="308"/>
      <c r="O69" s="308"/>
      <c r="P69" s="308"/>
      <c r="Q69" s="308"/>
      <c r="U69"/>
      <c r="V69"/>
      <c r="W69"/>
      <c r="X69"/>
      <c r="Y69"/>
      <c r="Z69"/>
      <c r="AA69"/>
      <c r="AB69"/>
    </row>
    <row r="70" spans="1:29" ht="12.75" customHeight="1" thickBot="1">
      <c r="A70" s="308"/>
      <c r="B70" s="1563"/>
      <c r="C70" s="391">
        <f t="array" ref="C70:G70">PRCP</f>
        <v>2008</v>
      </c>
      <c r="D70" s="390">
        <v>2009</v>
      </c>
      <c r="E70" s="390">
        <v>2010</v>
      </c>
      <c r="F70" s="390">
        <v>2011</v>
      </c>
      <c r="G70" s="390">
        <v>2012</v>
      </c>
      <c r="H70" s="392">
        <f>CRCP_y1</f>
        <v>2013</v>
      </c>
      <c r="I70" s="392">
        <f>CRCP_y2</f>
        <v>2014</v>
      </c>
      <c r="J70" s="392">
        <f>CRCP_y3</f>
        <v>2015</v>
      </c>
      <c r="K70" s="392">
        <f>CRCP_y4</f>
        <v>2016</v>
      </c>
      <c r="L70" s="603">
        <f>CRCP_y5</f>
        <v>2017</v>
      </c>
      <c r="M70" s="308"/>
      <c r="N70" s="308"/>
      <c r="O70" s="308"/>
      <c r="P70" s="308"/>
      <c r="Q70" s="308"/>
      <c r="U70"/>
      <c r="V70"/>
      <c r="W70"/>
      <c r="X70"/>
      <c r="Y70"/>
      <c r="Z70"/>
      <c r="AA70"/>
      <c r="AB70"/>
    </row>
    <row r="71" spans="1:29" s="1421" customFormat="1" ht="21.75" customHeight="1" thickBot="1">
      <c r="A71" s="1420"/>
      <c r="B71" s="770" t="s">
        <v>163</v>
      </c>
      <c r="C71" s="1827"/>
      <c r="D71" s="1828"/>
      <c r="E71" s="1828"/>
      <c r="F71" s="1828"/>
      <c r="G71" s="1829"/>
      <c r="H71" s="1830"/>
      <c r="I71" s="1831"/>
      <c r="J71" s="1831"/>
      <c r="K71" s="1831"/>
      <c r="L71" s="1832"/>
      <c r="M71" s="1420"/>
      <c r="N71" s="1420"/>
      <c r="O71" s="1420"/>
      <c r="P71" s="1420"/>
      <c r="Q71" s="1420"/>
      <c r="R71"/>
      <c r="S71"/>
      <c r="T71"/>
      <c r="U71"/>
      <c r="V71"/>
      <c r="W71"/>
      <c r="X71"/>
      <c r="Y71"/>
      <c r="Z71"/>
      <c r="AA71"/>
      <c r="AB71"/>
      <c r="AC71"/>
    </row>
    <row r="72" spans="1:29" ht="22.5" customHeight="1">
      <c r="A72" s="308"/>
      <c r="B72" s="3850" t="s">
        <v>258</v>
      </c>
      <c r="C72" s="3857" t="str">
        <f>CONCATENATE("$0's, real ",dms_DollarReal)</f>
        <v>$0's, real December 2017</v>
      </c>
      <c r="D72" s="3858"/>
      <c r="E72" s="3858"/>
      <c r="F72" s="3858"/>
      <c r="G72" s="3858"/>
      <c r="H72" s="3858"/>
      <c r="I72" s="3858"/>
      <c r="J72" s="3858"/>
      <c r="K72" s="3858"/>
      <c r="L72" s="3859"/>
      <c r="M72"/>
      <c r="N72"/>
      <c r="O72"/>
      <c r="P72"/>
      <c r="Q72"/>
      <c r="U72"/>
      <c r="V72"/>
      <c r="W72"/>
      <c r="X72"/>
      <c r="Y72"/>
      <c r="Z72"/>
      <c r="AA72"/>
      <c r="AB72"/>
    </row>
    <row r="73" spans="1:29" s="529" customFormat="1" ht="15" customHeight="1">
      <c r="A73" s="308"/>
      <c r="B73" s="3851"/>
      <c r="C73" s="3592" t="s">
        <v>74</v>
      </c>
      <c r="D73" s="3593"/>
      <c r="E73" s="3593"/>
      <c r="F73" s="3593"/>
      <c r="G73" s="3593"/>
      <c r="H73" s="3593"/>
      <c r="I73" s="3593"/>
      <c r="J73" s="3593"/>
      <c r="K73" s="3593"/>
      <c r="L73" s="3606"/>
      <c r="M73" s="308"/>
      <c r="N73" s="308"/>
      <c r="O73" s="308"/>
      <c r="P73" s="308"/>
      <c r="Q73" s="308"/>
      <c r="R73" s="1427"/>
      <c r="S73" s="1427"/>
      <c r="T73" s="1427"/>
      <c r="U73"/>
      <c r="V73"/>
      <c r="W73"/>
      <c r="X73"/>
      <c r="Y73"/>
      <c r="Z73"/>
      <c r="AA73"/>
      <c r="AB73"/>
      <c r="AC73" s="1427"/>
    </row>
    <row r="74" spans="1:29" s="529" customFormat="1" ht="12.75" customHeight="1" thickBot="1">
      <c r="A74" s="308"/>
      <c r="B74" s="3852"/>
      <c r="C74" s="391">
        <f t="array" ref="C74:G74">PRCP</f>
        <v>2008</v>
      </c>
      <c r="D74" s="390">
        <v>2009</v>
      </c>
      <c r="E74" s="390">
        <v>2010</v>
      </c>
      <c r="F74" s="390">
        <v>2011</v>
      </c>
      <c r="G74" s="390">
        <v>2012</v>
      </c>
      <c r="H74" s="392">
        <f>CRCP_y1</f>
        <v>2013</v>
      </c>
      <c r="I74" s="392">
        <f>CRCP_y2</f>
        <v>2014</v>
      </c>
      <c r="J74" s="392">
        <f>CRCP_y3</f>
        <v>2015</v>
      </c>
      <c r="K74" s="392">
        <f>CRCP_y4</f>
        <v>2016</v>
      </c>
      <c r="L74" s="603">
        <f>CRCP_y5</f>
        <v>2017</v>
      </c>
      <c r="M74" s="308"/>
      <c r="N74" s="308"/>
      <c r="O74" s="308"/>
      <c r="P74" s="308"/>
      <c r="Q74" s="308"/>
      <c r="R74" s="1427"/>
      <c r="S74" s="1427"/>
      <c r="T74" s="1427"/>
      <c r="U74"/>
      <c r="V74"/>
      <c r="W74"/>
      <c r="X74"/>
      <c r="Y74"/>
      <c r="Z74"/>
      <c r="AA74"/>
      <c r="AB74"/>
      <c r="AC74" s="1427"/>
    </row>
    <row r="75" spans="1:29">
      <c r="A75" s="308"/>
      <c r="B75" s="769" t="s">
        <v>419</v>
      </c>
      <c r="C75" s="466"/>
      <c r="D75" s="549"/>
      <c r="E75" s="549"/>
      <c r="F75" s="549"/>
      <c r="G75" s="1463"/>
      <c r="H75" s="462"/>
      <c r="I75" s="463"/>
      <c r="J75" s="463"/>
      <c r="K75" s="463"/>
      <c r="L75" s="562"/>
      <c r="M75" s="308"/>
      <c r="N75" s="308"/>
      <c r="O75" s="308"/>
      <c r="P75" s="308"/>
      <c r="Q75" s="308"/>
      <c r="U75"/>
      <c r="V75"/>
      <c r="W75"/>
      <c r="X75"/>
      <c r="Y75"/>
      <c r="Z75"/>
      <c r="AA75"/>
      <c r="AB75"/>
    </row>
    <row r="76" spans="1:29">
      <c r="A76" s="308"/>
      <c r="B76" s="769" t="s">
        <v>380</v>
      </c>
      <c r="C76" s="514"/>
      <c r="D76" s="513"/>
      <c r="E76" s="513"/>
      <c r="F76" s="513"/>
      <c r="G76" s="702"/>
      <c r="H76" s="514"/>
      <c r="I76" s="513"/>
      <c r="J76" s="513"/>
      <c r="K76" s="513"/>
      <c r="L76" s="515"/>
      <c r="M76" s="308"/>
      <c r="N76" s="308"/>
      <c r="O76" s="308"/>
      <c r="P76" s="308"/>
      <c r="Q76" s="308"/>
      <c r="U76"/>
      <c r="V76"/>
      <c r="W76"/>
      <c r="X76"/>
      <c r="Y76"/>
      <c r="Z76"/>
      <c r="AA76"/>
      <c r="AB76"/>
    </row>
    <row r="77" spans="1:29">
      <c r="A77" s="308"/>
      <c r="B77" s="769" t="s">
        <v>164</v>
      </c>
      <c r="C77" s="514"/>
      <c r="D77" s="513"/>
      <c r="E77" s="513"/>
      <c r="F77" s="513"/>
      <c r="G77" s="702"/>
      <c r="H77" s="514"/>
      <c r="I77" s="513"/>
      <c r="J77" s="513"/>
      <c r="K77" s="513"/>
      <c r="L77" s="515"/>
      <c r="M77" s="308"/>
      <c r="N77" s="308"/>
      <c r="O77" s="308"/>
      <c r="P77" s="308"/>
      <c r="Q77" s="308"/>
      <c r="U77"/>
      <c r="V77"/>
      <c r="W77"/>
      <c r="X77"/>
      <c r="Y77"/>
      <c r="Z77"/>
      <c r="AA77"/>
      <c r="AB77"/>
    </row>
    <row r="78" spans="1:29">
      <c r="A78" s="308"/>
      <c r="B78" s="769" t="s">
        <v>165</v>
      </c>
      <c r="C78" s="514"/>
      <c r="D78" s="513"/>
      <c r="E78" s="513"/>
      <c r="F78" s="513"/>
      <c r="G78" s="702"/>
      <c r="H78" s="514"/>
      <c r="I78" s="513"/>
      <c r="J78" s="513"/>
      <c r="K78" s="513"/>
      <c r="L78" s="515"/>
      <c r="M78" s="308"/>
      <c r="N78" s="308"/>
      <c r="O78" s="308"/>
      <c r="P78" s="308"/>
      <c r="Q78" s="308"/>
      <c r="U78"/>
      <c r="V78"/>
      <c r="W78"/>
      <c r="X78"/>
      <c r="Y78"/>
      <c r="Z78"/>
      <c r="AA78"/>
      <c r="AB78"/>
    </row>
    <row r="79" spans="1:29">
      <c r="A79" s="308"/>
      <c r="B79" s="769" t="s">
        <v>158</v>
      </c>
      <c r="C79" s="514"/>
      <c r="D79" s="513"/>
      <c r="E79" s="513"/>
      <c r="F79" s="513"/>
      <c r="G79" s="702"/>
      <c r="H79" s="514"/>
      <c r="I79" s="513"/>
      <c r="J79" s="513"/>
      <c r="K79" s="513"/>
      <c r="L79" s="515"/>
      <c r="M79" s="308"/>
      <c r="N79" s="308"/>
      <c r="O79" s="308"/>
      <c r="P79" s="308"/>
      <c r="Q79" s="308"/>
      <c r="U79"/>
      <c r="V79"/>
      <c r="W79"/>
      <c r="X79"/>
      <c r="Y79"/>
      <c r="Z79"/>
      <c r="AA79"/>
      <c r="AB79"/>
    </row>
    <row r="80" spans="1:29">
      <c r="A80" s="308"/>
      <c r="B80" s="769" t="s">
        <v>166</v>
      </c>
      <c r="C80" s="514"/>
      <c r="D80" s="513"/>
      <c r="E80" s="513"/>
      <c r="F80" s="513"/>
      <c r="G80" s="702"/>
      <c r="H80" s="514"/>
      <c r="I80" s="513"/>
      <c r="J80" s="513"/>
      <c r="K80" s="513"/>
      <c r="L80" s="515"/>
      <c r="M80" s="308"/>
      <c r="N80" s="308"/>
      <c r="O80" s="308"/>
      <c r="P80" s="308"/>
      <c r="Q80" s="308"/>
      <c r="U80"/>
      <c r="V80"/>
      <c r="W80"/>
      <c r="X80"/>
      <c r="Y80"/>
      <c r="Z80"/>
      <c r="AA80"/>
      <c r="AB80"/>
    </row>
    <row r="81" spans="1:29">
      <c r="A81" s="308"/>
      <c r="B81" s="769" t="s">
        <v>62</v>
      </c>
      <c r="C81" s="514"/>
      <c r="D81" s="513"/>
      <c r="E81" s="513"/>
      <c r="F81" s="513"/>
      <c r="G81" s="702"/>
      <c r="H81" s="514"/>
      <c r="I81" s="513"/>
      <c r="J81" s="513"/>
      <c r="K81" s="513"/>
      <c r="L81" s="515"/>
      <c r="M81" s="308"/>
      <c r="N81" s="308"/>
      <c r="O81" s="308"/>
      <c r="P81" s="308"/>
      <c r="Q81" s="308"/>
      <c r="U81"/>
      <c r="V81"/>
      <c r="W81"/>
      <c r="X81"/>
      <c r="Y81"/>
      <c r="Z81"/>
      <c r="AA81"/>
      <c r="AB81"/>
    </row>
    <row r="82" spans="1:29">
      <c r="A82" s="308"/>
      <c r="B82" s="1837" t="s">
        <v>662</v>
      </c>
      <c r="C82" s="1838"/>
      <c r="D82" s="1839"/>
      <c r="E82" s="1839"/>
      <c r="F82" s="1839"/>
      <c r="G82" s="1845"/>
      <c r="H82" s="1838"/>
      <c r="I82" s="1839"/>
      <c r="J82" s="1839"/>
      <c r="K82" s="1839"/>
      <c r="L82" s="1840"/>
      <c r="M82" s="308"/>
      <c r="N82" s="308"/>
      <c r="O82" s="308"/>
      <c r="P82" s="308"/>
      <c r="Q82" s="308"/>
      <c r="U82"/>
      <c r="V82"/>
      <c r="W82"/>
      <c r="X82"/>
      <c r="Y82"/>
      <c r="Z82"/>
      <c r="AA82"/>
      <c r="AB82"/>
    </row>
    <row r="83" spans="1:29" ht="13.5" thickBot="1">
      <c r="A83" s="308"/>
      <c r="B83" s="1833" t="s">
        <v>175</v>
      </c>
      <c r="C83" s="1841">
        <f>SUM(C75:C82)</f>
        <v>0</v>
      </c>
      <c r="D83" s="1842">
        <f t="shared" ref="D83:L83" si="9">SUM(D75:D82)</f>
        <v>0</v>
      </c>
      <c r="E83" s="1842">
        <f t="shared" si="9"/>
        <v>0</v>
      </c>
      <c r="F83" s="1842">
        <f t="shared" si="9"/>
        <v>0</v>
      </c>
      <c r="G83" s="1843">
        <f t="shared" si="9"/>
        <v>0</v>
      </c>
      <c r="H83" s="1841">
        <f t="shared" si="9"/>
        <v>0</v>
      </c>
      <c r="I83" s="1842">
        <f t="shared" si="9"/>
        <v>0</v>
      </c>
      <c r="J83" s="1842">
        <f t="shared" si="9"/>
        <v>0</v>
      </c>
      <c r="K83" s="1842">
        <f t="shared" si="9"/>
        <v>0</v>
      </c>
      <c r="L83" s="1844">
        <f t="shared" si="9"/>
        <v>0</v>
      </c>
      <c r="M83" s="308"/>
      <c r="N83" s="308"/>
      <c r="O83" s="308"/>
      <c r="P83" s="308"/>
      <c r="Q83" s="308"/>
      <c r="U83"/>
      <c r="V83"/>
      <c r="W83"/>
      <c r="X83"/>
      <c r="Y83"/>
      <c r="Z83"/>
      <c r="AA83"/>
      <c r="AB83"/>
    </row>
    <row r="84" spans="1:29" s="70" customFormat="1" ht="28.5" customHeight="1" thickBot="1">
      <c r="A84" s="360"/>
      <c r="B84" s="1722" t="s">
        <v>125</v>
      </c>
      <c r="C84" s="748"/>
      <c r="D84" s="310"/>
      <c r="E84" s="310"/>
      <c r="F84" s="310"/>
      <c r="G84" s="310"/>
      <c r="H84" s="310"/>
      <c r="I84" s="310"/>
      <c r="J84" s="310"/>
      <c r="K84" s="310"/>
      <c r="L84" s="458"/>
      <c r="M84" s="288"/>
      <c r="N84" s="288"/>
      <c r="O84" s="288"/>
      <c r="P84" s="288"/>
      <c r="Q84" s="410"/>
      <c r="R84"/>
      <c r="S84"/>
      <c r="T84"/>
      <c r="U84"/>
      <c r="V84"/>
      <c r="W84"/>
      <c r="X84"/>
      <c r="Y84"/>
      <c r="Z84"/>
      <c r="AA84"/>
      <c r="AB84"/>
      <c r="AC84"/>
    </row>
    <row r="85" spans="1:29">
      <c r="A85" s="308"/>
      <c r="U85"/>
      <c r="V85"/>
      <c r="W85"/>
      <c r="X85"/>
      <c r="Y85"/>
      <c r="Z85"/>
      <c r="AA85"/>
      <c r="AB85"/>
    </row>
    <row r="86" spans="1:29">
      <c r="A86" s="308"/>
    </row>
  </sheetData>
  <mergeCells count="44">
    <mergeCell ref="C40:J40"/>
    <mergeCell ref="K40:Q40"/>
    <mergeCell ref="H39:L39"/>
    <mergeCell ref="C39:G39"/>
    <mergeCell ref="M39:Q39"/>
    <mergeCell ref="B8:D8"/>
    <mergeCell ref="B9:D9"/>
    <mergeCell ref="C16:J16"/>
    <mergeCell ref="K16:Q16"/>
    <mergeCell ref="C17:J17"/>
    <mergeCell ref="K17:Q17"/>
    <mergeCell ref="C15:G15"/>
    <mergeCell ref="H15:L15"/>
    <mergeCell ref="M15:Q15"/>
    <mergeCell ref="C51:J51"/>
    <mergeCell ref="K51:Q51"/>
    <mergeCell ref="C41:J41"/>
    <mergeCell ref="K41:Q41"/>
    <mergeCell ref="H49:L49"/>
    <mergeCell ref="C49:G49"/>
    <mergeCell ref="C50:Q50"/>
    <mergeCell ref="M49:Q49"/>
    <mergeCell ref="B72:B74"/>
    <mergeCell ref="C68:L68"/>
    <mergeCell ref="K54:Q54"/>
    <mergeCell ref="C54:J54"/>
    <mergeCell ref="C67:G67"/>
    <mergeCell ref="H67:L67"/>
    <mergeCell ref="C69:L69"/>
    <mergeCell ref="C72:L72"/>
    <mergeCell ref="C73:L73"/>
    <mergeCell ref="U15:Y15"/>
    <mergeCell ref="Z15:AB15"/>
    <mergeCell ref="U16:AB16"/>
    <mergeCell ref="U17:AB17"/>
    <mergeCell ref="U54:AB54"/>
    <mergeCell ref="U39:Y39"/>
    <mergeCell ref="Z39:AB39"/>
    <mergeCell ref="U40:AB40"/>
    <mergeCell ref="U50:AB50"/>
    <mergeCell ref="U41:AB41"/>
    <mergeCell ref="U49:Y49"/>
    <mergeCell ref="Z49:AB49"/>
    <mergeCell ref="U51:AB51"/>
  </mergeCells>
  <pageMargins left="0.74803149606299213" right="0.74803149606299213" top="0.98425196850393704" bottom="0.98425196850393704" header="0.51181102362204722" footer="0.51181102362204722"/>
  <pageSetup paperSize="9" scale="55" orientation="portrait" r:id="rId1"/>
  <headerFooter alignWithMargins="0"/>
  <colBreaks count="2" manualBreakCount="2">
    <brk id="1" max="131" man="1"/>
    <brk id="9" max="1048575" man="1"/>
  </colBreaks>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pageSetUpPr autoPageBreaks="0"/>
  </sheetPr>
  <dimension ref="A1:AN142"/>
  <sheetViews>
    <sheetView showGridLines="0" zoomScale="70" zoomScaleNormal="70" workbookViewId="0"/>
  </sheetViews>
  <sheetFormatPr defaultColWidth="9.140625" defaultRowHeight="12.75"/>
  <cols>
    <col min="1" max="1" width="15.7109375" style="126" customWidth="1"/>
    <col min="2" max="2" width="49.28515625" style="126" customWidth="1"/>
    <col min="3" max="6" width="24.85546875" style="126" customWidth="1"/>
    <col min="7" max="7" width="37.7109375" style="126" customWidth="1"/>
    <col min="8" max="8" width="33.42578125" style="127" bestFit="1" customWidth="1"/>
    <col min="9" max="23" width="15.7109375" style="126" customWidth="1"/>
    <col min="24" max="26" width="8.7109375"/>
    <col min="27" max="31" width="15.7109375" style="126" customWidth="1"/>
    <col min="32" max="32" width="15.7109375" style="127" customWidth="1"/>
    <col min="33" max="34" width="15.7109375" style="126" customWidth="1"/>
    <col min="35" max="16384" width="9.140625" style="126"/>
  </cols>
  <sheetData>
    <row r="1" spans="1:34" s="165" customFormat="1" ht="24" customHeight="1">
      <c r="B1" s="3050" t="str">
        <f>IF(dms_DataQuality="backcast",INDEX(dms_Worksheet_List,MATCH(dms_Model,dms_Model_List))&amp;" BACKCAST",INDEX(dms_Worksheet_List,MATCH(dms_Model,dms_Model_List)))</f>
        <v>REGULATORY REPORTING STATEMENT</v>
      </c>
      <c r="C1" s="166"/>
      <c r="D1" s="166"/>
      <c r="E1" s="166"/>
      <c r="F1" s="166"/>
      <c r="G1" s="166"/>
      <c r="H1" s="163"/>
      <c r="I1" s="163"/>
      <c r="J1" s="163"/>
      <c r="K1" s="163"/>
      <c r="L1" s="163"/>
      <c r="M1" s="163"/>
      <c r="N1" s="163"/>
      <c r="O1" s="163"/>
      <c r="P1" s="163"/>
      <c r="Q1" s="163"/>
      <c r="R1" s="163"/>
      <c r="S1" s="163"/>
      <c r="T1" s="163"/>
      <c r="U1" s="163"/>
      <c r="V1" s="163"/>
      <c r="W1" s="163"/>
      <c r="X1" s="225"/>
      <c r="Y1" s="225"/>
      <c r="Z1" s="225"/>
      <c r="AA1" s="1428"/>
      <c r="AB1" s="1428"/>
      <c r="AC1" s="1428"/>
      <c r="AD1" s="1428"/>
      <c r="AE1" s="1428"/>
      <c r="AF1" s="225"/>
      <c r="AG1" s="225"/>
      <c r="AH1" s="225"/>
    </row>
    <row r="2" spans="1:34" s="165" customFormat="1" ht="24" customHeight="1">
      <c r="B2" s="3054" t="str">
        <f>INDEX(dms_TradingNameFull_List,MATCH(dms_TradingName,dms_TradingName_List))</f>
        <v>AusNet Gas Services</v>
      </c>
      <c r="C2" s="166"/>
      <c r="D2" s="166"/>
      <c r="E2" s="166"/>
      <c r="F2" s="166"/>
      <c r="G2" s="166"/>
      <c r="H2" s="163"/>
      <c r="I2" s="163"/>
      <c r="J2" s="163"/>
      <c r="K2" s="163"/>
      <c r="L2" s="163"/>
      <c r="M2" s="163"/>
      <c r="N2" s="163"/>
      <c r="O2" s="163"/>
      <c r="P2" s="163"/>
      <c r="Q2" s="163"/>
      <c r="R2" s="163"/>
      <c r="S2" s="163"/>
      <c r="T2" s="163"/>
      <c r="U2" s="163"/>
      <c r="V2" s="163"/>
      <c r="W2" s="163"/>
      <c r="X2" s="225"/>
      <c r="Y2" s="225"/>
      <c r="Z2" s="225"/>
      <c r="AA2" s="1428"/>
      <c r="AB2" s="1428"/>
      <c r="AC2" s="1428"/>
      <c r="AD2" s="1428"/>
      <c r="AE2" s="1428"/>
      <c r="AF2" s="225"/>
      <c r="AG2" s="225"/>
      <c r="AH2" s="225"/>
    </row>
    <row r="3" spans="1:34" s="165" customFormat="1" ht="24" customHeight="1">
      <c r="B3" s="3054" t="str">
        <f ca="1">IF(SUM(dms_SingleYear_Model)&gt;0,CRY,CONCATENATE(FRCP_y1," to ",dms_MultiYear_FinalYear_Result))</f>
        <v>2018 to 2022</v>
      </c>
      <c r="C3" s="167"/>
      <c r="D3" s="167"/>
      <c r="E3" s="167"/>
      <c r="F3" s="167"/>
      <c r="G3" s="167"/>
      <c r="H3" s="168"/>
      <c r="I3" s="168" t="str">
        <f>CONCATENATE(LEFT(FRCP_y1,4),"-",LEFT(FRCP_y5,2),RIGHT(FRCP_y5,2))</f>
        <v>2018-2022</v>
      </c>
      <c r="J3" s="167"/>
      <c r="K3" s="167"/>
      <c r="L3" s="167"/>
      <c r="M3" s="167"/>
      <c r="N3" s="167"/>
      <c r="O3" s="167"/>
      <c r="P3" s="167"/>
      <c r="Q3" s="167"/>
      <c r="R3" s="167"/>
      <c r="S3" s="167"/>
      <c r="T3" s="167"/>
      <c r="U3" s="167"/>
      <c r="V3" s="167"/>
      <c r="W3" s="167"/>
      <c r="X3" s="1426"/>
      <c r="Y3" s="1426"/>
      <c r="Z3" s="1426"/>
      <c r="AA3" s="1426"/>
      <c r="AB3" s="1426"/>
      <c r="AC3" s="1426"/>
      <c r="AD3" s="1426"/>
      <c r="AE3" s="1426"/>
      <c r="AF3" s="228"/>
      <c r="AG3" s="228" t="str">
        <f>CONCATENATE(LEFT(FRCP_y1,4),"-",LEFT(FRCP_y5,2),RIGHT(FRCP_y5,2))</f>
        <v>2018-2022</v>
      </c>
      <c r="AH3" s="1426"/>
    </row>
    <row r="4" spans="1:34" s="165" customFormat="1" ht="24" customHeight="1">
      <c r="B4" s="10" t="s">
        <v>533</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4">
      <c r="A5" s="409"/>
      <c r="B5" s="781"/>
      <c r="C5" s="781"/>
      <c r="D5" s="781"/>
      <c r="E5" s="781"/>
      <c r="F5" s="781"/>
      <c r="G5" s="781"/>
      <c r="H5" s="784"/>
      <c r="I5" s="781"/>
      <c r="J5" s="781"/>
      <c r="K5" s="781"/>
      <c r="L5" s="781"/>
      <c r="M5" s="781"/>
      <c r="N5" s="781"/>
      <c r="O5" s="781"/>
      <c r="P5" s="781"/>
      <c r="Q5" s="781"/>
      <c r="R5" s="781"/>
      <c r="S5" s="781"/>
      <c r="T5" s="781"/>
      <c r="U5" s="781"/>
      <c r="V5" s="781"/>
      <c r="W5" s="781"/>
      <c r="AA5"/>
      <c r="AB5"/>
      <c r="AC5"/>
      <c r="AD5"/>
      <c r="AE5"/>
      <c r="AF5" s="784"/>
      <c r="AG5" s="781"/>
      <c r="AH5" s="781"/>
    </row>
    <row r="6" spans="1:34">
      <c r="A6" s="409"/>
      <c r="B6" s="781"/>
      <c r="C6" s="781"/>
      <c r="D6" s="781"/>
      <c r="E6" s="781"/>
      <c r="F6" s="781"/>
      <c r="G6" s="781"/>
      <c r="H6" s="784"/>
      <c r="I6" s="781"/>
      <c r="J6" s="781"/>
      <c r="K6" s="781"/>
      <c r="L6" s="781"/>
      <c r="M6" s="781"/>
      <c r="N6" s="781"/>
      <c r="O6" s="781"/>
      <c r="P6" s="781"/>
      <c r="Q6" s="781"/>
      <c r="R6" s="781"/>
      <c r="S6" s="781"/>
      <c r="T6" s="781"/>
      <c r="U6" s="781"/>
      <c r="V6" s="781"/>
      <c r="W6" s="781"/>
      <c r="AA6"/>
      <c r="AB6"/>
      <c r="AC6"/>
      <c r="AD6"/>
      <c r="AE6"/>
      <c r="AF6" s="784"/>
      <c r="AG6" s="781"/>
      <c r="AH6" s="781"/>
    </row>
    <row r="7" spans="1:34" ht="12.75" customHeight="1">
      <c r="A7" s="781"/>
      <c r="B7" s="105" t="s">
        <v>59</v>
      </c>
      <c r="C7" s="106"/>
      <c r="D7" s="106"/>
      <c r="E7" s="106"/>
      <c r="F7" s="128"/>
      <c r="G7" s="781"/>
      <c r="H7" s="784"/>
      <c r="I7" s="781"/>
      <c r="J7" s="781"/>
      <c r="K7" s="781"/>
      <c r="L7" s="781"/>
      <c r="M7" s="781"/>
      <c r="N7" s="781"/>
      <c r="O7" s="781"/>
      <c r="P7" s="781"/>
      <c r="Q7" s="781"/>
      <c r="R7" s="781"/>
      <c r="S7" s="781"/>
      <c r="T7" s="781"/>
      <c r="U7" s="781"/>
      <c r="V7" s="781"/>
      <c r="W7" s="781"/>
      <c r="AA7"/>
      <c r="AB7"/>
      <c r="AC7"/>
      <c r="AD7"/>
      <c r="AE7"/>
      <c r="AF7" s="784"/>
      <c r="AG7" s="781"/>
      <c r="AH7" s="781"/>
    </row>
    <row r="8" spans="1:34" ht="18.75" customHeight="1">
      <c r="A8" s="781"/>
      <c r="B8" s="129" t="s">
        <v>659</v>
      </c>
      <c r="C8" s="130"/>
      <c r="D8" s="130"/>
      <c r="E8" s="130"/>
      <c r="F8" s="130"/>
      <c r="G8" s="781"/>
      <c r="H8" s="784"/>
      <c r="I8" s="781"/>
      <c r="J8" s="781"/>
      <c r="K8" s="781"/>
      <c r="L8" s="781"/>
      <c r="M8" s="781"/>
      <c r="N8" s="781"/>
      <c r="O8" s="781"/>
      <c r="P8" s="781"/>
      <c r="Q8" s="781"/>
      <c r="R8" s="781"/>
      <c r="S8" s="781"/>
      <c r="T8" s="781"/>
      <c r="U8" s="781"/>
      <c r="V8" s="781"/>
      <c r="W8" s="781"/>
      <c r="AA8"/>
      <c r="AB8"/>
      <c r="AC8"/>
      <c r="AD8"/>
      <c r="AE8"/>
      <c r="AF8" s="784"/>
      <c r="AG8" s="781"/>
      <c r="AH8" s="781"/>
    </row>
    <row r="9" spans="1:34" ht="18.75" customHeight="1">
      <c r="A9" s="781"/>
      <c r="B9" s="129" t="s">
        <v>534</v>
      </c>
      <c r="C9" s="129"/>
      <c r="D9" s="129"/>
      <c r="E9" s="129"/>
      <c r="F9" s="1492"/>
      <c r="G9" s="781"/>
      <c r="H9" s="784"/>
      <c r="I9" s="781"/>
      <c r="J9" s="781"/>
      <c r="K9" s="781"/>
      <c r="L9" s="781"/>
      <c r="M9" s="781"/>
      <c r="N9" s="781"/>
      <c r="O9" s="781"/>
      <c r="P9" s="781"/>
      <c r="Q9" s="781"/>
      <c r="R9" s="781"/>
      <c r="S9" s="781"/>
      <c r="T9" s="781"/>
      <c r="U9" s="781"/>
      <c r="V9" s="781"/>
      <c r="W9" s="781"/>
      <c r="AA9"/>
      <c r="AB9"/>
      <c r="AC9"/>
      <c r="AD9"/>
      <c r="AE9"/>
      <c r="AF9" s="784"/>
      <c r="AG9" s="781"/>
      <c r="AH9" s="781"/>
    </row>
    <row r="10" spans="1:34" ht="27" customHeight="1" thickBot="1">
      <c r="A10" s="781"/>
      <c r="D10" s="781"/>
      <c r="E10" s="781"/>
      <c r="F10" s="781"/>
      <c r="G10" s="781"/>
      <c r="H10" s="784"/>
      <c r="I10" s="781"/>
      <c r="J10" s="781"/>
      <c r="K10" s="781"/>
      <c r="L10" s="781"/>
      <c r="M10" s="781"/>
      <c r="N10" s="781"/>
      <c r="O10" s="781"/>
      <c r="P10" s="781"/>
      <c r="Q10" s="781"/>
      <c r="R10" s="781"/>
      <c r="S10" s="781"/>
      <c r="T10" s="781"/>
      <c r="U10" s="781"/>
      <c r="V10" s="781"/>
      <c r="W10" s="781"/>
      <c r="AA10"/>
      <c r="AB10"/>
      <c r="AC10"/>
      <c r="AD10"/>
      <c r="AE10"/>
      <c r="AF10" s="784"/>
      <c r="AG10" s="781"/>
      <c r="AH10" s="781"/>
    </row>
    <row r="11" spans="1:34" s="229" customFormat="1" ht="24.75" customHeight="1" thickBot="1">
      <c r="A11" s="308"/>
      <c r="B11" s="856" t="s">
        <v>539</v>
      </c>
      <c r="C11" s="856"/>
      <c r="D11" s="856"/>
      <c r="E11" s="856"/>
      <c r="F11" s="856"/>
      <c r="G11" s="856"/>
      <c r="H11" s="856"/>
      <c r="I11" s="856"/>
      <c r="J11" s="856"/>
      <c r="K11" s="856"/>
      <c r="L11" s="856"/>
      <c r="M11" s="856"/>
      <c r="N11" s="856"/>
      <c r="O11" s="856"/>
      <c r="P11" s="856"/>
      <c r="Q11" s="856"/>
      <c r="R11" s="856"/>
      <c r="S11" s="856"/>
      <c r="T11" s="856"/>
      <c r="U11" s="856"/>
      <c r="V11" s="856"/>
      <c r="W11" s="856"/>
      <c r="X11" s="1427"/>
      <c r="Y11" s="1427"/>
      <c r="Z11" s="1427"/>
      <c r="AA11" s="856" t="s">
        <v>681</v>
      </c>
      <c r="AB11" s="856"/>
      <c r="AC11" s="856"/>
      <c r="AD11" s="856"/>
      <c r="AE11" s="856"/>
      <c r="AF11" s="856"/>
      <c r="AG11" s="856"/>
      <c r="AH11" s="1465"/>
    </row>
    <row r="12" spans="1:34" s="79" customFormat="1" ht="24.75" customHeight="1" thickBot="1">
      <c r="A12" s="308"/>
      <c r="B12" s="1576" t="str">
        <f>CONCATENATE("Table 15.1 - Payments made by ",dms_TradingName," to Related Party greater than $1,000,000")</f>
        <v>Table 15.1 - Payments made by AusNet (Gas) to Related Party greater than $1,000,000</v>
      </c>
      <c r="C12" s="1577"/>
      <c r="D12" s="1577"/>
      <c r="E12" s="1577"/>
      <c r="F12" s="1577"/>
      <c r="G12" s="1577"/>
      <c r="H12" s="1577"/>
      <c r="I12" s="1577"/>
      <c r="J12" s="1577"/>
      <c r="K12" s="1577"/>
      <c r="L12" s="1577"/>
      <c r="M12" s="1577"/>
      <c r="N12" s="1577"/>
      <c r="O12" s="1577"/>
      <c r="P12" s="1577"/>
      <c r="Q12" s="1577"/>
      <c r="R12" s="1577"/>
      <c r="S12" s="1577"/>
      <c r="T12" s="1577"/>
      <c r="U12" s="1577"/>
      <c r="V12" s="1577"/>
      <c r="W12" s="1578"/>
      <c r="X12"/>
      <c r="Y12"/>
      <c r="Z12"/>
      <c r="AA12" s="1576"/>
      <c r="AB12" s="1577"/>
      <c r="AC12" s="1577"/>
      <c r="AD12" s="1577"/>
      <c r="AE12" s="1577"/>
      <c r="AF12" s="1577"/>
      <c r="AG12" s="1577"/>
      <c r="AH12" s="1578"/>
    </row>
    <row r="13" spans="1:34" ht="20.25" customHeight="1">
      <c r="A13" s="781"/>
      <c r="B13" s="3881" t="s">
        <v>25</v>
      </c>
      <c r="C13" s="3884" t="s">
        <v>291</v>
      </c>
      <c r="D13" s="3884" t="s">
        <v>10</v>
      </c>
      <c r="E13" s="3884" t="s">
        <v>26</v>
      </c>
      <c r="F13" s="3884" t="s">
        <v>27</v>
      </c>
      <c r="G13" s="3860" t="s">
        <v>664</v>
      </c>
      <c r="H13" s="845"/>
      <c r="I13" s="3601" t="s">
        <v>36</v>
      </c>
      <c r="J13" s="3549"/>
      <c r="K13" s="3549"/>
      <c r="L13" s="3549"/>
      <c r="M13" s="3549"/>
      <c r="N13" s="3602" t="s">
        <v>37</v>
      </c>
      <c r="O13" s="3603"/>
      <c r="P13" s="3603"/>
      <c r="Q13" s="3603"/>
      <c r="R13" s="3603"/>
      <c r="S13" s="3543" t="s">
        <v>73</v>
      </c>
      <c r="T13" s="3543"/>
      <c r="U13" s="3543"/>
      <c r="V13" s="3543"/>
      <c r="W13" s="3678"/>
      <c r="AA13" s="3701" t="s">
        <v>36</v>
      </c>
      <c r="AB13" s="3702"/>
      <c r="AC13" s="3702"/>
      <c r="AD13" s="3702"/>
      <c r="AE13" s="3702"/>
      <c r="AF13" s="3703" t="s">
        <v>37</v>
      </c>
      <c r="AG13" s="3704"/>
      <c r="AH13" s="3705"/>
    </row>
    <row r="14" spans="1:34" ht="20.25" customHeight="1">
      <c r="A14" s="781"/>
      <c r="B14" s="3882"/>
      <c r="C14" s="3885"/>
      <c r="D14" s="3885"/>
      <c r="E14" s="3885"/>
      <c r="F14" s="3885"/>
      <c r="G14" s="3861"/>
      <c r="H14" s="846"/>
      <c r="I14" s="3550" t="s">
        <v>579</v>
      </c>
      <c r="J14" s="3551"/>
      <c r="K14" s="3551"/>
      <c r="L14" s="3551"/>
      <c r="M14" s="3551"/>
      <c r="N14" s="3551"/>
      <c r="O14" s="3551"/>
      <c r="P14" s="3595"/>
      <c r="Q14" s="3589" t="str">
        <f>CONCATENATE("$0's, real ",dms_DollarReal)</f>
        <v>$0's, real December 2017</v>
      </c>
      <c r="R14" s="3590"/>
      <c r="S14" s="3590"/>
      <c r="T14" s="3590"/>
      <c r="U14" s="3590"/>
      <c r="V14" s="3590"/>
      <c r="W14" s="3591"/>
      <c r="AA14" s="3550" t="str">
        <f>CONCATENATE("$0's, real ",dms_DollarReal)</f>
        <v>$0's, real December 2017</v>
      </c>
      <c r="AB14" s="3551"/>
      <c r="AC14" s="3551"/>
      <c r="AD14" s="3551"/>
      <c r="AE14" s="3551"/>
      <c r="AF14" s="3551"/>
      <c r="AG14" s="3551"/>
      <c r="AH14" s="3552"/>
    </row>
    <row r="15" spans="1:34" ht="20.25">
      <c r="A15" s="781"/>
      <c r="B15" s="3882"/>
      <c r="C15" s="3885"/>
      <c r="D15" s="3885"/>
      <c r="E15" s="3885"/>
      <c r="F15" s="3885"/>
      <c r="G15" s="3861"/>
      <c r="H15" s="846"/>
      <c r="I15" s="3550" t="s">
        <v>54</v>
      </c>
      <c r="J15" s="3551"/>
      <c r="K15" s="3551"/>
      <c r="L15" s="3551"/>
      <c r="M15" s="3551"/>
      <c r="N15" s="3551"/>
      <c r="O15" s="3551"/>
      <c r="P15" s="3595"/>
      <c r="Q15" s="3589" t="s">
        <v>55</v>
      </c>
      <c r="R15" s="3590"/>
      <c r="S15" s="3590"/>
      <c r="T15" s="3590"/>
      <c r="U15" s="3590"/>
      <c r="V15" s="3590"/>
      <c r="W15" s="3591"/>
      <c r="AA15" s="3550" t="s">
        <v>54</v>
      </c>
      <c r="AB15" s="3551"/>
      <c r="AC15" s="3551"/>
      <c r="AD15" s="3551"/>
      <c r="AE15" s="3551"/>
      <c r="AF15" s="3551"/>
      <c r="AG15" s="3551"/>
      <c r="AH15" s="3552"/>
    </row>
    <row r="16" spans="1:34" ht="40.5" customHeight="1" thickBot="1">
      <c r="A16" s="781"/>
      <c r="B16" s="3883"/>
      <c r="C16" s="3886"/>
      <c r="D16" s="3886"/>
      <c r="E16" s="3886"/>
      <c r="F16" s="3886"/>
      <c r="G16" s="3887"/>
      <c r="H16" s="783"/>
      <c r="I16" s="1789">
        <f t="array" ref="I16:M16">PRCP</f>
        <v>2008</v>
      </c>
      <c r="J16" s="390">
        <v>2009</v>
      </c>
      <c r="K16" s="390">
        <v>2010</v>
      </c>
      <c r="L16" s="390">
        <v>2011</v>
      </c>
      <c r="M16" s="390">
        <v>2012</v>
      </c>
      <c r="N16" s="392">
        <f>CRCP_y1</f>
        <v>2013</v>
      </c>
      <c r="O16" s="392">
        <f>CRCP_y2</f>
        <v>2014</v>
      </c>
      <c r="P16" s="392">
        <f>CRCP_y3</f>
        <v>2015</v>
      </c>
      <c r="Q16" s="392">
        <f>CRCP_y4</f>
        <v>2016</v>
      </c>
      <c r="R16" s="392">
        <f>CRCP_y5</f>
        <v>2017</v>
      </c>
      <c r="S16" s="390" t="str">
        <f t="array" ref="S16:W16">FRCP</f>
        <v>2018</v>
      </c>
      <c r="T16" s="390">
        <v>2019</v>
      </c>
      <c r="U16" s="390">
        <v>2020</v>
      </c>
      <c r="V16" s="390">
        <v>2021</v>
      </c>
      <c r="W16" s="498">
        <v>2022</v>
      </c>
      <c r="AA16" s="1789">
        <f t="array" ref="AA16:AE16">PRCP</f>
        <v>2008</v>
      </c>
      <c r="AB16" s="390">
        <v>2009</v>
      </c>
      <c r="AC16" s="390">
        <v>2010</v>
      </c>
      <c r="AD16" s="390">
        <v>2011</v>
      </c>
      <c r="AE16" s="390">
        <v>2012</v>
      </c>
      <c r="AF16" s="392">
        <f>CRCP_y1</f>
        <v>2013</v>
      </c>
      <c r="AG16" s="392">
        <f>CRCP_y2</f>
        <v>2014</v>
      </c>
      <c r="AH16" s="603">
        <f>CRCP_y3</f>
        <v>2015</v>
      </c>
    </row>
    <row r="17" spans="1:34">
      <c r="A17" s="781"/>
      <c r="B17" s="1181"/>
      <c r="C17" s="1182"/>
      <c r="D17" s="1182"/>
      <c r="E17" s="1182"/>
      <c r="F17" s="1182"/>
      <c r="G17" s="1182"/>
      <c r="H17" s="879" t="s">
        <v>84</v>
      </c>
      <c r="I17" s="881"/>
      <c r="J17" s="882"/>
      <c r="K17" s="882"/>
      <c r="L17" s="882"/>
      <c r="M17" s="883"/>
      <c r="N17" s="881"/>
      <c r="O17" s="882"/>
      <c r="P17" s="882"/>
      <c r="Q17" s="882"/>
      <c r="R17" s="882"/>
      <c r="S17" s="881"/>
      <c r="T17" s="882"/>
      <c r="U17" s="882"/>
      <c r="V17" s="882"/>
      <c r="W17" s="883"/>
      <c r="AA17" s="2214"/>
      <c r="AB17" s="2215"/>
      <c r="AC17" s="2215"/>
      <c r="AD17" s="2215"/>
      <c r="AE17" s="2216"/>
      <c r="AF17" s="2214"/>
      <c r="AG17" s="2215"/>
      <c r="AH17" s="2216"/>
    </row>
    <row r="18" spans="1:34">
      <c r="A18" s="781"/>
      <c r="B18" s="1183">
        <f t="shared" ref="B18:G18" si="0">B17</f>
        <v>0</v>
      </c>
      <c r="C18" s="1184">
        <f t="shared" si="0"/>
        <v>0</v>
      </c>
      <c r="D18" s="1184">
        <f t="shared" si="0"/>
        <v>0</v>
      </c>
      <c r="E18" s="1184">
        <f t="shared" si="0"/>
        <v>0</v>
      </c>
      <c r="F18" s="1184">
        <f t="shared" si="0"/>
        <v>0</v>
      </c>
      <c r="G18" s="1184">
        <f t="shared" si="0"/>
        <v>0</v>
      </c>
      <c r="H18" s="879" t="s">
        <v>79</v>
      </c>
      <c r="I18" s="823"/>
      <c r="J18" s="780"/>
      <c r="K18" s="780"/>
      <c r="L18" s="780"/>
      <c r="M18" s="884"/>
      <c r="N18" s="823"/>
      <c r="O18" s="780"/>
      <c r="P18" s="780"/>
      <c r="Q18" s="780"/>
      <c r="R18" s="780"/>
      <c r="S18" s="823"/>
      <c r="T18" s="780"/>
      <c r="U18" s="780"/>
      <c r="V18" s="780"/>
      <c r="W18" s="884"/>
      <c r="AA18" s="2217"/>
      <c r="AB18" s="2218"/>
      <c r="AC18" s="2218"/>
      <c r="AD18" s="2218"/>
      <c r="AE18" s="2219"/>
      <c r="AF18" s="2217"/>
      <c r="AG18" s="2218"/>
      <c r="AH18" s="2219"/>
    </row>
    <row r="19" spans="1:34">
      <c r="A19" s="781"/>
      <c r="B19" s="1185"/>
      <c r="C19" s="1186"/>
      <c r="D19" s="1186"/>
      <c r="E19" s="1186"/>
      <c r="F19" s="1186"/>
      <c r="G19" s="1186"/>
      <c r="H19" s="879" t="s">
        <v>84</v>
      </c>
      <c r="I19" s="823"/>
      <c r="J19" s="780"/>
      <c r="K19" s="780"/>
      <c r="L19" s="780"/>
      <c r="M19" s="884"/>
      <c r="N19" s="823"/>
      <c r="O19" s="780"/>
      <c r="P19" s="780"/>
      <c r="Q19" s="780"/>
      <c r="R19" s="780"/>
      <c r="S19" s="823"/>
      <c r="T19" s="780"/>
      <c r="U19" s="780"/>
      <c r="V19" s="780"/>
      <c r="W19" s="884"/>
      <c r="AA19" s="2217"/>
      <c r="AB19" s="2218"/>
      <c r="AC19" s="2218"/>
      <c r="AD19" s="2218"/>
      <c r="AE19" s="2219"/>
      <c r="AF19" s="2217"/>
      <c r="AG19" s="2218"/>
      <c r="AH19" s="2219"/>
    </row>
    <row r="20" spans="1:34">
      <c r="A20" s="781"/>
      <c r="B20" s="1183">
        <f t="shared" ref="B20:G20" si="1">B19</f>
        <v>0</v>
      </c>
      <c r="C20" s="1184">
        <f t="shared" si="1"/>
        <v>0</v>
      </c>
      <c r="D20" s="1184">
        <f t="shared" si="1"/>
        <v>0</v>
      </c>
      <c r="E20" s="1184">
        <f t="shared" si="1"/>
        <v>0</v>
      </c>
      <c r="F20" s="1184">
        <f t="shared" si="1"/>
        <v>0</v>
      </c>
      <c r="G20" s="1184">
        <f t="shared" si="1"/>
        <v>0</v>
      </c>
      <c r="H20" s="879" t="s">
        <v>79</v>
      </c>
      <c r="I20" s="823"/>
      <c r="J20" s="780"/>
      <c r="K20" s="780"/>
      <c r="L20" s="780"/>
      <c r="M20" s="884"/>
      <c r="N20" s="823"/>
      <c r="O20" s="780"/>
      <c r="P20" s="780"/>
      <c r="Q20" s="780"/>
      <c r="R20" s="780"/>
      <c r="S20" s="823"/>
      <c r="T20" s="780"/>
      <c r="U20" s="780"/>
      <c r="V20" s="780"/>
      <c r="W20" s="884"/>
      <c r="AA20" s="2217"/>
      <c r="AB20" s="2218"/>
      <c r="AC20" s="2218"/>
      <c r="AD20" s="2218"/>
      <c r="AE20" s="2219"/>
      <c r="AF20" s="2217"/>
      <c r="AG20" s="2218"/>
      <c r="AH20" s="2219"/>
    </row>
    <row r="21" spans="1:34">
      <c r="A21" s="781"/>
      <c r="B21" s="1185"/>
      <c r="C21" s="1186"/>
      <c r="D21" s="1186"/>
      <c r="E21" s="1186"/>
      <c r="F21" s="1186"/>
      <c r="G21" s="1186"/>
      <c r="H21" s="879" t="s">
        <v>84</v>
      </c>
      <c r="I21" s="823"/>
      <c r="J21" s="780"/>
      <c r="K21" s="780"/>
      <c r="L21" s="780"/>
      <c r="M21" s="884"/>
      <c r="N21" s="823"/>
      <c r="O21" s="780"/>
      <c r="P21" s="780"/>
      <c r="Q21" s="780"/>
      <c r="R21" s="780"/>
      <c r="S21" s="823"/>
      <c r="T21" s="780"/>
      <c r="U21" s="780"/>
      <c r="V21" s="780"/>
      <c r="W21" s="884"/>
      <c r="AA21" s="2217"/>
      <c r="AB21" s="2218"/>
      <c r="AC21" s="2218"/>
      <c r="AD21" s="2218"/>
      <c r="AE21" s="2219"/>
      <c r="AF21" s="2217"/>
      <c r="AG21" s="2218"/>
      <c r="AH21" s="2219"/>
    </row>
    <row r="22" spans="1:34">
      <c r="A22" s="781"/>
      <c r="B22" s="1183">
        <f t="shared" ref="B22:G22" si="2">B21</f>
        <v>0</v>
      </c>
      <c r="C22" s="1184">
        <f t="shared" si="2"/>
        <v>0</v>
      </c>
      <c r="D22" s="1184">
        <f t="shared" si="2"/>
        <v>0</v>
      </c>
      <c r="E22" s="1184">
        <f t="shared" si="2"/>
        <v>0</v>
      </c>
      <c r="F22" s="1184">
        <f t="shared" si="2"/>
        <v>0</v>
      </c>
      <c r="G22" s="1184">
        <f t="shared" si="2"/>
        <v>0</v>
      </c>
      <c r="H22" s="879" t="s">
        <v>79</v>
      </c>
      <c r="I22" s="823"/>
      <c r="J22" s="780"/>
      <c r="K22" s="780"/>
      <c r="L22" s="780"/>
      <c r="M22" s="884"/>
      <c r="N22" s="823"/>
      <c r="O22" s="780"/>
      <c r="P22" s="780"/>
      <c r="Q22" s="780"/>
      <c r="R22" s="780"/>
      <c r="S22" s="823"/>
      <c r="T22" s="780"/>
      <c r="U22" s="780"/>
      <c r="V22" s="780"/>
      <c r="W22" s="884"/>
      <c r="AA22" s="2217"/>
      <c r="AB22" s="2218"/>
      <c r="AC22" s="2218"/>
      <c r="AD22" s="2218"/>
      <c r="AE22" s="2219"/>
      <c r="AF22" s="2217"/>
      <c r="AG22" s="2218"/>
      <c r="AH22" s="2219"/>
    </row>
    <row r="23" spans="1:34">
      <c r="A23" s="781"/>
      <c r="B23" s="1185"/>
      <c r="C23" s="1186"/>
      <c r="D23" s="1186"/>
      <c r="E23" s="1186"/>
      <c r="F23" s="1186"/>
      <c r="G23" s="1186"/>
      <c r="H23" s="879" t="s">
        <v>84</v>
      </c>
      <c r="I23" s="823"/>
      <c r="J23" s="780"/>
      <c r="K23" s="780"/>
      <c r="L23" s="780"/>
      <c r="M23" s="884"/>
      <c r="N23" s="823"/>
      <c r="O23" s="780"/>
      <c r="P23" s="780"/>
      <c r="Q23" s="780"/>
      <c r="R23" s="780"/>
      <c r="S23" s="823"/>
      <c r="T23" s="780"/>
      <c r="U23" s="780"/>
      <c r="V23" s="780"/>
      <c r="W23" s="884"/>
      <c r="AA23" s="2217"/>
      <c r="AB23" s="2218"/>
      <c r="AC23" s="2218"/>
      <c r="AD23" s="2218"/>
      <c r="AE23" s="2219"/>
      <c r="AF23" s="2217"/>
      <c r="AG23" s="2218"/>
      <c r="AH23" s="2219"/>
    </row>
    <row r="24" spans="1:34" ht="13.5" thickBot="1">
      <c r="A24" s="781"/>
      <c r="B24" s="1183">
        <f t="shared" ref="B24:G24" si="3">B23</f>
        <v>0</v>
      </c>
      <c r="C24" s="1184">
        <f t="shared" si="3"/>
        <v>0</v>
      </c>
      <c r="D24" s="1184">
        <f t="shared" si="3"/>
        <v>0</v>
      </c>
      <c r="E24" s="1184">
        <f t="shared" si="3"/>
        <v>0</v>
      </c>
      <c r="F24" s="1184">
        <f t="shared" si="3"/>
        <v>0</v>
      </c>
      <c r="G24" s="1184">
        <f t="shared" si="3"/>
        <v>0</v>
      </c>
      <c r="H24" s="879" t="s">
        <v>79</v>
      </c>
      <c r="I24" s="885"/>
      <c r="J24" s="886"/>
      <c r="K24" s="886"/>
      <c r="L24" s="886"/>
      <c r="M24" s="887"/>
      <c r="N24" s="885"/>
      <c r="O24" s="886"/>
      <c r="P24" s="886"/>
      <c r="Q24" s="886"/>
      <c r="R24" s="886"/>
      <c r="S24" s="885"/>
      <c r="T24" s="886"/>
      <c r="U24" s="886"/>
      <c r="V24" s="886"/>
      <c r="W24" s="887"/>
      <c r="AA24" s="2220"/>
      <c r="AB24" s="2221"/>
      <c r="AC24" s="2221"/>
      <c r="AD24" s="2221"/>
      <c r="AE24" s="2222"/>
      <c r="AF24" s="2220"/>
      <c r="AG24" s="2221"/>
      <c r="AH24" s="2222"/>
    </row>
    <row r="25" spans="1:34" s="70" customFormat="1" ht="28.5" customHeight="1" thickBot="1">
      <c r="A25" s="360"/>
      <c r="B25" s="1711" t="s">
        <v>125</v>
      </c>
      <c r="C25" s="748"/>
      <c r="D25" s="310"/>
      <c r="E25" s="310"/>
      <c r="F25" s="310"/>
      <c r="G25" s="310"/>
      <c r="H25" s="310"/>
      <c r="I25" s="310"/>
      <c r="J25" s="310"/>
      <c r="K25" s="310"/>
      <c r="L25" s="310"/>
      <c r="M25" s="310"/>
      <c r="N25" s="310"/>
      <c r="O25" s="310"/>
      <c r="P25" s="310"/>
      <c r="Q25" s="310"/>
      <c r="R25" s="310"/>
      <c r="S25" s="310"/>
      <c r="T25" s="310"/>
      <c r="U25" s="310"/>
      <c r="V25" s="310"/>
      <c r="W25" s="458"/>
      <c r="X25"/>
      <c r="Y25"/>
      <c r="Z25"/>
      <c r="AA25" s="2135"/>
      <c r="AB25" s="2116"/>
      <c r="AC25" s="2116"/>
      <c r="AD25" s="2116"/>
      <c r="AE25" s="2116"/>
      <c r="AF25" s="2116"/>
      <c r="AG25" s="2116"/>
      <c r="AH25" s="2119"/>
    </row>
    <row r="26" spans="1:34" s="107" customFormat="1" ht="51.75" customHeight="1" thickBot="1">
      <c r="A26" s="538"/>
      <c r="B26" s="538"/>
      <c r="C26" s="538"/>
      <c r="D26" s="538"/>
      <c r="E26" s="538"/>
      <c r="F26" s="538"/>
      <c r="G26" s="538"/>
      <c r="H26" s="787"/>
      <c r="I26" s="538"/>
      <c r="J26" s="538"/>
      <c r="K26" s="538"/>
      <c r="L26" s="538"/>
      <c r="M26" s="538"/>
      <c r="N26" s="538"/>
      <c r="O26" s="538"/>
      <c r="P26" s="538"/>
      <c r="Q26" s="538"/>
      <c r="R26" s="538"/>
      <c r="S26" s="781"/>
      <c r="T26" s="781"/>
      <c r="U26" s="781"/>
      <c r="V26" s="781"/>
      <c r="W26" s="781"/>
      <c r="X26"/>
      <c r="Y26"/>
      <c r="Z26"/>
      <c r="AA26" s="538"/>
      <c r="AB26" s="538"/>
      <c r="AC26" s="538"/>
      <c r="AD26" s="538"/>
      <c r="AE26" s="538"/>
      <c r="AF26" s="538"/>
      <c r="AG26" s="538"/>
      <c r="AH26" s="538"/>
    </row>
    <row r="27" spans="1:34" s="79" customFormat="1" ht="24.75" customHeight="1" thickBot="1">
      <c r="A27" s="308"/>
      <c r="B27" s="1576" t="str">
        <f>CONCATENATE("Table 15.2 - Payments received by ",dms_TradingName, " from Related Party greater than $1,000,000")</f>
        <v>Table 15.2 - Payments received by AusNet (Gas) from Related Party greater than $1,000,000</v>
      </c>
      <c r="C27" s="1577"/>
      <c r="D27" s="1577"/>
      <c r="E27" s="1577"/>
      <c r="F27" s="1577"/>
      <c r="G27" s="1577"/>
      <c r="H27" s="1577"/>
      <c r="I27" s="1577"/>
      <c r="J27" s="1577"/>
      <c r="K27" s="1577"/>
      <c r="L27" s="1577"/>
      <c r="M27" s="1577"/>
      <c r="N27" s="1577"/>
      <c r="O27" s="1577"/>
      <c r="P27" s="1577"/>
      <c r="Q27" s="1577"/>
      <c r="R27" s="1577"/>
      <c r="S27" s="1577"/>
      <c r="T27" s="1577"/>
      <c r="U27" s="1577"/>
      <c r="V27" s="1577"/>
      <c r="W27" s="1578"/>
      <c r="X27"/>
      <c r="Y27"/>
      <c r="Z27"/>
      <c r="AA27" s="1576"/>
      <c r="AB27" s="1577"/>
      <c r="AC27" s="1577"/>
      <c r="AD27" s="1577"/>
      <c r="AE27" s="1577"/>
      <c r="AF27" s="1577"/>
      <c r="AG27" s="1577"/>
      <c r="AH27" s="1578"/>
    </row>
    <row r="28" spans="1:34" s="107" customFormat="1" ht="20.25" customHeight="1">
      <c r="A28" s="538"/>
      <c r="B28" s="3881" t="s">
        <v>25</v>
      </c>
      <c r="C28" s="3884" t="s">
        <v>291</v>
      </c>
      <c r="D28" s="3884" t="s">
        <v>10</v>
      </c>
      <c r="E28" s="3884" t="s">
        <v>26</v>
      </c>
      <c r="F28" s="3884" t="s">
        <v>27</v>
      </c>
      <c r="G28" s="3860" t="s">
        <v>664</v>
      </c>
      <c r="H28" s="845"/>
      <c r="I28" s="3701" t="s">
        <v>36</v>
      </c>
      <c r="J28" s="3702"/>
      <c r="K28" s="3702"/>
      <c r="L28" s="3702"/>
      <c r="M28" s="3702"/>
      <c r="N28" s="3703" t="s">
        <v>37</v>
      </c>
      <c r="O28" s="3704"/>
      <c r="P28" s="3704"/>
      <c r="Q28" s="3704"/>
      <c r="R28" s="3704"/>
      <c r="S28" s="3728" t="s">
        <v>73</v>
      </c>
      <c r="T28" s="3728"/>
      <c r="U28" s="3728"/>
      <c r="V28" s="3728"/>
      <c r="W28" s="3729"/>
      <c r="X28"/>
      <c r="Y28"/>
      <c r="Z28"/>
      <c r="AA28" s="3701" t="s">
        <v>36</v>
      </c>
      <c r="AB28" s="3702"/>
      <c r="AC28" s="3702"/>
      <c r="AD28" s="3702"/>
      <c r="AE28" s="3702"/>
      <c r="AF28" s="3703" t="s">
        <v>37</v>
      </c>
      <c r="AG28" s="3704"/>
      <c r="AH28" s="3705"/>
    </row>
    <row r="29" spans="1:34" ht="20.25" customHeight="1">
      <c r="A29" s="781"/>
      <c r="B29" s="3882"/>
      <c r="C29" s="3885"/>
      <c r="D29" s="3885"/>
      <c r="E29" s="3885"/>
      <c r="F29" s="3885"/>
      <c r="G29" s="3861"/>
      <c r="H29" s="846"/>
      <c r="I29" s="3550" t="s">
        <v>579</v>
      </c>
      <c r="J29" s="3551"/>
      <c r="K29" s="3551"/>
      <c r="L29" s="3551"/>
      <c r="M29" s="3551"/>
      <c r="N29" s="3551"/>
      <c r="O29" s="3551"/>
      <c r="P29" s="3595"/>
      <c r="Q29" s="3589" t="str">
        <f>CONCATENATE("$0's, real ",dms_DollarReal)</f>
        <v>$0's, real December 2017</v>
      </c>
      <c r="R29" s="3590"/>
      <c r="S29" s="3590"/>
      <c r="T29" s="3590"/>
      <c r="U29" s="3590"/>
      <c r="V29" s="3590"/>
      <c r="W29" s="3734"/>
      <c r="AA29" s="3550" t="str">
        <f>CONCATENATE("$0's, real ",dms_DollarReal)</f>
        <v>$0's, real December 2017</v>
      </c>
      <c r="AB29" s="3551"/>
      <c r="AC29" s="3551"/>
      <c r="AD29" s="3551"/>
      <c r="AE29" s="3551"/>
      <c r="AF29" s="3551"/>
      <c r="AG29" s="3551"/>
      <c r="AH29" s="3552"/>
    </row>
    <row r="30" spans="1:34" ht="20.25">
      <c r="A30" s="781"/>
      <c r="B30" s="3882"/>
      <c r="C30" s="3885"/>
      <c r="D30" s="3885"/>
      <c r="E30" s="3885"/>
      <c r="F30" s="3885"/>
      <c r="G30" s="3861"/>
      <c r="H30" s="846"/>
      <c r="I30" s="3550" t="s">
        <v>54</v>
      </c>
      <c r="J30" s="3551"/>
      <c r="K30" s="3551"/>
      <c r="L30" s="3551"/>
      <c r="M30" s="3551"/>
      <c r="N30" s="3551"/>
      <c r="O30" s="3551"/>
      <c r="P30" s="3595"/>
      <c r="Q30" s="3589" t="s">
        <v>55</v>
      </c>
      <c r="R30" s="3590"/>
      <c r="S30" s="3590"/>
      <c r="T30" s="3590"/>
      <c r="U30" s="3590"/>
      <c r="V30" s="3590"/>
      <c r="W30" s="3734"/>
      <c r="AA30" s="3550" t="s">
        <v>54</v>
      </c>
      <c r="AB30" s="3551"/>
      <c r="AC30" s="3551"/>
      <c r="AD30" s="3551"/>
      <c r="AE30" s="3551"/>
      <c r="AF30" s="3551"/>
      <c r="AG30" s="3551"/>
      <c r="AH30" s="3552"/>
    </row>
    <row r="31" spans="1:34" ht="15.75" thickBot="1">
      <c r="A31" s="781"/>
      <c r="B31" s="3882"/>
      <c r="C31" s="3885"/>
      <c r="D31" s="3885"/>
      <c r="E31" s="3885"/>
      <c r="F31" s="3885"/>
      <c r="G31" s="3861"/>
      <c r="H31" s="783"/>
      <c r="I31" s="391">
        <f t="array" ref="I31:M31">PRCP</f>
        <v>2008</v>
      </c>
      <c r="J31" s="390">
        <v>2009</v>
      </c>
      <c r="K31" s="390">
        <v>2010</v>
      </c>
      <c r="L31" s="390">
        <v>2011</v>
      </c>
      <c r="M31" s="390">
        <v>2012</v>
      </c>
      <c r="N31" s="392">
        <f>CRCP_y1</f>
        <v>2013</v>
      </c>
      <c r="O31" s="392">
        <f>CRCP_y2</f>
        <v>2014</v>
      </c>
      <c r="P31" s="392">
        <f>CRCP_y3</f>
        <v>2015</v>
      </c>
      <c r="Q31" s="392">
        <f>CRCP_y4</f>
        <v>2016</v>
      </c>
      <c r="R31" s="392">
        <f>CRCP_y5</f>
        <v>2017</v>
      </c>
      <c r="S31" s="390" t="str">
        <f t="array" ref="S31:W31">FRCP</f>
        <v>2018</v>
      </c>
      <c r="T31" s="390">
        <v>2019</v>
      </c>
      <c r="U31" s="390">
        <v>2020</v>
      </c>
      <c r="V31" s="390">
        <v>2021</v>
      </c>
      <c r="W31" s="498">
        <v>2022</v>
      </c>
      <c r="AA31" s="1789">
        <f t="array" ref="AA31:AE31">PRCP</f>
        <v>2008</v>
      </c>
      <c r="AB31" s="390">
        <v>2009</v>
      </c>
      <c r="AC31" s="390">
        <v>2010</v>
      </c>
      <c r="AD31" s="390">
        <v>2011</v>
      </c>
      <c r="AE31" s="390">
        <v>2012</v>
      </c>
      <c r="AF31" s="392">
        <f>CRCP_y1</f>
        <v>2013</v>
      </c>
      <c r="AG31" s="392">
        <f>CRCP_y2</f>
        <v>2014</v>
      </c>
      <c r="AH31" s="603">
        <f>CRCP_y3</f>
        <v>2015</v>
      </c>
    </row>
    <row r="32" spans="1:34">
      <c r="A32" s="781"/>
      <c r="B32" s="1175"/>
      <c r="C32" s="1176"/>
      <c r="D32" s="1176"/>
      <c r="E32" s="1176"/>
      <c r="F32" s="1176"/>
      <c r="G32" s="1176"/>
      <c r="H32" s="879" t="s">
        <v>85</v>
      </c>
      <c r="I32" s="881"/>
      <c r="J32" s="882"/>
      <c r="K32" s="882"/>
      <c r="L32" s="882"/>
      <c r="M32" s="883"/>
      <c r="N32" s="881"/>
      <c r="O32" s="882"/>
      <c r="P32" s="882"/>
      <c r="Q32" s="882"/>
      <c r="R32" s="882"/>
      <c r="S32" s="888"/>
      <c r="T32" s="882"/>
      <c r="U32" s="882"/>
      <c r="V32" s="882"/>
      <c r="W32" s="883"/>
      <c r="AA32" s="2214"/>
      <c r="AB32" s="2215"/>
      <c r="AC32" s="2215"/>
      <c r="AD32" s="2215"/>
      <c r="AE32" s="2216"/>
      <c r="AF32" s="2214"/>
      <c r="AG32" s="2215"/>
      <c r="AH32" s="2216"/>
    </row>
    <row r="33" spans="1:34">
      <c r="A33" s="781"/>
      <c r="B33" s="1177">
        <f t="shared" ref="B33:G33" si="4">B32</f>
        <v>0</v>
      </c>
      <c r="C33" s="1178">
        <f t="shared" si="4"/>
        <v>0</v>
      </c>
      <c r="D33" s="1178">
        <f t="shared" si="4"/>
        <v>0</v>
      </c>
      <c r="E33" s="1178">
        <f t="shared" si="4"/>
        <v>0</v>
      </c>
      <c r="F33" s="1178">
        <f t="shared" si="4"/>
        <v>0</v>
      </c>
      <c r="G33" s="1178">
        <f t="shared" si="4"/>
        <v>0</v>
      </c>
      <c r="H33" s="879" t="s">
        <v>86</v>
      </c>
      <c r="I33" s="823"/>
      <c r="J33" s="780"/>
      <c r="K33" s="780"/>
      <c r="L33" s="780"/>
      <c r="M33" s="884"/>
      <c r="N33" s="823"/>
      <c r="O33" s="780"/>
      <c r="P33" s="780"/>
      <c r="Q33" s="780"/>
      <c r="R33" s="780"/>
      <c r="S33" s="880"/>
      <c r="T33" s="780"/>
      <c r="U33" s="780"/>
      <c r="V33" s="780"/>
      <c r="W33" s="884"/>
      <c r="AA33" s="2217"/>
      <c r="AB33" s="2218"/>
      <c r="AC33" s="2218"/>
      <c r="AD33" s="2218"/>
      <c r="AE33" s="2219"/>
      <c r="AF33" s="2217"/>
      <c r="AG33" s="2218"/>
      <c r="AH33" s="2219"/>
    </row>
    <row r="34" spans="1:34">
      <c r="A34" s="781"/>
      <c r="B34" s="1179"/>
      <c r="C34" s="1180"/>
      <c r="D34" s="1180"/>
      <c r="E34" s="1180"/>
      <c r="F34" s="1180"/>
      <c r="G34" s="1180"/>
      <c r="H34" s="879" t="s">
        <v>85</v>
      </c>
      <c r="I34" s="823"/>
      <c r="J34" s="780"/>
      <c r="K34" s="780"/>
      <c r="L34" s="780"/>
      <c r="M34" s="884"/>
      <c r="N34" s="823"/>
      <c r="O34" s="780"/>
      <c r="P34" s="780"/>
      <c r="Q34" s="780"/>
      <c r="R34" s="780"/>
      <c r="S34" s="880"/>
      <c r="T34" s="780"/>
      <c r="U34" s="780"/>
      <c r="V34" s="780"/>
      <c r="W34" s="884"/>
      <c r="AA34" s="2217"/>
      <c r="AB34" s="2218"/>
      <c r="AC34" s="2218"/>
      <c r="AD34" s="2218"/>
      <c r="AE34" s="2219"/>
      <c r="AF34" s="2217"/>
      <c r="AG34" s="2218"/>
      <c r="AH34" s="2219"/>
    </row>
    <row r="35" spans="1:34">
      <c r="A35" s="781"/>
      <c r="B35" s="1177">
        <f t="shared" ref="B35:G35" si="5">B34</f>
        <v>0</v>
      </c>
      <c r="C35" s="1178">
        <f t="shared" si="5"/>
        <v>0</v>
      </c>
      <c r="D35" s="1178">
        <f t="shared" si="5"/>
        <v>0</v>
      </c>
      <c r="E35" s="1178">
        <f t="shared" si="5"/>
        <v>0</v>
      </c>
      <c r="F35" s="1178">
        <f t="shared" si="5"/>
        <v>0</v>
      </c>
      <c r="G35" s="1178">
        <f t="shared" si="5"/>
        <v>0</v>
      </c>
      <c r="H35" s="879" t="s">
        <v>86</v>
      </c>
      <c r="I35" s="823"/>
      <c r="J35" s="780"/>
      <c r="K35" s="780"/>
      <c r="L35" s="780"/>
      <c r="M35" s="884"/>
      <c r="N35" s="823"/>
      <c r="O35" s="780"/>
      <c r="P35" s="780"/>
      <c r="Q35" s="780"/>
      <c r="R35" s="780"/>
      <c r="S35" s="880"/>
      <c r="T35" s="780"/>
      <c r="U35" s="780"/>
      <c r="V35" s="780"/>
      <c r="W35" s="884"/>
      <c r="AA35" s="2217"/>
      <c r="AB35" s="2218"/>
      <c r="AC35" s="2218"/>
      <c r="AD35" s="2218"/>
      <c r="AE35" s="2219"/>
      <c r="AF35" s="2217"/>
      <c r="AG35" s="2218"/>
      <c r="AH35" s="2219"/>
    </row>
    <row r="36" spans="1:34">
      <c r="A36" s="781"/>
      <c r="B36" s="1179"/>
      <c r="C36" s="1180"/>
      <c r="D36" s="1180"/>
      <c r="E36" s="1180"/>
      <c r="F36" s="1180"/>
      <c r="G36" s="1180"/>
      <c r="H36" s="879" t="s">
        <v>85</v>
      </c>
      <c r="I36" s="823"/>
      <c r="J36" s="780"/>
      <c r="K36" s="780"/>
      <c r="L36" s="780"/>
      <c r="M36" s="884"/>
      <c r="N36" s="823"/>
      <c r="O36" s="780"/>
      <c r="P36" s="780"/>
      <c r="Q36" s="780"/>
      <c r="R36" s="780"/>
      <c r="S36" s="880"/>
      <c r="T36" s="780"/>
      <c r="U36" s="780"/>
      <c r="V36" s="780"/>
      <c r="W36" s="884"/>
      <c r="AA36" s="2217"/>
      <c r="AB36" s="2218"/>
      <c r="AC36" s="2218"/>
      <c r="AD36" s="2218"/>
      <c r="AE36" s="2219"/>
      <c r="AF36" s="2217"/>
      <c r="AG36" s="2218"/>
      <c r="AH36" s="2219"/>
    </row>
    <row r="37" spans="1:34">
      <c r="A37" s="781"/>
      <c r="B37" s="1177">
        <f t="shared" ref="B37:G37" si="6">B36</f>
        <v>0</v>
      </c>
      <c r="C37" s="1178">
        <f t="shared" si="6"/>
        <v>0</v>
      </c>
      <c r="D37" s="1178">
        <f t="shared" si="6"/>
        <v>0</v>
      </c>
      <c r="E37" s="1178">
        <f t="shared" si="6"/>
        <v>0</v>
      </c>
      <c r="F37" s="1178">
        <f t="shared" si="6"/>
        <v>0</v>
      </c>
      <c r="G37" s="1178">
        <f t="shared" si="6"/>
        <v>0</v>
      </c>
      <c r="H37" s="879" t="s">
        <v>86</v>
      </c>
      <c r="I37" s="823"/>
      <c r="J37" s="780"/>
      <c r="K37" s="780"/>
      <c r="L37" s="780"/>
      <c r="M37" s="884"/>
      <c r="N37" s="823"/>
      <c r="O37" s="780"/>
      <c r="P37" s="780"/>
      <c r="Q37" s="780"/>
      <c r="R37" s="780"/>
      <c r="S37" s="880"/>
      <c r="T37" s="780"/>
      <c r="U37" s="780"/>
      <c r="V37" s="780"/>
      <c r="W37" s="884"/>
      <c r="AA37" s="2217"/>
      <c r="AB37" s="2218"/>
      <c r="AC37" s="2218"/>
      <c r="AD37" s="2218"/>
      <c r="AE37" s="2219"/>
      <c r="AF37" s="2217"/>
      <c r="AG37" s="2218"/>
      <c r="AH37" s="2219"/>
    </row>
    <row r="38" spans="1:34">
      <c r="A38" s="781"/>
      <c r="B38" s="1179"/>
      <c r="C38" s="1180"/>
      <c r="D38" s="1180"/>
      <c r="E38" s="1180"/>
      <c r="F38" s="1180"/>
      <c r="G38" s="1180"/>
      <c r="H38" s="879" t="s">
        <v>85</v>
      </c>
      <c r="I38" s="823"/>
      <c r="J38" s="780"/>
      <c r="K38" s="780"/>
      <c r="L38" s="780"/>
      <c r="M38" s="884"/>
      <c r="N38" s="823"/>
      <c r="O38" s="780"/>
      <c r="P38" s="780"/>
      <c r="Q38" s="780"/>
      <c r="R38" s="780"/>
      <c r="S38" s="880"/>
      <c r="T38" s="780"/>
      <c r="U38" s="780"/>
      <c r="V38" s="780"/>
      <c r="W38" s="884"/>
      <c r="AA38" s="2217"/>
      <c r="AB38" s="2218"/>
      <c r="AC38" s="2218"/>
      <c r="AD38" s="2218"/>
      <c r="AE38" s="2219"/>
      <c r="AF38" s="2217"/>
      <c r="AG38" s="2218"/>
      <c r="AH38" s="2219"/>
    </row>
    <row r="39" spans="1:34" ht="13.5" thickBot="1">
      <c r="A39" s="781"/>
      <c r="B39" s="1177">
        <f t="shared" ref="B39:G39" si="7">B38</f>
        <v>0</v>
      </c>
      <c r="C39" s="1178">
        <f t="shared" si="7"/>
        <v>0</v>
      </c>
      <c r="D39" s="1178">
        <f t="shared" si="7"/>
        <v>0</v>
      </c>
      <c r="E39" s="1178">
        <f t="shared" si="7"/>
        <v>0</v>
      </c>
      <c r="F39" s="1178">
        <f t="shared" si="7"/>
        <v>0</v>
      </c>
      <c r="G39" s="1178">
        <f t="shared" si="7"/>
        <v>0</v>
      </c>
      <c r="H39" s="879" t="s">
        <v>86</v>
      </c>
      <c r="I39" s="885"/>
      <c r="J39" s="886"/>
      <c r="K39" s="886"/>
      <c r="L39" s="886"/>
      <c r="M39" s="887"/>
      <c r="N39" s="885"/>
      <c r="O39" s="886"/>
      <c r="P39" s="886"/>
      <c r="Q39" s="886"/>
      <c r="R39" s="886"/>
      <c r="S39" s="889"/>
      <c r="T39" s="886"/>
      <c r="U39" s="886"/>
      <c r="V39" s="886"/>
      <c r="W39" s="887"/>
      <c r="AA39" s="2220"/>
      <c r="AB39" s="2221"/>
      <c r="AC39" s="2221"/>
      <c r="AD39" s="2221"/>
      <c r="AE39" s="2222"/>
      <c r="AF39" s="2220"/>
      <c r="AG39" s="2221"/>
      <c r="AH39" s="2222"/>
    </row>
    <row r="40" spans="1:34" s="70" customFormat="1" ht="28.5" customHeight="1" thickBot="1">
      <c r="A40" s="360"/>
      <c r="B40" s="1711" t="s">
        <v>125</v>
      </c>
      <c r="C40" s="748"/>
      <c r="D40" s="310"/>
      <c r="E40" s="310"/>
      <c r="F40" s="310"/>
      <c r="G40" s="310"/>
      <c r="H40" s="310"/>
      <c r="I40" s="310"/>
      <c r="J40" s="310"/>
      <c r="K40" s="310"/>
      <c r="L40" s="310"/>
      <c r="M40" s="310"/>
      <c r="N40" s="310"/>
      <c r="O40" s="310"/>
      <c r="P40" s="310"/>
      <c r="Q40" s="310"/>
      <c r="R40" s="310"/>
      <c r="S40" s="310"/>
      <c r="T40" s="310"/>
      <c r="U40" s="310"/>
      <c r="V40" s="310"/>
      <c r="W40" s="458"/>
      <c r="X40"/>
      <c r="Y40"/>
      <c r="Z40"/>
      <c r="AA40" s="2135"/>
      <c r="AB40" s="2116"/>
      <c r="AC40" s="2116"/>
      <c r="AD40" s="2116"/>
      <c r="AE40" s="2116"/>
      <c r="AF40" s="2116"/>
      <c r="AG40" s="2116"/>
      <c r="AH40" s="2119"/>
    </row>
    <row r="41" spans="1:34" ht="60.75" customHeight="1" thickBot="1">
      <c r="A41" s="781"/>
      <c r="B41" s="781"/>
      <c r="C41" s="781"/>
      <c r="D41" s="781"/>
      <c r="E41" s="781"/>
      <c r="F41" s="781"/>
      <c r="G41" s="781"/>
      <c r="H41" s="784"/>
      <c r="I41" s="781"/>
      <c r="J41" s="781"/>
      <c r="K41" s="781"/>
      <c r="L41" s="781"/>
      <c r="M41" s="781"/>
      <c r="N41" s="781"/>
      <c r="O41" s="781"/>
      <c r="P41" s="781"/>
      <c r="Q41" s="781"/>
      <c r="R41" s="781"/>
      <c r="S41" s="781"/>
      <c r="T41" s="781"/>
      <c r="U41" s="781"/>
      <c r="V41" s="781"/>
      <c r="W41" s="781"/>
      <c r="AA41" s="781"/>
      <c r="AB41" s="781"/>
      <c r="AC41" s="781"/>
      <c r="AD41" s="781"/>
      <c r="AE41" s="781"/>
      <c r="AF41" s="784"/>
      <c r="AG41" s="781"/>
      <c r="AH41" s="781"/>
    </row>
    <row r="42" spans="1:34" s="79" customFormat="1" ht="24.75" customHeight="1" thickBot="1">
      <c r="A42" s="308"/>
      <c r="B42" s="1576" t="s">
        <v>584</v>
      </c>
      <c r="C42" s="1577"/>
      <c r="D42" s="1577"/>
      <c r="E42" s="1577"/>
      <c r="F42" s="1577"/>
      <c r="G42" s="1577"/>
      <c r="H42" s="1577"/>
      <c r="I42" s="1577"/>
      <c r="J42" s="1577"/>
      <c r="K42" s="1577"/>
      <c r="L42" s="1577"/>
      <c r="M42" s="1577"/>
      <c r="N42" s="1577"/>
      <c r="O42" s="1577"/>
      <c r="P42" s="1577"/>
      <c r="Q42" s="1577"/>
      <c r="R42" s="1577"/>
      <c r="S42" s="1577"/>
      <c r="T42" s="1577"/>
      <c r="U42" s="1577"/>
      <c r="V42" s="1577"/>
      <c r="W42" s="1578"/>
      <c r="X42"/>
      <c r="Y42"/>
      <c r="Z42"/>
      <c r="AA42" s="1576"/>
      <c r="AB42" s="1577"/>
      <c r="AC42" s="1577"/>
      <c r="AD42" s="1577"/>
      <c r="AE42" s="1577"/>
      <c r="AF42" s="1577"/>
      <c r="AG42" s="1577"/>
      <c r="AH42" s="1578"/>
    </row>
    <row r="43" spans="1:34" ht="17.25" customHeight="1">
      <c r="A43" s="781"/>
      <c r="B43" s="1430"/>
      <c r="C43" s="1431"/>
      <c r="D43" s="1431"/>
      <c r="E43" s="1431"/>
      <c r="F43" s="1431"/>
      <c r="G43" s="1431"/>
      <c r="H43" s="1431"/>
      <c r="I43" s="3601" t="s">
        <v>36</v>
      </c>
      <c r="J43" s="3549"/>
      <c r="K43" s="3549"/>
      <c r="L43" s="3549"/>
      <c r="M43" s="3549"/>
      <c r="N43" s="3602" t="s">
        <v>37</v>
      </c>
      <c r="O43" s="3603"/>
      <c r="P43" s="3603"/>
      <c r="Q43" s="3603"/>
      <c r="R43" s="3603"/>
      <c r="S43" s="3543" t="s">
        <v>73</v>
      </c>
      <c r="T43" s="3543"/>
      <c r="U43" s="3543"/>
      <c r="V43" s="3543"/>
      <c r="W43" s="3678"/>
      <c r="X43" s="781"/>
      <c r="Y43" s="781"/>
      <c r="Z43" s="781"/>
      <c r="AA43" s="3601" t="s">
        <v>36</v>
      </c>
      <c r="AB43" s="3549"/>
      <c r="AC43" s="3549"/>
      <c r="AD43" s="3549"/>
      <c r="AE43" s="3549"/>
      <c r="AF43" s="3602" t="s">
        <v>37</v>
      </c>
      <c r="AG43" s="3603"/>
      <c r="AH43" s="3604"/>
    </row>
    <row r="44" spans="1:34" ht="17.25" customHeight="1">
      <c r="A44" s="781"/>
      <c r="B44" s="1432"/>
      <c r="C44" s="1433"/>
      <c r="D44" s="1433"/>
      <c r="E44" s="1433"/>
      <c r="F44" s="1433"/>
      <c r="G44" s="1433"/>
      <c r="H44" s="1433"/>
      <c r="I44" s="3550" t="s">
        <v>579</v>
      </c>
      <c r="J44" s="3551"/>
      <c r="K44" s="3551"/>
      <c r="L44" s="3551"/>
      <c r="M44" s="3551"/>
      <c r="N44" s="3551"/>
      <c r="O44" s="3551"/>
      <c r="P44" s="3595"/>
      <c r="Q44" s="3589" t="str">
        <f>CONCATENATE("$0's, real ",dms_DollarReal)</f>
        <v>$0's, real December 2017</v>
      </c>
      <c r="R44" s="3590"/>
      <c r="S44" s="3590"/>
      <c r="T44" s="3590"/>
      <c r="U44" s="3590"/>
      <c r="V44" s="3590"/>
      <c r="W44" s="3591"/>
      <c r="X44" s="781"/>
      <c r="Y44" s="781"/>
      <c r="Z44" s="781"/>
      <c r="AA44" s="3550" t="str">
        <f>CONCATENATE("$0's, real ",dms_DollarReal)</f>
        <v>$0's, real December 2017</v>
      </c>
      <c r="AB44" s="3551"/>
      <c r="AC44" s="3551"/>
      <c r="AD44" s="3551"/>
      <c r="AE44" s="3551"/>
      <c r="AF44" s="3551"/>
      <c r="AG44" s="3551"/>
      <c r="AH44" s="3552"/>
    </row>
    <row r="45" spans="1:34" ht="17.25" customHeight="1">
      <c r="A45" s="781"/>
      <c r="B45" s="1432"/>
      <c r="C45" s="1433"/>
      <c r="D45" s="1433"/>
      <c r="E45" s="1433"/>
      <c r="F45" s="1433"/>
      <c r="G45" s="1433"/>
      <c r="H45" s="1433"/>
      <c r="I45" s="3550" t="s">
        <v>54</v>
      </c>
      <c r="J45" s="3551"/>
      <c r="K45" s="3551"/>
      <c r="L45" s="3551"/>
      <c r="M45" s="3551"/>
      <c r="N45" s="3551"/>
      <c r="O45" s="3551"/>
      <c r="P45" s="3595"/>
      <c r="Q45" s="3589" t="s">
        <v>55</v>
      </c>
      <c r="R45" s="3590"/>
      <c r="S45" s="3590"/>
      <c r="T45" s="3590"/>
      <c r="U45" s="3590"/>
      <c r="V45" s="3590"/>
      <c r="W45" s="3591"/>
      <c r="X45" s="781"/>
      <c r="Y45" s="781"/>
      <c r="Z45" s="781"/>
      <c r="AA45" s="3550" t="s">
        <v>54</v>
      </c>
      <c r="AB45" s="3551"/>
      <c r="AC45" s="3551"/>
      <c r="AD45" s="3551"/>
      <c r="AE45" s="3551"/>
      <c r="AF45" s="3551"/>
      <c r="AG45" s="3551"/>
      <c r="AH45" s="3552"/>
    </row>
    <row r="46" spans="1:34" ht="17.25" customHeight="1" thickBot="1">
      <c r="A46" s="781"/>
      <c r="B46" s="1432"/>
      <c r="C46" s="1433"/>
      <c r="D46" s="1433"/>
      <c r="E46" s="1433"/>
      <c r="F46" s="1433"/>
      <c r="G46" s="1433"/>
      <c r="H46" s="1433"/>
      <c r="I46" s="1789">
        <f t="array" ref="I46:M46">PRCP</f>
        <v>2008</v>
      </c>
      <c r="J46" s="390">
        <v>2009</v>
      </c>
      <c r="K46" s="390">
        <v>2010</v>
      </c>
      <c r="L46" s="390">
        <v>2011</v>
      </c>
      <c r="M46" s="390">
        <v>2012</v>
      </c>
      <c r="N46" s="392">
        <f>CRCP_y1</f>
        <v>2013</v>
      </c>
      <c r="O46" s="392">
        <f>CRCP_y2</f>
        <v>2014</v>
      </c>
      <c r="P46" s="392">
        <f>CRCP_y3</f>
        <v>2015</v>
      </c>
      <c r="Q46" s="392">
        <f>CRCP_y4</f>
        <v>2016</v>
      </c>
      <c r="R46" s="392">
        <f>CRCP_y5</f>
        <v>2017</v>
      </c>
      <c r="S46" s="390" t="str">
        <f t="array" ref="S46:W46">FRCP</f>
        <v>2018</v>
      </c>
      <c r="T46" s="390">
        <v>2019</v>
      </c>
      <c r="U46" s="390">
        <v>2020</v>
      </c>
      <c r="V46" s="390">
        <v>2021</v>
      </c>
      <c r="W46" s="498">
        <v>2022</v>
      </c>
      <c r="X46" s="781"/>
      <c r="Y46" s="781"/>
      <c r="Z46" s="781"/>
      <c r="AA46" s="1789">
        <f t="array" ref="AA46:AE46">PRCP</f>
        <v>2008</v>
      </c>
      <c r="AB46" s="390">
        <v>2009</v>
      </c>
      <c r="AC46" s="390">
        <v>2010</v>
      </c>
      <c r="AD46" s="390">
        <v>2011</v>
      </c>
      <c r="AE46" s="390">
        <v>2012</v>
      </c>
      <c r="AF46" s="392">
        <f>CRCP_y1</f>
        <v>2013</v>
      </c>
      <c r="AG46" s="392">
        <f>CRCP_y2</f>
        <v>2014</v>
      </c>
      <c r="AH46" s="603">
        <f>CRCP_y3</f>
        <v>2015</v>
      </c>
    </row>
    <row r="47" spans="1:34">
      <c r="A47" s="781"/>
      <c r="B47" s="3891" t="s">
        <v>292</v>
      </c>
      <c r="C47" s="3892"/>
      <c r="D47" s="3892"/>
      <c r="E47" s="3892"/>
      <c r="F47" s="3892"/>
      <c r="G47" s="3892"/>
      <c r="H47" s="3893"/>
      <c r="I47" s="1709"/>
      <c r="J47" s="463"/>
      <c r="K47" s="463"/>
      <c r="L47" s="463"/>
      <c r="M47" s="562"/>
      <c r="N47" s="2234"/>
      <c r="O47" s="873"/>
      <c r="P47" s="873"/>
      <c r="Q47" s="873"/>
      <c r="R47" s="873"/>
      <c r="S47" s="2234"/>
      <c r="T47" s="873"/>
      <c r="U47" s="873"/>
      <c r="V47" s="873"/>
      <c r="W47" s="874"/>
      <c r="X47" s="781"/>
      <c r="Y47" s="781"/>
      <c r="Z47" s="781"/>
      <c r="AA47" s="1926"/>
      <c r="AB47" s="508"/>
      <c r="AC47" s="508"/>
      <c r="AD47" s="508"/>
      <c r="AE47" s="587"/>
      <c r="AF47" s="2205"/>
      <c r="AG47" s="2206"/>
      <c r="AH47" s="2207"/>
    </row>
    <row r="48" spans="1:34">
      <c r="A48" s="781"/>
      <c r="B48" s="3862" t="s">
        <v>292</v>
      </c>
      <c r="C48" s="3863"/>
      <c r="D48" s="3863"/>
      <c r="E48" s="3863"/>
      <c r="F48" s="3863"/>
      <c r="G48" s="3863"/>
      <c r="H48" s="3864"/>
      <c r="I48" s="466"/>
      <c r="J48" s="549"/>
      <c r="K48" s="549"/>
      <c r="L48" s="549"/>
      <c r="M48" s="563"/>
      <c r="N48" s="890"/>
      <c r="O48" s="785"/>
      <c r="P48" s="785"/>
      <c r="Q48" s="785"/>
      <c r="R48" s="785"/>
      <c r="S48" s="890"/>
      <c r="T48" s="785"/>
      <c r="U48" s="785"/>
      <c r="V48" s="785"/>
      <c r="W48" s="891"/>
      <c r="X48" s="781"/>
      <c r="Y48" s="781"/>
      <c r="Z48" s="781"/>
      <c r="AA48" s="2170"/>
      <c r="AB48" s="2171"/>
      <c r="AC48" s="2171"/>
      <c r="AD48" s="2171"/>
      <c r="AE48" s="2172"/>
      <c r="AF48" s="2208"/>
      <c r="AG48" s="2209"/>
      <c r="AH48" s="2210"/>
    </row>
    <row r="49" spans="1:34">
      <c r="A49" s="781"/>
      <c r="B49" s="3862" t="s">
        <v>292</v>
      </c>
      <c r="C49" s="3863"/>
      <c r="D49" s="3863"/>
      <c r="E49" s="3863"/>
      <c r="F49" s="3863"/>
      <c r="G49" s="3863"/>
      <c r="H49" s="3864"/>
      <c r="I49" s="514"/>
      <c r="J49" s="513"/>
      <c r="K49" s="513"/>
      <c r="L49" s="513"/>
      <c r="M49" s="515"/>
      <c r="N49" s="875"/>
      <c r="O49" s="779"/>
      <c r="P49" s="779"/>
      <c r="Q49" s="779"/>
      <c r="R49" s="779"/>
      <c r="S49" s="875"/>
      <c r="T49" s="779"/>
      <c r="U49" s="779"/>
      <c r="V49" s="779"/>
      <c r="W49" s="876"/>
      <c r="X49" s="781"/>
      <c r="Y49" s="781"/>
      <c r="Z49" s="781"/>
      <c r="AA49" s="517"/>
      <c r="AB49" s="518"/>
      <c r="AC49" s="518"/>
      <c r="AD49" s="518"/>
      <c r="AE49" s="519"/>
      <c r="AF49" s="898"/>
      <c r="AG49" s="792"/>
      <c r="AH49" s="899"/>
    </row>
    <row r="50" spans="1:34">
      <c r="A50" s="781"/>
      <c r="B50" s="3862" t="s">
        <v>292</v>
      </c>
      <c r="C50" s="3863"/>
      <c r="D50" s="3863"/>
      <c r="E50" s="3863"/>
      <c r="F50" s="3863"/>
      <c r="G50" s="3863"/>
      <c r="H50" s="3864"/>
      <c r="I50" s="466"/>
      <c r="J50" s="549"/>
      <c r="K50" s="549"/>
      <c r="L50" s="549"/>
      <c r="M50" s="563"/>
      <c r="N50" s="890"/>
      <c r="O50" s="785"/>
      <c r="P50" s="785"/>
      <c r="Q50" s="785"/>
      <c r="R50" s="785"/>
      <c r="S50" s="890"/>
      <c r="T50" s="785"/>
      <c r="U50" s="785"/>
      <c r="V50" s="785"/>
      <c r="W50" s="891"/>
      <c r="X50" s="781"/>
      <c r="Y50" s="781"/>
      <c r="Z50" s="781"/>
      <c r="AA50" s="2170"/>
      <c r="AB50" s="2171"/>
      <c r="AC50" s="2171"/>
      <c r="AD50" s="2171"/>
      <c r="AE50" s="2172"/>
      <c r="AF50" s="2208"/>
      <c r="AG50" s="2209"/>
      <c r="AH50" s="2210"/>
    </row>
    <row r="51" spans="1:34">
      <c r="A51" s="781"/>
      <c r="B51" s="3862" t="s">
        <v>292</v>
      </c>
      <c r="C51" s="3863"/>
      <c r="D51" s="3863"/>
      <c r="E51" s="3863"/>
      <c r="F51" s="3863"/>
      <c r="G51" s="3863"/>
      <c r="H51" s="3864"/>
      <c r="I51" s="514"/>
      <c r="J51" s="513"/>
      <c r="K51" s="513"/>
      <c r="L51" s="513"/>
      <c r="M51" s="515"/>
      <c r="N51" s="875"/>
      <c r="O51" s="779"/>
      <c r="P51" s="779"/>
      <c r="Q51" s="779"/>
      <c r="R51" s="779"/>
      <c r="S51" s="875"/>
      <c r="T51" s="779"/>
      <c r="U51" s="779"/>
      <c r="V51" s="779"/>
      <c r="W51" s="876"/>
      <c r="X51" s="781"/>
      <c r="Y51" s="781"/>
      <c r="Z51" s="781"/>
      <c r="AA51" s="517"/>
      <c r="AB51" s="518"/>
      <c r="AC51" s="518"/>
      <c r="AD51" s="518"/>
      <c r="AE51" s="519"/>
      <c r="AF51" s="898"/>
      <c r="AG51" s="792"/>
      <c r="AH51" s="899"/>
    </row>
    <row r="52" spans="1:34">
      <c r="A52" s="781"/>
      <c r="B52" s="3862" t="s">
        <v>292</v>
      </c>
      <c r="C52" s="3863"/>
      <c r="D52" s="3863"/>
      <c r="E52" s="3863"/>
      <c r="F52" s="3863"/>
      <c r="G52" s="3863"/>
      <c r="H52" s="3864"/>
      <c r="I52" s="466"/>
      <c r="J52" s="549"/>
      <c r="K52" s="549"/>
      <c r="L52" s="549"/>
      <c r="M52" s="563"/>
      <c r="N52" s="890"/>
      <c r="O52" s="785"/>
      <c r="P52" s="785"/>
      <c r="Q52" s="785"/>
      <c r="R52" s="785"/>
      <c r="S52" s="890"/>
      <c r="T52" s="785"/>
      <c r="U52" s="785"/>
      <c r="V52" s="785"/>
      <c r="W52" s="891"/>
      <c r="X52" s="781"/>
      <c r="Y52" s="781"/>
      <c r="Z52" s="781"/>
      <c r="AA52" s="2170"/>
      <c r="AB52" s="2171"/>
      <c r="AC52" s="2171"/>
      <c r="AD52" s="2171"/>
      <c r="AE52" s="2172"/>
      <c r="AF52" s="2208"/>
      <c r="AG52" s="2209"/>
      <c r="AH52" s="2210"/>
    </row>
    <row r="53" spans="1:34" ht="13.5" thickBot="1">
      <c r="A53" s="781"/>
      <c r="B53" s="3865" t="s">
        <v>292</v>
      </c>
      <c r="C53" s="3866"/>
      <c r="D53" s="3866"/>
      <c r="E53" s="3866"/>
      <c r="F53" s="3866"/>
      <c r="G53" s="3866"/>
      <c r="H53" s="3867"/>
      <c r="I53" s="1792"/>
      <c r="J53" s="465"/>
      <c r="K53" s="465"/>
      <c r="L53" s="465"/>
      <c r="M53" s="643"/>
      <c r="N53" s="2235"/>
      <c r="O53" s="877"/>
      <c r="P53" s="877"/>
      <c r="Q53" s="877"/>
      <c r="R53" s="877"/>
      <c r="S53" s="2235"/>
      <c r="T53" s="877"/>
      <c r="U53" s="877"/>
      <c r="V53" s="877"/>
      <c r="W53" s="878"/>
      <c r="X53" s="781"/>
      <c r="Y53" s="781"/>
      <c r="Z53" s="781"/>
      <c r="AA53" s="1938"/>
      <c r="AB53" s="567"/>
      <c r="AC53" s="567"/>
      <c r="AD53" s="567"/>
      <c r="AE53" s="568"/>
      <c r="AF53" s="2211"/>
      <c r="AG53" s="2212"/>
      <c r="AH53" s="2213"/>
    </row>
    <row r="54" spans="1:34" s="70" customFormat="1" ht="28.5" customHeight="1" thickBot="1">
      <c r="A54" s="360"/>
      <c r="B54" s="3610" t="s">
        <v>125</v>
      </c>
      <c r="C54" s="3868"/>
      <c r="D54" s="3868"/>
      <c r="E54" s="3868"/>
      <c r="F54" s="3868"/>
      <c r="G54" s="3868"/>
      <c r="H54" s="3868"/>
      <c r="I54" s="748"/>
      <c r="J54" s="310"/>
      <c r="K54" s="310"/>
      <c r="L54" s="310"/>
      <c r="M54" s="310"/>
      <c r="N54" s="310"/>
      <c r="O54" s="310"/>
      <c r="P54" s="310"/>
      <c r="Q54" s="310"/>
      <c r="R54" s="310"/>
      <c r="S54" s="310"/>
      <c r="T54" s="310"/>
      <c r="U54" s="310"/>
      <c r="V54" s="310"/>
      <c r="W54" s="458"/>
      <c r="X54" s="288"/>
      <c r="Y54" s="288"/>
      <c r="Z54" s="288"/>
      <c r="AA54" s="2135"/>
      <c r="AB54" s="2116"/>
      <c r="AC54" s="2116"/>
      <c r="AD54" s="2116"/>
      <c r="AE54" s="2116"/>
      <c r="AF54" s="2116"/>
      <c r="AG54" s="2116"/>
      <c r="AH54" s="2119"/>
    </row>
    <row r="55" spans="1:34" ht="46.5" customHeight="1">
      <c r="A55" s="781"/>
      <c r="B55" s="781"/>
      <c r="C55" s="781"/>
      <c r="D55" s="781"/>
      <c r="E55" s="781"/>
      <c r="F55" s="781"/>
      <c r="G55" s="781"/>
      <c r="H55" s="781"/>
      <c r="I55" s="308"/>
      <c r="J55" s="308"/>
      <c r="K55" s="308"/>
      <c r="L55" s="308"/>
      <c r="M55" s="308"/>
      <c r="N55" s="308"/>
      <c r="O55" s="308"/>
      <c r="P55" s="308"/>
      <c r="Q55" s="308"/>
      <c r="R55" s="308"/>
      <c r="S55" s="781"/>
      <c r="T55" s="781"/>
      <c r="U55" s="781"/>
      <c r="V55" s="781"/>
      <c r="W55" s="781"/>
      <c r="X55" s="781"/>
      <c r="Y55" s="781"/>
      <c r="Z55" s="781"/>
      <c r="AA55" s="308"/>
      <c r="AB55" s="308"/>
      <c r="AC55" s="308"/>
      <c r="AD55" s="308"/>
      <c r="AE55" s="308"/>
      <c r="AF55" s="308"/>
      <c r="AG55" s="308"/>
      <c r="AH55" s="308"/>
    </row>
    <row r="56" spans="1:34" s="79" customFormat="1" ht="24.75" hidden="1" customHeight="1" thickBot="1">
      <c r="A56" s="308"/>
      <c r="B56" s="1576" t="s">
        <v>535</v>
      </c>
      <c r="C56" s="1577"/>
      <c r="D56" s="1577"/>
      <c r="E56" s="1577"/>
      <c r="F56" s="1577"/>
      <c r="G56" s="1577"/>
      <c r="H56" s="1577"/>
      <c r="I56" s="1577"/>
      <c r="J56" s="1577"/>
      <c r="K56" s="1577"/>
      <c r="L56" s="1577"/>
      <c r="M56" s="1577"/>
      <c r="N56" s="1577"/>
      <c r="O56" s="1577"/>
      <c r="P56" s="1577"/>
      <c r="Q56" s="1577"/>
      <c r="R56" s="1578"/>
      <c r="S56" s="308"/>
      <c r="T56" s="308"/>
      <c r="U56" s="308"/>
      <c r="V56" s="308"/>
      <c r="W56" s="308"/>
      <c r="X56" s="308"/>
      <c r="Y56"/>
      <c r="Z56"/>
      <c r="AA56" s="1577"/>
      <c r="AB56" s="1577"/>
      <c r="AC56" s="1577"/>
      <c r="AD56" s="1577"/>
      <c r="AE56" s="1577"/>
      <c r="AF56" s="1577"/>
      <c r="AG56" s="1577"/>
      <c r="AH56" s="1577"/>
    </row>
    <row r="57" spans="1:34" ht="17.25" hidden="1" customHeight="1">
      <c r="A57" s="781"/>
      <c r="B57" s="3888"/>
      <c r="C57" s="2230"/>
      <c r="D57" s="2230"/>
      <c r="E57" s="2230"/>
      <c r="F57" s="2230"/>
      <c r="G57" s="2230"/>
      <c r="H57" s="2230"/>
      <c r="I57" s="3620" t="s">
        <v>36</v>
      </c>
      <c r="J57" s="3549"/>
      <c r="K57" s="3549"/>
      <c r="L57" s="3549"/>
      <c r="M57" s="3549"/>
      <c r="N57" s="3602" t="s">
        <v>37</v>
      </c>
      <c r="O57" s="3603"/>
      <c r="P57" s="3603"/>
      <c r="Q57" s="3603"/>
      <c r="R57" s="3604"/>
      <c r="S57" s="781"/>
      <c r="T57" s="781"/>
      <c r="U57" s="781"/>
      <c r="V57" s="781"/>
      <c r="W57" s="781"/>
      <c r="X57" s="781"/>
      <c r="Y57" s="781"/>
      <c r="Z57" s="781"/>
      <c r="AA57" s="3620" t="s">
        <v>36</v>
      </c>
      <c r="AB57" s="3549"/>
      <c r="AC57" s="3549"/>
      <c r="AD57" s="3549"/>
      <c r="AE57" s="3549"/>
      <c r="AF57" s="3602" t="s">
        <v>37</v>
      </c>
      <c r="AG57" s="3603"/>
      <c r="AH57" s="3603"/>
    </row>
    <row r="58" spans="1:34" ht="24.75" hidden="1">
      <c r="A58" s="781"/>
      <c r="B58" s="3889"/>
      <c r="C58" s="2231"/>
      <c r="D58" s="2231"/>
      <c r="E58" s="2231"/>
      <c r="F58" s="2231"/>
      <c r="G58" s="2231"/>
      <c r="H58" s="2231"/>
      <c r="I58" s="3550" t="s">
        <v>579</v>
      </c>
      <c r="J58" s="3551"/>
      <c r="K58" s="3551"/>
      <c r="L58" s="3551"/>
      <c r="M58" s="3551"/>
      <c r="N58" s="3551"/>
      <c r="O58" s="3551"/>
      <c r="P58" s="3551"/>
      <c r="Q58" s="3551"/>
      <c r="R58" s="3552"/>
      <c r="S58"/>
      <c r="T58"/>
      <c r="U58"/>
      <c r="V58"/>
      <c r="W58"/>
      <c r="Y58" s="781"/>
      <c r="Z58" s="781"/>
      <c r="AA58" s="3550" t="s">
        <v>579</v>
      </c>
      <c r="AB58" s="3551"/>
      <c r="AC58" s="3551"/>
      <c r="AD58" s="3551"/>
      <c r="AE58" s="3551"/>
      <c r="AF58" s="3551"/>
      <c r="AG58" s="3551"/>
      <c r="AH58" s="3551"/>
    </row>
    <row r="59" spans="1:34" ht="17.25" hidden="1" customHeight="1">
      <c r="A59" s="781"/>
      <c r="B59" s="3889"/>
      <c r="C59" s="2231"/>
      <c r="D59" s="2231"/>
      <c r="E59" s="2231"/>
      <c r="F59" s="2231"/>
      <c r="G59" s="2231"/>
      <c r="H59" s="2231"/>
      <c r="I59" s="3550" t="s">
        <v>74</v>
      </c>
      <c r="J59" s="3551"/>
      <c r="K59" s="3551"/>
      <c r="L59" s="3551"/>
      <c r="M59" s="3551"/>
      <c r="N59" s="3551"/>
      <c r="O59" s="3551"/>
      <c r="P59" s="3551"/>
      <c r="Q59" s="3551"/>
      <c r="R59" s="3552"/>
      <c r="S59" s="781"/>
      <c r="T59" s="781"/>
      <c r="U59" s="781"/>
      <c r="V59" s="781"/>
      <c r="W59" s="781"/>
      <c r="X59" s="781"/>
      <c r="Y59" s="781"/>
      <c r="Z59" s="781"/>
      <c r="AA59" s="3550" t="s">
        <v>74</v>
      </c>
      <c r="AB59" s="3551"/>
      <c r="AC59" s="3551"/>
      <c r="AD59" s="3551"/>
      <c r="AE59" s="3551"/>
      <c r="AF59" s="3551"/>
      <c r="AG59" s="3551"/>
      <c r="AH59" s="3551"/>
    </row>
    <row r="60" spans="1:34" ht="17.25" hidden="1" customHeight="1" thickBot="1">
      <c r="A60" s="781"/>
      <c r="B60" s="3890"/>
      <c r="C60" s="2162"/>
      <c r="D60" s="2162"/>
      <c r="E60" s="2162"/>
      <c r="F60" s="2162"/>
      <c r="G60" s="2162"/>
      <c r="H60" s="2162"/>
      <c r="I60" s="391">
        <f t="array" ref="I60:M60">PRCP</f>
        <v>2008</v>
      </c>
      <c r="J60" s="390">
        <v>2009</v>
      </c>
      <c r="K60" s="390">
        <v>2010</v>
      </c>
      <c r="L60" s="390">
        <v>2011</v>
      </c>
      <c r="M60" s="390">
        <v>2012</v>
      </c>
      <c r="N60" s="392">
        <f>CRCP_y1</f>
        <v>2013</v>
      </c>
      <c r="O60" s="392">
        <f>CRCP_y2</f>
        <v>2014</v>
      </c>
      <c r="P60" s="392">
        <f>CRCP_y3</f>
        <v>2015</v>
      </c>
      <c r="Q60" s="392">
        <f>CRCP_y4</f>
        <v>2016</v>
      </c>
      <c r="R60" s="603">
        <f>CRCP_y5</f>
        <v>2017</v>
      </c>
      <c r="S60" s="781"/>
      <c r="T60" s="781"/>
      <c r="U60" s="781"/>
      <c r="V60" s="781"/>
      <c r="W60" s="781"/>
      <c r="X60" s="781"/>
      <c r="Y60" s="781"/>
      <c r="Z60" s="781"/>
      <c r="AA60" s="391">
        <f t="array" ref="AA60:AE60">PRCP</f>
        <v>2008</v>
      </c>
      <c r="AB60" s="390">
        <v>2009</v>
      </c>
      <c r="AC60" s="390">
        <v>2010</v>
      </c>
      <c r="AD60" s="390">
        <v>2011</v>
      </c>
      <c r="AE60" s="390">
        <v>2012</v>
      </c>
      <c r="AF60" s="392">
        <f>CRCP_y1</f>
        <v>2013</v>
      </c>
      <c r="AG60" s="392">
        <f>CRCP_y2</f>
        <v>2014</v>
      </c>
      <c r="AH60" s="392">
        <f>CRCP_y3</f>
        <v>2015</v>
      </c>
    </row>
    <row r="61" spans="1:34" hidden="1">
      <c r="A61" s="781"/>
      <c r="B61" s="793" t="s">
        <v>292</v>
      </c>
      <c r="C61" s="813"/>
      <c r="D61" s="813"/>
      <c r="E61" s="813"/>
      <c r="F61" s="813"/>
      <c r="G61" s="813"/>
      <c r="H61" s="813"/>
      <c r="I61" s="596"/>
      <c r="J61" s="597"/>
      <c r="K61" s="597"/>
      <c r="L61" s="597"/>
      <c r="M61" s="598"/>
      <c r="N61" s="895"/>
      <c r="O61" s="896"/>
      <c r="P61" s="896"/>
      <c r="Q61" s="896"/>
      <c r="R61" s="897"/>
      <c r="S61" s="781"/>
      <c r="T61" s="781"/>
      <c r="U61" s="781"/>
      <c r="V61" s="781"/>
      <c r="W61" s="781"/>
      <c r="X61" s="781"/>
      <c r="Y61" s="781"/>
      <c r="Z61" s="781"/>
      <c r="AA61" s="596"/>
      <c r="AB61" s="597"/>
      <c r="AC61" s="597"/>
      <c r="AD61" s="597"/>
      <c r="AE61" s="598"/>
      <c r="AF61" s="895"/>
      <c r="AG61" s="896"/>
      <c r="AH61" s="896"/>
    </row>
    <row r="62" spans="1:34" hidden="1">
      <c r="A62" s="781"/>
      <c r="B62" s="794" t="s">
        <v>292</v>
      </c>
      <c r="C62" s="2161"/>
      <c r="D62" s="2161"/>
      <c r="E62" s="2161"/>
      <c r="F62" s="2161"/>
      <c r="G62" s="2161"/>
      <c r="H62" s="2161"/>
      <c r="I62" s="517"/>
      <c r="J62" s="518"/>
      <c r="K62" s="518"/>
      <c r="L62" s="518"/>
      <c r="M62" s="519"/>
      <c r="N62" s="898"/>
      <c r="O62" s="792"/>
      <c r="P62" s="792"/>
      <c r="Q62" s="792"/>
      <c r="R62" s="899"/>
      <c r="S62" s="781"/>
      <c r="T62" s="781"/>
      <c r="U62" s="781"/>
      <c r="V62" s="781"/>
      <c r="W62" s="781"/>
      <c r="X62" s="781"/>
      <c r="Y62" s="781"/>
      <c r="Z62" s="781"/>
      <c r="AA62" s="517"/>
      <c r="AB62" s="518"/>
      <c r="AC62" s="518"/>
      <c r="AD62" s="518"/>
      <c r="AE62" s="519"/>
      <c r="AF62" s="898"/>
      <c r="AG62" s="792"/>
      <c r="AH62" s="792"/>
    </row>
    <row r="63" spans="1:34" hidden="1">
      <c r="A63" s="781"/>
      <c r="B63" s="794" t="s">
        <v>292</v>
      </c>
      <c r="C63" s="2161"/>
      <c r="D63" s="2161"/>
      <c r="E63" s="2161"/>
      <c r="F63" s="2161"/>
      <c r="G63" s="2161"/>
      <c r="H63" s="2161"/>
      <c r="I63" s="517"/>
      <c r="J63" s="518"/>
      <c r="K63" s="518"/>
      <c r="L63" s="518"/>
      <c r="M63" s="519"/>
      <c r="N63" s="898"/>
      <c r="O63" s="792"/>
      <c r="P63" s="792"/>
      <c r="Q63" s="792"/>
      <c r="R63" s="899"/>
      <c r="S63" s="781"/>
      <c r="T63" s="781"/>
      <c r="U63" s="781"/>
      <c r="V63" s="781"/>
      <c r="W63" s="781"/>
      <c r="X63" s="781"/>
      <c r="Y63" s="781"/>
      <c r="Z63" s="781"/>
      <c r="AA63" s="517"/>
      <c r="AB63" s="518"/>
      <c r="AC63" s="518"/>
      <c r="AD63" s="518"/>
      <c r="AE63" s="519"/>
      <c r="AF63" s="898"/>
      <c r="AG63" s="792"/>
      <c r="AH63" s="792"/>
    </row>
    <row r="64" spans="1:34" hidden="1">
      <c r="A64" s="781"/>
      <c r="B64" s="794" t="s">
        <v>292</v>
      </c>
      <c r="C64" s="2161"/>
      <c r="D64" s="2161"/>
      <c r="E64" s="2161"/>
      <c r="F64" s="2161"/>
      <c r="G64" s="2161"/>
      <c r="H64" s="2161"/>
      <c r="I64" s="517"/>
      <c r="J64" s="518"/>
      <c r="K64" s="518"/>
      <c r="L64" s="518"/>
      <c r="M64" s="519"/>
      <c r="N64" s="898"/>
      <c r="O64" s="792"/>
      <c r="P64" s="792"/>
      <c r="Q64" s="792"/>
      <c r="R64" s="899"/>
      <c r="S64" s="781"/>
      <c r="T64" s="781"/>
      <c r="U64" s="781"/>
      <c r="V64" s="781"/>
      <c r="W64" s="781"/>
      <c r="X64" s="781"/>
      <c r="Y64" s="781"/>
      <c r="Z64" s="781"/>
      <c r="AA64" s="517"/>
      <c r="AB64" s="518"/>
      <c r="AC64" s="518"/>
      <c r="AD64" s="518"/>
      <c r="AE64" s="519"/>
      <c r="AF64" s="898"/>
      <c r="AG64" s="792"/>
      <c r="AH64" s="792"/>
    </row>
    <row r="65" spans="1:34" hidden="1">
      <c r="A65" s="781"/>
      <c r="B65" s="794" t="s">
        <v>292</v>
      </c>
      <c r="C65" s="2161"/>
      <c r="D65" s="2161"/>
      <c r="E65" s="2161"/>
      <c r="F65" s="2161"/>
      <c r="G65" s="2161"/>
      <c r="H65" s="2161"/>
      <c r="I65" s="517"/>
      <c r="J65" s="518"/>
      <c r="K65" s="518"/>
      <c r="L65" s="518"/>
      <c r="M65" s="519"/>
      <c r="N65" s="898"/>
      <c r="O65" s="792"/>
      <c r="P65" s="792"/>
      <c r="Q65" s="792"/>
      <c r="R65" s="899"/>
      <c r="S65" s="781"/>
      <c r="T65" s="781"/>
      <c r="U65" s="781"/>
      <c r="V65" s="781"/>
      <c r="W65" s="781"/>
      <c r="X65" s="781"/>
      <c r="Y65" s="781"/>
      <c r="Z65" s="781"/>
      <c r="AA65" s="517"/>
      <c r="AB65" s="518"/>
      <c r="AC65" s="518"/>
      <c r="AD65" s="518"/>
      <c r="AE65" s="519"/>
      <c r="AF65" s="898"/>
      <c r="AG65" s="792"/>
      <c r="AH65" s="792"/>
    </row>
    <row r="66" spans="1:34" ht="13.5" hidden="1" thickBot="1">
      <c r="A66" s="781"/>
      <c r="B66" s="795" t="s">
        <v>292</v>
      </c>
      <c r="C66" s="814"/>
      <c r="D66" s="814"/>
      <c r="E66" s="814"/>
      <c r="F66" s="814"/>
      <c r="G66" s="814"/>
      <c r="H66" s="814"/>
      <c r="I66" s="892"/>
      <c r="J66" s="893"/>
      <c r="K66" s="893"/>
      <c r="L66" s="893"/>
      <c r="M66" s="894"/>
      <c r="N66" s="900"/>
      <c r="O66" s="901"/>
      <c r="P66" s="901"/>
      <c r="Q66" s="901"/>
      <c r="R66" s="902"/>
      <c r="S66" s="781"/>
      <c r="T66" s="781"/>
      <c r="U66" s="781"/>
      <c r="V66" s="781"/>
      <c r="W66" s="781"/>
      <c r="X66" s="781"/>
      <c r="Y66" s="781"/>
      <c r="Z66" s="781"/>
      <c r="AA66" s="892"/>
      <c r="AB66" s="893"/>
      <c r="AC66" s="893"/>
      <c r="AD66" s="893"/>
      <c r="AE66" s="894"/>
      <c r="AF66" s="900"/>
      <c r="AG66" s="901"/>
      <c r="AH66" s="901"/>
    </row>
    <row r="67" spans="1:34" s="70" customFormat="1" ht="28.5" hidden="1" customHeight="1" thickBot="1">
      <c r="A67" s="360"/>
      <c r="B67" s="1711" t="s">
        <v>125</v>
      </c>
      <c r="C67" s="2160"/>
      <c r="D67" s="2160"/>
      <c r="E67" s="2160"/>
      <c r="F67" s="2160"/>
      <c r="G67" s="2160"/>
      <c r="H67" s="2160"/>
      <c r="I67" s="748"/>
      <c r="J67" s="310"/>
      <c r="K67" s="310"/>
      <c r="L67" s="310"/>
      <c r="M67" s="310"/>
      <c r="N67" s="310"/>
      <c r="O67" s="310"/>
      <c r="P67" s="310"/>
      <c r="Q67" s="310"/>
      <c r="R67" s="458"/>
      <c r="S67"/>
      <c r="T67"/>
      <c r="U67"/>
      <c r="V67"/>
      <c r="X67" s="288"/>
      <c r="Y67" s="288"/>
      <c r="Z67" s="288"/>
      <c r="AA67" s="748"/>
      <c r="AB67" s="310"/>
      <c r="AC67" s="310"/>
      <c r="AD67" s="310"/>
      <c r="AE67" s="310"/>
      <c r="AF67" s="310"/>
      <c r="AG67" s="310"/>
      <c r="AH67" s="310"/>
    </row>
    <row r="68" spans="1:34" ht="42.75" customHeight="1" thickBot="1">
      <c r="A68" s="781"/>
      <c r="B68" s="781"/>
      <c r="C68" s="781"/>
      <c r="D68" s="781"/>
      <c r="E68" s="781"/>
      <c r="F68" s="781"/>
      <c r="G68" s="781"/>
      <c r="H68" s="781"/>
      <c r="I68" s="781"/>
      <c r="J68" s="781"/>
      <c r="K68" s="781"/>
      <c r="L68" s="781"/>
      <c r="M68" s="781"/>
      <c r="N68" s="784"/>
      <c r="O68" s="781"/>
      <c r="P68" s="781"/>
      <c r="Q68" s="781"/>
      <c r="R68" s="781"/>
      <c r="S68" s="781"/>
      <c r="T68" s="781"/>
      <c r="U68" s="781"/>
      <c r="V68" s="781"/>
      <c r="W68" s="781"/>
      <c r="X68" s="288"/>
      <c r="Y68" s="288"/>
      <c r="Z68" s="288"/>
      <c r="AA68" s="781"/>
      <c r="AB68" s="781"/>
      <c r="AC68" s="781"/>
      <c r="AD68" s="781"/>
      <c r="AE68" s="781"/>
      <c r="AF68" s="784"/>
      <c r="AG68" s="781"/>
      <c r="AH68" s="781"/>
    </row>
    <row r="69" spans="1:34" s="79" customFormat="1" ht="24.75" customHeight="1" thickBot="1">
      <c r="A69" s="308"/>
      <c r="B69" s="1576" t="s">
        <v>585</v>
      </c>
      <c r="C69" s="1577"/>
      <c r="D69" s="1577"/>
      <c r="E69" s="1577"/>
      <c r="F69" s="1577"/>
      <c r="G69" s="1577"/>
      <c r="H69" s="1577"/>
      <c r="I69" s="1577"/>
      <c r="J69" s="1577"/>
      <c r="K69" s="1577"/>
      <c r="L69" s="1577"/>
      <c r="M69" s="1577"/>
      <c r="N69" s="1577"/>
      <c r="O69" s="1577"/>
      <c r="P69" s="1577"/>
      <c r="Q69" s="1577"/>
      <c r="R69" s="1577"/>
      <c r="S69" s="1577"/>
      <c r="T69" s="1577"/>
      <c r="U69" s="1577"/>
      <c r="V69" s="1577"/>
      <c r="W69" s="1578"/>
      <c r="X69" s="308"/>
      <c r="Y69" s="308"/>
      <c r="Z69" s="308"/>
      <c r="AA69"/>
      <c r="AB69"/>
      <c r="AC69"/>
      <c r="AD69"/>
      <c r="AE69"/>
      <c r="AF69"/>
      <c r="AG69"/>
      <c r="AH69"/>
    </row>
    <row r="70" spans="1:34" ht="23.25" customHeight="1">
      <c r="A70" s="781"/>
      <c r="B70" s="1430"/>
      <c r="C70" s="1431"/>
      <c r="D70" s="1431"/>
      <c r="E70" s="1431"/>
      <c r="F70" s="1431"/>
      <c r="G70" s="1431"/>
      <c r="H70" s="2232"/>
      <c r="I70" s="3601" t="s">
        <v>36</v>
      </c>
      <c r="J70" s="3549"/>
      <c r="K70" s="3549"/>
      <c r="L70" s="3549"/>
      <c r="M70" s="3549"/>
      <c r="N70" s="3602" t="s">
        <v>37</v>
      </c>
      <c r="O70" s="3603"/>
      <c r="P70" s="3603"/>
      <c r="Q70" s="3603"/>
      <c r="R70" s="3603"/>
      <c r="S70" s="3543" t="s">
        <v>73</v>
      </c>
      <c r="T70" s="3543"/>
      <c r="U70" s="3543"/>
      <c r="V70" s="3543"/>
      <c r="W70" s="3678"/>
      <c r="X70" s="781"/>
      <c r="Y70" s="781"/>
      <c r="Z70" s="781"/>
      <c r="AA70"/>
      <c r="AB70"/>
      <c r="AC70"/>
      <c r="AD70"/>
      <c r="AE70"/>
      <c r="AF70"/>
      <c r="AG70"/>
      <c r="AH70"/>
    </row>
    <row r="71" spans="1:34" ht="23.25" customHeight="1">
      <c r="A71" s="781"/>
      <c r="B71" s="1432"/>
      <c r="C71" s="1433"/>
      <c r="D71" s="1433"/>
      <c r="E71" s="1433"/>
      <c r="F71" s="1433"/>
      <c r="G71" s="1433"/>
      <c r="H71" s="2233"/>
      <c r="I71" s="3550" t="s">
        <v>379</v>
      </c>
      <c r="J71" s="3551"/>
      <c r="K71" s="3551"/>
      <c r="L71" s="3551"/>
      <c r="M71" s="3551"/>
      <c r="N71" s="3551"/>
      <c r="O71" s="3551"/>
      <c r="P71" s="3551"/>
      <c r="Q71" s="3551"/>
      <c r="R71" s="3551"/>
      <c r="S71" s="3551"/>
      <c r="T71" s="3551"/>
      <c r="U71" s="3551"/>
      <c r="V71" s="3551"/>
      <c r="W71" s="3552"/>
      <c r="X71" s="781"/>
      <c r="Y71" s="781"/>
      <c r="Z71" s="781"/>
      <c r="AA71"/>
      <c r="AB71"/>
      <c r="AC71"/>
      <c r="AD71"/>
      <c r="AE71"/>
      <c r="AF71"/>
      <c r="AG71"/>
      <c r="AH71"/>
    </row>
    <row r="72" spans="1:34" ht="23.25" customHeight="1">
      <c r="A72" s="781"/>
      <c r="B72" s="1432"/>
      <c r="C72" s="1433"/>
      <c r="D72" s="1433"/>
      <c r="E72" s="1433"/>
      <c r="F72" s="1433"/>
      <c r="G72" s="1433"/>
      <c r="H72" s="2233"/>
      <c r="I72" s="3550" t="s">
        <v>54</v>
      </c>
      <c r="J72" s="3551"/>
      <c r="K72" s="3551"/>
      <c r="L72" s="3551"/>
      <c r="M72" s="3551"/>
      <c r="N72" s="3551"/>
      <c r="O72" s="3551"/>
      <c r="P72" s="3595"/>
      <c r="Q72" s="3589" t="s">
        <v>55</v>
      </c>
      <c r="R72" s="3590"/>
      <c r="S72" s="3590"/>
      <c r="T72" s="3590"/>
      <c r="U72" s="3590"/>
      <c r="V72" s="3590"/>
      <c r="W72" s="3591"/>
      <c r="X72" s="781"/>
      <c r="Y72" s="781"/>
      <c r="Z72" s="781"/>
      <c r="AA72"/>
      <c r="AB72"/>
      <c r="AC72"/>
      <c r="AD72"/>
      <c r="AE72"/>
      <c r="AF72"/>
      <c r="AG72"/>
      <c r="AH72"/>
    </row>
    <row r="73" spans="1:34" ht="23.25" customHeight="1" thickBot="1">
      <c r="A73" s="781"/>
      <c r="B73" s="1432"/>
      <c r="C73" s="1433"/>
      <c r="D73" s="1433"/>
      <c r="E73" s="1433"/>
      <c r="F73" s="1433"/>
      <c r="G73" s="1433"/>
      <c r="H73" s="2233"/>
      <c r="I73" s="1789">
        <f t="array" ref="I73:M73">PRCP</f>
        <v>2008</v>
      </c>
      <c r="J73" s="390">
        <v>2009</v>
      </c>
      <c r="K73" s="390">
        <v>2010</v>
      </c>
      <c r="L73" s="390">
        <v>2011</v>
      </c>
      <c r="M73" s="390">
        <v>2012</v>
      </c>
      <c r="N73" s="392">
        <f>CRCP_y1</f>
        <v>2013</v>
      </c>
      <c r="O73" s="392">
        <f>CRCP_y2</f>
        <v>2014</v>
      </c>
      <c r="P73" s="392">
        <f>CRCP_y3</f>
        <v>2015</v>
      </c>
      <c r="Q73" s="392">
        <f>CRCP_y4</f>
        <v>2016</v>
      </c>
      <c r="R73" s="392">
        <f>CRCP_y5</f>
        <v>2017</v>
      </c>
      <c r="S73" s="390" t="str">
        <f t="array" ref="S73:W73">FRCP</f>
        <v>2018</v>
      </c>
      <c r="T73" s="390">
        <v>2019</v>
      </c>
      <c r="U73" s="390">
        <v>2020</v>
      </c>
      <c r="V73" s="390">
        <v>2021</v>
      </c>
      <c r="W73" s="498">
        <v>2022</v>
      </c>
      <c r="X73" s="781"/>
      <c r="Y73" s="781"/>
      <c r="Z73" s="781"/>
      <c r="AA73"/>
      <c r="AB73"/>
      <c r="AC73"/>
      <c r="AD73"/>
      <c r="AE73"/>
      <c r="AF73"/>
      <c r="AG73"/>
      <c r="AH73"/>
    </row>
    <row r="74" spans="1:34">
      <c r="A74" s="781"/>
      <c r="B74" s="3869" t="s">
        <v>1365</v>
      </c>
      <c r="C74" s="3870"/>
      <c r="D74" s="3870"/>
      <c r="E74" s="3870"/>
      <c r="F74" s="3870"/>
      <c r="G74" s="3870"/>
      <c r="H74" s="3871"/>
      <c r="I74" s="1709"/>
      <c r="J74" s="463"/>
      <c r="K74" s="463"/>
      <c r="L74" s="463"/>
      <c r="M74" s="562"/>
      <c r="N74" s="872"/>
      <c r="O74" s="873"/>
      <c r="P74" s="873"/>
      <c r="Q74" s="873"/>
      <c r="R74" s="873"/>
      <c r="S74" s="872"/>
      <c r="T74" s="873"/>
      <c r="U74" s="873"/>
      <c r="V74" s="873"/>
      <c r="W74" s="874"/>
      <c r="X74" s="781"/>
      <c r="Y74" s="781"/>
      <c r="Z74" s="781"/>
      <c r="AA74"/>
      <c r="AB74"/>
      <c r="AC74"/>
      <c r="AD74"/>
      <c r="AE74"/>
      <c r="AF74"/>
      <c r="AG74"/>
      <c r="AH74"/>
    </row>
    <row r="75" spans="1:34">
      <c r="A75" s="781"/>
      <c r="B75" s="3872" t="s">
        <v>1366</v>
      </c>
      <c r="C75" s="3873"/>
      <c r="D75" s="3873"/>
      <c r="E75" s="3873"/>
      <c r="F75" s="3873"/>
      <c r="G75" s="3873"/>
      <c r="H75" s="3874"/>
      <c r="I75" s="514"/>
      <c r="J75" s="513"/>
      <c r="K75" s="513"/>
      <c r="L75" s="513"/>
      <c r="M75" s="515"/>
      <c r="N75" s="875"/>
      <c r="O75" s="779"/>
      <c r="P75" s="779"/>
      <c r="Q75" s="779"/>
      <c r="R75" s="779"/>
      <c r="S75" s="875"/>
      <c r="T75" s="779"/>
      <c r="U75" s="779"/>
      <c r="V75" s="779"/>
      <c r="W75" s="876"/>
      <c r="X75" s="781"/>
      <c r="Y75" s="781"/>
      <c r="Z75" s="781"/>
      <c r="AA75"/>
      <c r="AB75"/>
      <c r="AC75"/>
      <c r="AD75"/>
      <c r="AE75"/>
      <c r="AF75"/>
      <c r="AG75"/>
      <c r="AH75"/>
    </row>
    <row r="76" spans="1:34">
      <c r="A76" s="781"/>
      <c r="B76" s="3872" t="s">
        <v>1367</v>
      </c>
      <c r="C76" s="3873"/>
      <c r="D76" s="3873"/>
      <c r="E76" s="3873"/>
      <c r="F76" s="3873"/>
      <c r="G76" s="3873"/>
      <c r="H76" s="3874"/>
      <c r="I76" s="514"/>
      <c r="J76" s="513"/>
      <c r="K76" s="513"/>
      <c r="L76" s="513"/>
      <c r="M76" s="515"/>
      <c r="N76" s="875"/>
      <c r="O76" s="779"/>
      <c r="P76" s="779"/>
      <c r="Q76" s="779"/>
      <c r="R76" s="779"/>
      <c r="S76" s="875"/>
      <c r="T76" s="779"/>
      <c r="U76" s="779"/>
      <c r="V76" s="779"/>
      <c r="W76" s="876"/>
      <c r="X76" s="781"/>
      <c r="Y76" s="781"/>
      <c r="Z76" s="781"/>
      <c r="AA76"/>
      <c r="AB76"/>
      <c r="AC76"/>
      <c r="AD76"/>
      <c r="AE76"/>
      <c r="AF76"/>
      <c r="AG76"/>
      <c r="AH76"/>
    </row>
    <row r="77" spans="1:34">
      <c r="A77" s="781"/>
      <c r="B77" s="3872" t="s">
        <v>1368</v>
      </c>
      <c r="C77" s="3873"/>
      <c r="D77" s="3873"/>
      <c r="E77" s="3873"/>
      <c r="F77" s="3873"/>
      <c r="G77" s="3873"/>
      <c r="H77" s="3874"/>
      <c r="I77" s="514"/>
      <c r="J77" s="513"/>
      <c r="K77" s="513"/>
      <c r="L77" s="513"/>
      <c r="M77" s="515"/>
      <c r="N77" s="875"/>
      <c r="O77" s="779"/>
      <c r="P77" s="779"/>
      <c r="Q77" s="779"/>
      <c r="R77" s="779"/>
      <c r="S77" s="875"/>
      <c r="T77" s="779"/>
      <c r="U77" s="779"/>
      <c r="V77" s="779"/>
      <c r="W77" s="876"/>
      <c r="X77" s="781"/>
      <c r="Y77" s="781"/>
      <c r="Z77" s="781"/>
      <c r="AA77" s="1427"/>
      <c r="AB77" s="1427"/>
      <c r="AC77" s="1427"/>
      <c r="AD77" s="1427"/>
      <c r="AE77" s="1427"/>
      <c r="AF77" s="1427"/>
      <c r="AG77" s="1427"/>
      <c r="AH77" s="1427"/>
    </row>
    <row r="78" spans="1:34">
      <c r="A78" s="781"/>
      <c r="B78" s="3872" t="s">
        <v>1457</v>
      </c>
      <c r="C78" s="3873"/>
      <c r="D78" s="3873"/>
      <c r="E78" s="3873"/>
      <c r="F78" s="3873"/>
      <c r="G78" s="3873"/>
      <c r="H78" s="3874"/>
      <c r="I78" s="514"/>
      <c r="J78" s="513"/>
      <c r="K78" s="513"/>
      <c r="L78" s="513"/>
      <c r="M78" s="515"/>
      <c r="N78" s="875"/>
      <c r="O78" s="779"/>
      <c r="P78" s="779"/>
      <c r="Q78" s="779"/>
      <c r="R78" s="779"/>
      <c r="S78" s="875"/>
      <c r="T78" s="779"/>
      <c r="U78" s="779"/>
      <c r="V78" s="779"/>
      <c r="W78" s="876"/>
      <c r="X78" s="781"/>
      <c r="Y78" s="781"/>
      <c r="Z78" s="781"/>
      <c r="AA78"/>
      <c r="AB78"/>
      <c r="AC78"/>
      <c r="AD78"/>
      <c r="AE78"/>
      <c r="AF78"/>
      <c r="AG78"/>
      <c r="AH78"/>
    </row>
    <row r="79" spans="1:34">
      <c r="A79" s="781"/>
      <c r="B79" s="3872" t="s">
        <v>61</v>
      </c>
      <c r="C79" s="3873"/>
      <c r="D79" s="3873"/>
      <c r="E79" s="3873"/>
      <c r="F79" s="3873"/>
      <c r="G79" s="3873"/>
      <c r="H79" s="3874"/>
      <c r="I79" s="514"/>
      <c r="J79" s="513"/>
      <c r="K79" s="513"/>
      <c r="L79" s="513"/>
      <c r="M79" s="515"/>
      <c r="N79" s="875"/>
      <c r="O79" s="779"/>
      <c r="P79" s="779"/>
      <c r="Q79" s="779"/>
      <c r="R79" s="779"/>
      <c r="S79" s="875"/>
      <c r="T79" s="779"/>
      <c r="U79" s="779"/>
      <c r="V79" s="779"/>
      <c r="W79" s="876"/>
      <c r="X79" s="781"/>
      <c r="Y79" s="781"/>
      <c r="Z79" s="781"/>
      <c r="AA79"/>
      <c r="AB79"/>
      <c r="AC79"/>
      <c r="AD79"/>
      <c r="AE79"/>
      <c r="AF79"/>
      <c r="AG79"/>
      <c r="AH79"/>
    </row>
    <row r="80" spans="1:34">
      <c r="A80" s="781"/>
      <c r="B80" s="3872" t="s">
        <v>1369</v>
      </c>
      <c r="C80" s="3873"/>
      <c r="D80" s="3873"/>
      <c r="E80" s="3873"/>
      <c r="F80" s="3873"/>
      <c r="G80" s="3873"/>
      <c r="H80" s="3874"/>
      <c r="I80" s="514"/>
      <c r="J80" s="513"/>
      <c r="K80" s="513"/>
      <c r="L80" s="513"/>
      <c r="M80" s="515"/>
      <c r="N80" s="875"/>
      <c r="O80" s="779"/>
      <c r="P80" s="779"/>
      <c r="Q80" s="779"/>
      <c r="R80" s="779"/>
      <c r="S80" s="875"/>
      <c r="T80" s="779"/>
      <c r="U80" s="779"/>
      <c r="V80" s="779"/>
      <c r="W80" s="876"/>
      <c r="X80" s="781"/>
      <c r="Y80" s="781"/>
      <c r="Z80" s="781"/>
      <c r="AA80"/>
      <c r="AB80"/>
      <c r="AC80"/>
      <c r="AD80"/>
      <c r="AE80"/>
      <c r="AF80"/>
      <c r="AG80"/>
      <c r="AH80"/>
    </row>
    <row r="81" spans="1:34">
      <c r="A81" s="781"/>
      <c r="B81" s="3392"/>
      <c r="C81" s="3393"/>
      <c r="D81" s="3393"/>
      <c r="E81" s="3393"/>
      <c r="F81" s="3393"/>
      <c r="G81" s="3393"/>
      <c r="H81" s="3394" t="s">
        <v>1370</v>
      </c>
      <c r="I81" s="514"/>
      <c r="J81" s="513"/>
      <c r="K81" s="513"/>
      <c r="L81" s="513"/>
      <c r="M81" s="515"/>
      <c r="N81" s="875"/>
      <c r="O81" s="779"/>
      <c r="P81" s="779"/>
      <c r="Q81" s="779"/>
      <c r="R81" s="779"/>
      <c r="S81" s="875"/>
      <c r="T81" s="779"/>
      <c r="U81" s="779"/>
      <c r="V81" s="779"/>
      <c r="W81" s="876"/>
      <c r="X81" s="781"/>
      <c r="Y81" s="781"/>
      <c r="Z81" s="781"/>
      <c r="AA81" s="1427"/>
      <c r="AB81" s="1427"/>
      <c r="AC81" s="1427"/>
      <c r="AD81" s="1427"/>
      <c r="AE81" s="1427"/>
      <c r="AF81" s="1427"/>
      <c r="AG81" s="1427"/>
      <c r="AH81" s="1427"/>
    </row>
    <row r="82" spans="1:34">
      <c r="A82" s="781"/>
      <c r="B82" s="3392"/>
      <c r="C82" s="3393"/>
      <c r="D82" s="3393"/>
      <c r="E82" s="3393"/>
      <c r="F82" s="3393"/>
      <c r="G82" s="3393"/>
      <c r="H82" s="3394" t="s">
        <v>1371</v>
      </c>
      <c r="I82" s="514"/>
      <c r="J82" s="513"/>
      <c r="K82" s="513"/>
      <c r="L82" s="513"/>
      <c r="M82" s="515"/>
      <c r="N82" s="875"/>
      <c r="O82" s="779"/>
      <c r="P82" s="779"/>
      <c r="Q82" s="779"/>
      <c r="R82" s="779"/>
      <c r="S82" s="875"/>
      <c r="T82" s="779"/>
      <c r="U82" s="779"/>
      <c r="V82" s="779"/>
      <c r="W82" s="876"/>
      <c r="X82" s="781"/>
      <c r="Y82" s="781"/>
      <c r="Z82" s="781"/>
      <c r="AA82" s="1427"/>
      <c r="AB82" s="1427"/>
      <c r="AC82" s="1427"/>
      <c r="AD82" s="1427"/>
      <c r="AE82" s="1427"/>
      <c r="AF82" s="1427"/>
      <c r="AG82" s="1427"/>
      <c r="AH82" s="1427"/>
    </row>
    <row r="83" spans="1:34">
      <c r="A83" s="781"/>
      <c r="B83" s="3392"/>
      <c r="C83" s="3393"/>
      <c r="D83" s="3393"/>
      <c r="E83" s="3393"/>
      <c r="F83" s="3393"/>
      <c r="G83" s="3393"/>
      <c r="H83" s="3394" t="s">
        <v>1458</v>
      </c>
      <c r="I83" s="514"/>
      <c r="J83" s="513"/>
      <c r="K83" s="513"/>
      <c r="L83" s="513"/>
      <c r="M83" s="515"/>
      <c r="N83" s="875"/>
      <c r="O83" s="779"/>
      <c r="P83" s="779"/>
      <c r="Q83" s="779"/>
      <c r="R83" s="779"/>
      <c r="S83" s="875"/>
      <c r="T83" s="779"/>
      <c r="U83" s="779"/>
      <c r="V83" s="779"/>
      <c r="W83" s="876"/>
      <c r="X83" s="781"/>
      <c r="Y83" s="781"/>
      <c r="Z83" s="781"/>
      <c r="AA83" s="1427"/>
      <c r="AB83" s="1427"/>
      <c r="AC83" s="1427"/>
      <c r="AD83" s="1427"/>
      <c r="AE83" s="1427"/>
      <c r="AF83" s="1427"/>
      <c r="AG83" s="1427"/>
      <c r="AH83" s="1427"/>
    </row>
    <row r="84" spans="1:34" ht="13.5" thickBot="1">
      <c r="A84" s="781"/>
      <c r="B84" s="3875" t="s">
        <v>545</v>
      </c>
      <c r="C84" s="3876"/>
      <c r="D84" s="3876"/>
      <c r="E84" s="3876"/>
      <c r="F84" s="3876"/>
      <c r="G84" s="3876"/>
      <c r="H84" s="3877"/>
      <c r="I84" s="514"/>
      <c r="J84" s="513"/>
      <c r="K84" s="513"/>
      <c r="L84" s="513"/>
      <c r="M84" s="515"/>
      <c r="N84" s="875"/>
      <c r="O84" s="779"/>
      <c r="P84" s="779"/>
      <c r="Q84" s="779"/>
      <c r="R84" s="779"/>
      <c r="S84" s="875"/>
      <c r="T84" s="779"/>
      <c r="U84" s="779"/>
      <c r="V84" s="779"/>
      <c r="W84" s="876"/>
      <c r="X84" s="781"/>
      <c r="Y84" s="781"/>
      <c r="Z84" s="781"/>
      <c r="AA84"/>
      <c r="AB84"/>
      <c r="AC84"/>
      <c r="AD84"/>
      <c r="AE84"/>
      <c r="AF84"/>
      <c r="AG84"/>
      <c r="AH84"/>
    </row>
    <row r="85" spans="1:34" s="70" customFormat="1" ht="28.5" customHeight="1" thickBot="1">
      <c r="A85" s="360"/>
      <c r="B85" s="3878" t="s">
        <v>125</v>
      </c>
      <c r="C85" s="3879"/>
      <c r="D85" s="3879"/>
      <c r="E85" s="3879"/>
      <c r="F85" s="3879"/>
      <c r="G85" s="3879"/>
      <c r="H85" s="3880"/>
      <c r="I85" s="748"/>
      <c r="J85" s="310"/>
      <c r="K85" s="310"/>
      <c r="L85" s="310"/>
      <c r="M85" s="310"/>
      <c r="N85" s="310"/>
      <c r="O85" s="310"/>
      <c r="P85" s="310"/>
      <c r="Q85" s="310"/>
      <c r="R85" s="310"/>
      <c r="S85" s="310"/>
      <c r="T85" s="310"/>
      <c r="U85" s="310"/>
      <c r="V85" s="310"/>
      <c r="W85" s="458"/>
      <c r="X85" s="288"/>
      <c r="Y85" s="288"/>
      <c r="Z85" s="288"/>
      <c r="AA85"/>
      <c r="AB85"/>
      <c r="AC85"/>
      <c r="AD85"/>
      <c r="AE85"/>
      <c r="AF85"/>
      <c r="AG85"/>
      <c r="AH85"/>
    </row>
    <row r="86" spans="1:34" ht="66" customHeight="1" thickBot="1">
      <c r="A86" s="781"/>
      <c r="H86" s="126"/>
      <c r="N86" s="127"/>
      <c r="X86" s="781"/>
      <c r="Y86" s="781"/>
      <c r="Z86" s="781"/>
    </row>
    <row r="87" spans="1:34" s="79" customFormat="1" ht="24.75" customHeight="1" thickBot="1">
      <c r="A87" s="308"/>
      <c r="B87" s="1576" t="s">
        <v>536</v>
      </c>
      <c r="C87" s="1577"/>
      <c r="D87" s="1577"/>
      <c r="E87" s="1577"/>
      <c r="F87" s="1577"/>
      <c r="G87" s="1577"/>
      <c r="H87" s="1577"/>
      <c r="I87" s="1577"/>
      <c r="J87" s="1577"/>
      <c r="K87" s="1577"/>
      <c r="L87" s="1577"/>
      <c r="M87" s="1577"/>
      <c r="N87" s="1577"/>
      <c r="O87" s="1577"/>
      <c r="P87" s="1577"/>
      <c r="Q87" s="1577"/>
      <c r="R87" s="1578"/>
      <c r="S87" s="308"/>
      <c r="T87" s="308"/>
      <c r="U87" s="308"/>
      <c r="V87" s="308"/>
      <c r="W87" s="308"/>
      <c r="Y87"/>
      <c r="Z87"/>
      <c r="AA87"/>
      <c r="AB87"/>
      <c r="AC87"/>
      <c r="AD87"/>
      <c r="AE87"/>
      <c r="AF87"/>
      <c r="AG87"/>
      <c r="AH87"/>
    </row>
    <row r="88" spans="1:34" ht="18.75" customHeight="1">
      <c r="A88" s="781"/>
      <c r="B88" s="1430"/>
      <c r="C88" s="1431"/>
      <c r="D88" s="1431"/>
      <c r="E88" s="1431"/>
      <c r="F88" s="1431"/>
      <c r="G88" s="1431"/>
      <c r="H88" s="2232"/>
      <c r="I88" s="3620" t="s">
        <v>36</v>
      </c>
      <c r="J88" s="3549"/>
      <c r="K88" s="3549"/>
      <c r="L88" s="3549"/>
      <c r="M88" s="3549"/>
      <c r="N88" s="3602" t="s">
        <v>37</v>
      </c>
      <c r="O88" s="3603"/>
      <c r="P88" s="3603"/>
      <c r="Q88" s="3603"/>
      <c r="R88" s="3604"/>
      <c r="S88" s="847"/>
      <c r="T88" s="847"/>
      <c r="U88" s="847"/>
      <c r="V88" s="847"/>
      <c r="W88" s="781"/>
      <c r="X88" s="781"/>
      <c r="Y88" s="781"/>
      <c r="Z88" s="781"/>
      <c r="AA88"/>
      <c r="AB88"/>
      <c r="AC88"/>
      <c r="AD88"/>
      <c r="AE88"/>
      <c r="AF88"/>
      <c r="AG88"/>
      <c r="AH88"/>
    </row>
    <row r="89" spans="1:34" ht="18.75" customHeight="1">
      <c r="A89" s="781"/>
      <c r="B89" s="1432"/>
      <c r="C89" s="1433"/>
      <c r="D89" s="1433"/>
      <c r="E89" s="1433"/>
      <c r="F89" s="1433"/>
      <c r="G89" s="1433"/>
      <c r="H89" s="2233"/>
      <c r="I89" s="3550" t="s">
        <v>116</v>
      </c>
      <c r="J89" s="3551"/>
      <c r="K89" s="3551"/>
      <c r="L89" s="3551"/>
      <c r="M89" s="3551"/>
      <c r="N89" s="3551"/>
      <c r="O89" s="3551"/>
      <c r="P89" s="3551"/>
      <c r="Q89" s="3551"/>
      <c r="R89" s="3552"/>
      <c r="S89" s="788"/>
      <c r="T89" s="788"/>
      <c r="U89" s="788"/>
      <c r="V89" s="788"/>
      <c r="W89" s="788"/>
      <c r="X89" s="781"/>
      <c r="Y89" s="781"/>
      <c r="Z89" s="781"/>
      <c r="AA89"/>
      <c r="AB89"/>
      <c r="AC89"/>
      <c r="AD89"/>
      <c r="AE89"/>
      <c r="AF89"/>
      <c r="AG89"/>
      <c r="AH89"/>
    </row>
    <row r="90" spans="1:34" ht="18.75" customHeight="1">
      <c r="A90" s="781"/>
      <c r="B90" s="1432"/>
      <c r="C90" s="1433"/>
      <c r="D90" s="1433"/>
      <c r="E90" s="1433"/>
      <c r="F90" s="1433"/>
      <c r="G90" s="1433"/>
      <c r="H90" s="2233"/>
      <c r="I90" s="3550" t="s">
        <v>74</v>
      </c>
      <c r="J90" s="3551"/>
      <c r="K90" s="3551"/>
      <c r="L90" s="3551"/>
      <c r="M90" s="3551"/>
      <c r="N90" s="3551"/>
      <c r="O90" s="3551"/>
      <c r="P90" s="3551"/>
      <c r="Q90" s="3551"/>
      <c r="R90" s="3552"/>
      <c r="S90" s="788"/>
      <c r="T90" s="788"/>
      <c r="U90" s="788"/>
      <c r="V90" s="788"/>
      <c r="W90" s="788"/>
      <c r="X90" s="781"/>
      <c r="Y90" s="781"/>
      <c r="Z90" s="781"/>
      <c r="AA90"/>
      <c r="AB90"/>
      <c r="AC90"/>
      <c r="AD90"/>
      <c r="AE90"/>
      <c r="AF90"/>
      <c r="AG90"/>
      <c r="AH90"/>
    </row>
    <row r="91" spans="1:34" ht="18.75" customHeight="1" thickBot="1">
      <c r="A91" s="781"/>
      <c r="B91" s="1432"/>
      <c r="C91" s="1433"/>
      <c r="D91" s="1433"/>
      <c r="E91" s="1433"/>
      <c r="F91" s="1433"/>
      <c r="G91" s="1433"/>
      <c r="H91" s="2233"/>
      <c r="I91" s="391">
        <f t="array" ref="I91:M91">PRCP</f>
        <v>2008</v>
      </c>
      <c r="J91" s="390">
        <v>2009</v>
      </c>
      <c r="K91" s="390">
        <v>2010</v>
      </c>
      <c r="L91" s="390">
        <v>2011</v>
      </c>
      <c r="M91" s="390">
        <v>2012</v>
      </c>
      <c r="N91" s="392">
        <f>CRCP_y1</f>
        <v>2013</v>
      </c>
      <c r="O91" s="392">
        <f>CRCP_y2</f>
        <v>2014</v>
      </c>
      <c r="P91" s="392">
        <f>CRCP_y3</f>
        <v>2015</v>
      </c>
      <c r="Q91" s="392">
        <f>CRCP_y4</f>
        <v>2016</v>
      </c>
      <c r="R91" s="603">
        <f>CRCP_y5</f>
        <v>2017</v>
      </c>
      <c r="S91" s="789"/>
      <c r="T91" s="789"/>
      <c r="U91" s="789"/>
      <c r="V91" s="789"/>
      <c r="W91" s="789"/>
      <c r="X91" s="781"/>
      <c r="Y91" s="781"/>
      <c r="Z91" s="781"/>
      <c r="AA91"/>
      <c r="AB91"/>
      <c r="AC91"/>
      <c r="AD91"/>
      <c r="AE91"/>
      <c r="AF91"/>
      <c r="AG91"/>
      <c r="AH91"/>
    </row>
    <row r="92" spans="1:34" ht="12.75" customHeight="1">
      <c r="A92" s="781"/>
      <c r="B92" s="3869" t="s">
        <v>1365</v>
      </c>
      <c r="C92" s="3870"/>
      <c r="D92" s="3870"/>
      <c r="E92" s="3870"/>
      <c r="F92" s="3870"/>
      <c r="G92" s="3870"/>
      <c r="H92" s="3871"/>
      <c r="I92" s="1709"/>
      <c r="J92" s="463"/>
      <c r="K92" s="463"/>
      <c r="L92" s="463"/>
      <c r="M92" s="562"/>
      <c r="N92" s="2234"/>
      <c r="O92" s="873"/>
      <c r="P92" s="873"/>
      <c r="Q92" s="873"/>
      <c r="R92" s="874"/>
      <c r="S92" s="790"/>
      <c r="T92" s="790"/>
      <c r="U92" s="790"/>
      <c r="V92" s="790"/>
      <c r="W92" s="790"/>
      <c r="X92" s="781"/>
      <c r="Y92" s="781"/>
      <c r="Z92" s="781"/>
      <c r="AA92"/>
      <c r="AB92"/>
      <c r="AC92"/>
      <c r="AD92"/>
      <c r="AE92"/>
      <c r="AF92"/>
      <c r="AG92"/>
      <c r="AH92"/>
    </row>
    <row r="93" spans="1:34">
      <c r="A93" s="781"/>
      <c r="B93" s="3872" t="s">
        <v>1366</v>
      </c>
      <c r="C93" s="3873"/>
      <c r="D93" s="3873"/>
      <c r="E93" s="3873"/>
      <c r="F93" s="3873"/>
      <c r="G93" s="3873"/>
      <c r="H93" s="3874"/>
      <c r="I93" s="514"/>
      <c r="J93" s="513"/>
      <c r="K93" s="513"/>
      <c r="L93" s="513"/>
      <c r="M93" s="515"/>
      <c r="N93" s="875"/>
      <c r="O93" s="779"/>
      <c r="P93" s="779"/>
      <c r="Q93" s="779"/>
      <c r="R93" s="876"/>
      <c r="S93" s="790"/>
      <c r="T93" s="790"/>
      <c r="U93" s="790"/>
      <c r="V93" s="790"/>
      <c r="W93" s="790"/>
      <c r="X93" s="781"/>
      <c r="Y93" s="781"/>
      <c r="Z93" s="781"/>
      <c r="AA93"/>
      <c r="AB93"/>
      <c r="AC93"/>
      <c r="AD93"/>
      <c r="AE93"/>
      <c r="AF93"/>
      <c r="AG93"/>
      <c r="AH93"/>
    </row>
    <row r="94" spans="1:34">
      <c r="A94" s="781"/>
      <c r="B94" s="3872" t="s">
        <v>1367</v>
      </c>
      <c r="C94" s="3873"/>
      <c r="D94" s="3873"/>
      <c r="E94" s="3873"/>
      <c r="F94" s="3873"/>
      <c r="G94" s="3873"/>
      <c r="H94" s="3874"/>
      <c r="I94" s="514"/>
      <c r="J94" s="513"/>
      <c r="K94" s="513"/>
      <c r="L94" s="513"/>
      <c r="M94" s="515"/>
      <c r="N94" s="875"/>
      <c r="O94" s="779"/>
      <c r="P94" s="779"/>
      <c r="Q94" s="779"/>
      <c r="R94" s="876"/>
      <c r="S94" s="790"/>
      <c r="T94" s="790"/>
      <c r="U94" s="790"/>
      <c r="V94" s="790"/>
      <c r="W94" s="790"/>
      <c r="X94" s="781"/>
      <c r="Y94" s="781"/>
      <c r="Z94" s="781"/>
      <c r="AA94"/>
      <c r="AB94"/>
      <c r="AC94"/>
      <c r="AD94"/>
      <c r="AE94"/>
      <c r="AF94"/>
      <c r="AG94"/>
      <c r="AH94"/>
    </row>
    <row r="95" spans="1:34">
      <c r="A95" s="781"/>
      <c r="B95" s="3872" t="s">
        <v>1368</v>
      </c>
      <c r="C95" s="3873"/>
      <c r="D95" s="3873"/>
      <c r="E95" s="3873"/>
      <c r="F95" s="3873"/>
      <c r="G95" s="3873"/>
      <c r="H95" s="3874"/>
      <c r="I95" s="514"/>
      <c r="J95" s="513"/>
      <c r="K95" s="513"/>
      <c r="L95" s="513"/>
      <c r="M95" s="515"/>
      <c r="N95" s="875"/>
      <c r="O95" s="779"/>
      <c r="P95" s="779"/>
      <c r="Q95" s="779"/>
      <c r="R95" s="876"/>
      <c r="S95" s="790"/>
      <c r="T95" s="790"/>
      <c r="U95" s="790"/>
      <c r="V95" s="790"/>
      <c r="W95" s="790"/>
      <c r="X95" s="781"/>
      <c r="Y95" s="781"/>
      <c r="Z95" s="781"/>
      <c r="AA95" s="1427"/>
      <c r="AB95" s="1427"/>
      <c r="AC95" s="1427"/>
      <c r="AD95" s="1427"/>
      <c r="AE95" s="1427"/>
      <c r="AF95" s="1427"/>
      <c r="AG95" s="1427"/>
      <c r="AH95" s="1427"/>
    </row>
    <row r="96" spans="1:34">
      <c r="A96" s="781"/>
      <c r="B96" s="3872" t="s">
        <v>1457</v>
      </c>
      <c r="C96" s="3873"/>
      <c r="D96" s="3873"/>
      <c r="E96" s="3873"/>
      <c r="F96" s="3873"/>
      <c r="G96" s="3873"/>
      <c r="H96" s="3874"/>
      <c r="I96" s="514"/>
      <c r="J96" s="513"/>
      <c r="K96" s="513"/>
      <c r="L96" s="513"/>
      <c r="M96" s="515"/>
      <c r="N96" s="875"/>
      <c r="O96" s="779"/>
      <c r="P96" s="779"/>
      <c r="Q96" s="779"/>
      <c r="R96" s="876"/>
      <c r="S96" s="790"/>
      <c r="T96" s="790"/>
      <c r="U96" s="790"/>
      <c r="V96" s="790"/>
      <c r="W96" s="790"/>
      <c r="X96" s="781"/>
      <c r="Y96" s="781"/>
      <c r="Z96" s="781"/>
      <c r="AA96"/>
      <c r="AB96"/>
      <c r="AC96"/>
      <c r="AD96"/>
      <c r="AE96"/>
      <c r="AF96"/>
      <c r="AG96"/>
      <c r="AH96"/>
    </row>
    <row r="97" spans="1:34">
      <c r="A97" s="781"/>
      <c r="B97" s="3872" t="s">
        <v>61</v>
      </c>
      <c r="C97" s="3873"/>
      <c r="D97" s="3873"/>
      <c r="E97" s="3873"/>
      <c r="F97" s="3873"/>
      <c r="G97" s="3873"/>
      <c r="H97" s="3874"/>
      <c r="I97" s="514"/>
      <c r="J97" s="513"/>
      <c r="K97" s="513"/>
      <c r="L97" s="513"/>
      <c r="M97" s="515"/>
      <c r="N97" s="875"/>
      <c r="O97" s="779"/>
      <c r="P97" s="779"/>
      <c r="Q97" s="779"/>
      <c r="R97" s="876"/>
      <c r="S97" s="790"/>
      <c r="T97" s="790"/>
      <c r="U97" s="790"/>
      <c r="V97" s="790"/>
      <c r="W97" s="790"/>
      <c r="X97" s="781"/>
      <c r="Y97" s="781"/>
      <c r="Z97" s="781"/>
      <c r="AA97"/>
      <c r="AB97"/>
      <c r="AC97"/>
      <c r="AD97"/>
      <c r="AE97"/>
      <c r="AF97"/>
      <c r="AG97"/>
      <c r="AH97"/>
    </row>
    <row r="98" spans="1:34">
      <c r="A98" s="781"/>
      <c r="B98" s="3872" t="s">
        <v>1369</v>
      </c>
      <c r="C98" s="3873"/>
      <c r="D98" s="3873"/>
      <c r="E98" s="3873"/>
      <c r="F98" s="3873"/>
      <c r="G98" s="3873"/>
      <c r="H98" s="3874"/>
      <c r="I98" s="514"/>
      <c r="J98" s="513"/>
      <c r="K98" s="513"/>
      <c r="L98" s="513"/>
      <c r="M98" s="515"/>
      <c r="N98" s="875"/>
      <c r="O98" s="779"/>
      <c r="P98" s="779"/>
      <c r="Q98" s="779"/>
      <c r="R98" s="876"/>
      <c r="S98" s="790"/>
      <c r="T98" s="790"/>
      <c r="U98" s="790"/>
      <c r="V98" s="790"/>
      <c r="W98" s="790"/>
      <c r="X98" s="781"/>
      <c r="Y98" s="781"/>
      <c r="Z98" s="781"/>
      <c r="AA98" s="1427"/>
      <c r="AB98" s="1427"/>
      <c r="AC98" s="1427"/>
      <c r="AD98" s="1427"/>
      <c r="AE98" s="1427"/>
      <c r="AF98" s="1427"/>
      <c r="AG98" s="1427"/>
      <c r="AH98" s="1427"/>
    </row>
    <row r="99" spans="1:34">
      <c r="A99" s="781"/>
      <c r="B99" s="3392"/>
      <c r="C99" s="3393"/>
      <c r="D99" s="3393"/>
      <c r="E99" s="3393"/>
      <c r="F99" s="3393"/>
      <c r="G99" s="3393"/>
      <c r="H99" s="3394" t="s">
        <v>1370</v>
      </c>
      <c r="I99" s="514"/>
      <c r="J99" s="513"/>
      <c r="K99" s="513"/>
      <c r="L99" s="513"/>
      <c r="M99" s="515"/>
      <c r="N99" s="875"/>
      <c r="O99" s="779"/>
      <c r="P99" s="779"/>
      <c r="Q99" s="779"/>
      <c r="R99" s="876"/>
      <c r="S99" s="790"/>
      <c r="T99" s="790"/>
      <c r="U99" s="790"/>
      <c r="V99" s="790"/>
      <c r="W99" s="790"/>
      <c r="X99" s="781"/>
      <c r="Y99" s="781"/>
      <c r="Z99" s="781"/>
      <c r="AA99" s="1427"/>
      <c r="AB99" s="1427"/>
      <c r="AC99" s="1427"/>
      <c r="AD99" s="1427"/>
      <c r="AE99" s="1427"/>
      <c r="AF99" s="1427"/>
      <c r="AG99" s="1427"/>
      <c r="AH99" s="1427"/>
    </row>
    <row r="100" spans="1:34">
      <c r="A100" s="781"/>
      <c r="B100" s="3392"/>
      <c r="C100" s="3393"/>
      <c r="D100" s="3393"/>
      <c r="E100" s="3393"/>
      <c r="F100" s="3393"/>
      <c r="G100" s="3393"/>
      <c r="H100" s="3394" t="s">
        <v>1371</v>
      </c>
      <c r="I100" s="514"/>
      <c r="J100" s="513"/>
      <c r="K100" s="513"/>
      <c r="L100" s="513"/>
      <c r="M100" s="515"/>
      <c r="N100" s="875"/>
      <c r="O100" s="779"/>
      <c r="P100" s="779"/>
      <c r="Q100" s="779"/>
      <c r="R100" s="876"/>
      <c r="S100" s="790"/>
      <c r="T100" s="790"/>
      <c r="U100" s="790"/>
      <c r="V100" s="790"/>
      <c r="W100" s="790"/>
      <c r="X100" s="781"/>
      <c r="Y100" s="781"/>
      <c r="Z100" s="781"/>
      <c r="AA100" s="1427"/>
      <c r="AB100" s="1427"/>
      <c r="AC100" s="1427"/>
      <c r="AD100" s="1427"/>
      <c r="AE100" s="1427"/>
      <c r="AF100" s="1427"/>
      <c r="AG100" s="1427"/>
      <c r="AH100" s="1427"/>
    </row>
    <row r="101" spans="1:34">
      <c r="A101" s="781"/>
      <c r="B101" s="3392"/>
      <c r="C101" s="3393"/>
      <c r="D101" s="3393"/>
      <c r="E101" s="3393"/>
      <c r="F101" s="3393"/>
      <c r="G101" s="3393"/>
      <c r="H101" s="3394" t="s">
        <v>1458</v>
      </c>
      <c r="I101" s="514"/>
      <c r="J101" s="513"/>
      <c r="K101" s="513"/>
      <c r="L101" s="513"/>
      <c r="M101" s="515"/>
      <c r="N101" s="875"/>
      <c r="O101" s="779"/>
      <c r="P101" s="779"/>
      <c r="Q101" s="779"/>
      <c r="R101" s="876"/>
      <c r="S101" s="790"/>
      <c r="T101" s="790"/>
      <c r="U101" s="790"/>
      <c r="V101" s="790"/>
      <c r="W101" s="790"/>
      <c r="X101" s="781"/>
      <c r="Y101" s="781"/>
      <c r="Z101" s="781"/>
      <c r="AA101"/>
      <c r="AB101"/>
      <c r="AC101"/>
      <c r="AD101"/>
      <c r="AE101"/>
      <c r="AF101"/>
      <c r="AG101"/>
      <c r="AH101"/>
    </row>
    <row r="102" spans="1:34" ht="13.5" thickBot="1">
      <c r="A102" s="781"/>
      <c r="B102" s="3875" t="s">
        <v>545</v>
      </c>
      <c r="C102" s="3876"/>
      <c r="D102" s="3876"/>
      <c r="E102" s="3876"/>
      <c r="F102" s="3876"/>
      <c r="G102" s="3876"/>
      <c r="H102" s="3877"/>
      <c r="I102" s="514"/>
      <c r="J102" s="513"/>
      <c r="K102" s="513"/>
      <c r="L102" s="513"/>
      <c r="M102" s="515"/>
      <c r="N102" s="875"/>
      <c r="O102" s="779"/>
      <c r="P102" s="779"/>
      <c r="Q102" s="779"/>
      <c r="R102" s="876"/>
      <c r="S102" s="790"/>
      <c r="T102" s="790"/>
      <c r="U102" s="790"/>
      <c r="V102" s="790"/>
      <c r="W102" s="790"/>
      <c r="X102" s="781"/>
      <c r="Y102" s="781"/>
      <c r="Z102" s="781"/>
      <c r="AA102"/>
      <c r="AB102"/>
      <c r="AC102"/>
      <c r="AD102"/>
      <c r="AE102"/>
      <c r="AF102"/>
      <c r="AG102"/>
      <c r="AH102"/>
    </row>
    <row r="103" spans="1:34" s="1850" customFormat="1" ht="13.5" thickBot="1">
      <c r="A103" s="1849"/>
      <c r="B103" s="3894" t="s">
        <v>63</v>
      </c>
      <c r="C103" s="3895"/>
      <c r="D103" s="3895"/>
      <c r="E103" s="3895"/>
      <c r="F103" s="3895"/>
      <c r="G103" s="3895"/>
      <c r="H103" s="3896"/>
      <c r="I103" s="1851"/>
      <c r="J103" s="1852"/>
      <c r="K103" s="1852"/>
      <c r="L103" s="1852"/>
      <c r="M103" s="1853"/>
      <c r="N103" s="1854"/>
      <c r="O103" s="1855"/>
      <c r="P103" s="1855"/>
      <c r="Q103" s="1855"/>
      <c r="R103" s="1856"/>
      <c r="S103" s="1857"/>
      <c r="T103" s="1857"/>
      <c r="U103" s="1857"/>
      <c r="V103" s="1857"/>
      <c r="W103" s="1857"/>
      <c r="X103" s="1849"/>
      <c r="Y103" s="1849"/>
      <c r="Z103" s="1849"/>
      <c r="AA103"/>
      <c r="AB103"/>
      <c r="AC103"/>
      <c r="AD103"/>
      <c r="AE103"/>
      <c r="AF103"/>
      <c r="AG103"/>
      <c r="AH103"/>
    </row>
    <row r="104" spans="1:34" s="70" customFormat="1" ht="28.5" customHeight="1" thickBot="1">
      <c r="A104" s="360"/>
      <c r="B104" s="3898" t="s">
        <v>125</v>
      </c>
      <c r="C104" s="3899"/>
      <c r="D104" s="3899"/>
      <c r="E104" s="3899"/>
      <c r="F104" s="3899"/>
      <c r="G104" s="3899"/>
      <c r="H104" s="3901"/>
      <c r="I104" s="748"/>
      <c r="J104" s="310"/>
      <c r="K104" s="310"/>
      <c r="L104" s="310"/>
      <c r="M104" s="310"/>
      <c r="N104" s="310"/>
      <c r="O104" s="310"/>
      <c r="P104" s="310"/>
      <c r="Q104" s="310"/>
      <c r="R104" s="458"/>
      <c r="S104" s="288"/>
      <c r="T104" s="288"/>
      <c r="U104" s="288"/>
      <c r="V104" s="288"/>
      <c r="W104" s="288"/>
      <c r="X104" s="288"/>
      <c r="Y104" s="288"/>
      <c r="Z104" s="288"/>
      <c r="AA104"/>
      <c r="AB104"/>
      <c r="AC104"/>
      <c r="AD104"/>
      <c r="AE104"/>
      <c r="AF104"/>
      <c r="AG104"/>
      <c r="AH104"/>
    </row>
    <row r="105" spans="1:34" ht="60" customHeight="1" thickBot="1">
      <c r="A105" s="781"/>
      <c r="B105" s="781"/>
      <c r="C105" s="781"/>
      <c r="D105" s="781"/>
      <c r="E105" s="781"/>
      <c r="F105" s="781"/>
      <c r="G105" s="781"/>
      <c r="H105" s="781"/>
      <c r="I105" s="781"/>
      <c r="J105" s="781"/>
      <c r="K105" s="781"/>
      <c r="L105" s="781"/>
      <c r="M105" s="781"/>
      <c r="N105" s="784"/>
      <c r="O105" s="781"/>
      <c r="P105" s="781"/>
      <c r="Q105" s="781"/>
      <c r="R105" s="781"/>
      <c r="S105" s="791"/>
      <c r="T105" s="791"/>
      <c r="U105" s="791"/>
      <c r="V105" s="791"/>
      <c r="W105" s="781"/>
      <c r="X105" s="781"/>
      <c r="Y105" s="781"/>
      <c r="Z105" s="781"/>
      <c r="AA105" s="781"/>
      <c r="AB105" s="781"/>
      <c r="AC105" s="781"/>
      <c r="AD105" s="781"/>
      <c r="AE105" s="781"/>
      <c r="AF105" s="784"/>
      <c r="AG105" s="781"/>
      <c r="AH105" s="781"/>
    </row>
    <row r="106" spans="1:34" s="79" customFormat="1" ht="24.75" customHeight="1" thickBot="1">
      <c r="A106" s="308"/>
      <c r="B106" s="1576" t="s">
        <v>537</v>
      </c>
      <c r="C106" s="1577"/>
      <c r="D106" s="1577"/>
      <c r="E106" s="1577"/>
      <c r="F106" s="1577"/>
      <c r="G106" s="1577"/>
      <c r="H106" s="1577"/>
      <c r="I106" s="1577"/>
      <c r="J106" s="1577"/>
      <c r="K106" s="1577"/>
      <c r="L106" s="1577"/>
      <c r="M106" s="1577"/>
      <c r="N106" s="1577"/>
      <c r="O106" s="1577"/>
      <c r="P106" s="1577"/>
      <c r="Q106" s="1577"/>
      <c r="R106" s="1577"/>
      <c r="S106" s="1577"/>
      <c r="T106" s="1577"/>
      <c r="U106" s="1577"/>
      <c r="V106" s="1577"/>
      <c r="W106" s="1578"/>
      <c r="X106" s="308"/>
      <c r="Y106" s="308"/>
      <c r="Z106" s="308"/>
      <c r="AA106" s="1576"/>
      <c r="AB106" s="1577"/>
      <c r="AC106" s="1577"/>
      <c r="AD106" s="1577"/>
      <c r="AE106" s="1577"/>
      <c r="AF106" s="1577"/>
      <c r="AG106" s="1577"/>
      <c r="AH106" s="1578"/>
    </row>
    <row r="107" spans="1:34" ht="15.75" customHeight="1">
      <c r="A107" s="781"/>
      <c r="B107" s="1430"/>
      <c r="C107" s="1431"/>
      <c r="D107" s="1431"/>
      <c r="E107" s="1431"/>
      <c r="F107" s="1431"/>
      <c r="G107" s="1431"/>
      <c r="H107" s="2232"/>
      <c r="I107" s="3601" t="s">
        <v>36</v>
      </c>
      <c r="J107" s="3549"/>
      <c r="K107" s="3549"/>
      <c r="L107" s="3549"/>
      <c r="M107" s="3549"/>
      <c r="N107" s="3602" t="s">
        <v>37</v>
      </c>
      <c r="O107" s="3603"/>
      <c r="P107" s="3603"/>
      <c r="Q107" s="3603"/>
      <c r="R107" s="3603"/>
      <c r="S107" s="3543" t="s">
        <v>73</v>
      </c>
      <c r="T107" s="3543"/>
      <c r="U107" s="3543"/>
      <c r="V107" s="3543"/>
      <c r="W107" s="3678"/>
      <c r="X107" s="781"/>
      <c r="Y107" s="781"/>
      <c r="Z107" s="781"/>
      <c r="AA107" s="3601" t="s">
        <v>36</v>
      </c>
      <c r="AB107" s="3549"/>
      <c r="AC107" s="3549"/>
      <c r="AD107" s="3549"/>
      <c r="AE107" s="3549"/>
      <c r="AF107" s="3602" t="s">
        <v>37</v>
      </c>
      <c r="AG107" s="3603"/>
      <c r="AH107" s="3604"/>
    </row>
    <row r="108" spans="1:34" ht="15" customHeight="1">
      <c r="A108" s="781"/>
      <c r="B108" s="1432"/>
      <c r="C108" s="1433"/>
      <c r="D108" s="1433"/>
      <c r="E108" s="1433"/>
      <c r="F108" s="1433"/>
      <c r="G108" s="1433"/>
      <c r="H108" s="2233"/>
      <c r="I108" s="3550" t="s">
        <v>579</v>
      </c>
      <c r="J108" s="3551"/>
      <c r="K108" s="3551"/>
      <c r="L108" s="3551"/>
      <c r="M108" s="3551"/>
      <c r="N108" s="3551"/>
      <c r="O108" s="3551"/>
      <c r="P108" s="3595"/>
      <c r="Q108" s="3589" t="str">
        <f>CONCATENATE("$0's, real ",dms_DollarReal)</f>
        <v>$0's, real December 2017</v>
      </c>
      <c r="R108" s="3590"/>
      <c r="S108" s="3590"/>
      <c r="T108" s="3590"/>
      <c r="U108" s="3590"/>
      <c r="V108" s="3590"/>
      <c r="W108" s="3591"/>
      <c r="X108" s="781"/>
      <c r="Y108" s="781"/>
      <c r="Z108" s="781"/>
      <c r="AA108" s="3550" t="s">
        <v>579</v>
      </c>
      <c r="AB108" s="3551"/>
      <c r="AC108" s="3551"/>
      <c r="AD108" s="3551"/>
      <c r="AE108" s="3551"/>
      <c r="AF108" s="3551"/>
      <c r="AG108" s="3551"/>
      <c r="AH108" s="3552"/>
    </row>
    <row r="109" spans="1:34" ht="15">
      <c r="A109" s="781"/>
      <c r="B109" s="1432"/>
      <c r="C109" s="1433"/>
      <c r="D109" s="1433"/>
      <c r="E109" s="1433"/>
      <c r="F109" s="1433"/>
      <c r="G109" s="1433"/>
      <c r="H109" s="2233"/>
      <c r="I109" s="3550" t="s">
        <v>54</v>
      </c>
      <c r="J109" s="3551"/>
      <c r="K109" s="3551"/>
      <c r="L109" s="3551"/>
      <c r="M109" s="3551"/>
      <c r="N109" s="3551"/>
      <c r="O109" s="3551"/>
      <c r="P109" s="3595"/>
      <c r="Q109" s="3589" t="s">
        <v>55</v>
      </c>
      <c r="R109" s="3590"/>
      <c r="S109" s="3590"/>
      <c r="T109" s="3590"/>
      <c r="U109" s="3590"/>
      <c r="V109" s="3590"/>
      <c r="W109" s="3591"/>
      <c r="X109" s="781"/>
      <c r="Y109" s="781"/>
      <c r="Z109" s="781"/>
      <c r="AA109" s="3550" t="s">
        <v>54</v>
      </c>
      <c r="AB109" s="3551"/>
      <c r="AC109" s="3551"/>
      <c r="AD109" s="3551"/>
      <c r="AE109" s="3551"/>
      <c r="AF109" s="3551"/>
      <c r="AG109" s="3551"/>
      <c r="AH109" s="3552"/>
    </row>
    <row r="110" spans="1:34" ht="25.5" customHeight="1" thickBot="1">
      <c r="A110" s="781"/>
      <c r="B110" s="1432"/>
      <c r="C110" s="1433"/>
      <c r="D110" s="1433"/>
      <c r="E110" s="1433"/>
      <c r="F110" s="1433"/>
      <c r="G110" s="1433"/>
      <c r="H110" s="2233"/>
      <c r="I110" s="1789">
        <f t="array" ref="I110:M110">PRCP</f>
        <v>2008</v>
      </c>
      <c r="J110" s="390">
        <v>2009</v>
      </c>
      <c r="K110" s="390">
        <v>2010</v>
      </c>
      <c r="L110" s="390">
        <v>2011</v>
      </c>
      <c r="M110" s="390">
        <v>2012</v>
      </c>
      <c r="N110" s="392">
        <f>CRCP_y1</f>
        <v>2013</v>
      </c>
      <c r="O110" s="392">
        <f>CRCP_y2</f>
        <v>2014</v>
      </c>
      <c r="P110" s="392">
        <f>CRCP_y3</f>
        <v>2015</v>
      </c>
      <c r="Q110" s="392">
        <f>CRCP_y4</f>
        <v>2016</v>
      </c>
      <c r="R110" s="392">
        <f>CRCP_y5</f>
        <v>2017</v>
      </c>
      <c r="S110" s="390" t="str">
        <f t="array" ref="S110:W110">FRCP</f>
        <v>2018</v>
      </c>
      <c r="T110" s="390">
        <v>2019</v>
      </c>
      <c r="U110" s="390">
        <v>2020</v>
      </c>
      <c r="V110" s="390">
        <v>2021</v>
      </c>
      <c r="W110" s="498">
        <v>2022</v>
      </c>
      <c r="X110" s="781"/>
      <c r="Y110" s="781"/>
      <c r="Z110" s="781"/>
      <c r="AA110" s="1789">
        <f t="array" ref="AA110:AE110">PRCP</f>
        <v>2008</v>
      </c>
      <c r="AB110" s="390">
        <v>2009</v>
      </c>
      <c r="AC110" s="390">
        <v>2010</v>
      </c>
      <c r="AD110" s="390">
        <v>2011</v>
      </c>
      <c r="AE110" s="390">
        <v>2012</v>
      </c>
      <c r="AF110" s="392">
        <f>CRCP_y1</f>
        <v>2013</v>
      </c>
      <c r="AG110" s="392">
        <f>CRCP_y2</f>
        <v>2014</v>
      </c>
      <c r="AH110" s="603">
        <f>CRCP_y3</f>
        <v>2015</v>
      </c>
    </row>
    <row r="111" spans="1:34">
      <c r="A111" s="781"/>
      <c r="B111" s="3869" t="s">
        <v>1365</v>
      </c>
      <c r="C111" s="3870"/>
      <c r="D111" s="3870"/>
      <c r="E111" s="3870"/>
      <c r="F111" s="3870"/>
      <c r="G111" s="3870"/>
      <c r="H111" s="3871"/>
      <c r="I111" s="903"/>
      <c r="J111" s="904"/>
      <c r="K111" s="904"/>
      <c r="L111" s="904"/>
      <c r="M111" s="905"/>
      <c r="N111" s="903"/>
      <c r="O111" s="904"/>
      <c r="P111" s="904"/>
      <c r="Q111" s="904"/>
      <c r="R111" s="904"/>
      <c r="S111" s="903"/>
      <c r="T111" s="904"/>
      <c r="U111" s="904"/>
      <c r="V111" s="904"/>
      <c r="W111" s="905"/>
      <c r="X111" s="781"/>
      <c r="Y111" s="781"/>
      <c r="Z111" s="781"/>
      <c r="AA111" s="2224"/>
      <c r="AB111" s="2225"/>
      <c r="AC111" s="2225"/>
      <c r="AD111" s="2225"/>
      <c r="AE111" s="2226"/>
      <c r="AF111" s="2224"/>
      <c r="AG111" s="2225"/>
      <c r="AH111" s="2226"/>
    </row>
    <row r="112" spans="1:34">
      <c r="A112" s="781"/>
      <c r="B112" s="3872" t="s">
        <v>1366</v>
      </c>
      <c r="C112" s="3873"/>
      <c r="D112" s="3873"/>
      <c r="E112" s="3873"/>
      <c r="F112" s="3873"/>
      <c r="G112" s="3873"/>
      <c r="H112" s="3874"/>
      <c r="I112" s="906"/>
      <c r="J112" s="777"/>
      <c r="K112" s="777"/>
      <c r="L112" s="777"/>
      <c r="M112" s="907"/>
      <c r="N112" s="906"/>
      <c r="O112" s="777"/>
      <c r="P112" s="777"/>
      <c r="Q112" s="777"/>
      <c r="R112" s="777"/>
      <c r="S112" s="906"/>
      <c r="T112" s="777"/>
      <c r="U112" s="777"/>
      <c r="V112" s="777"/>
      <c r="W112" s="907"/>
      <c r="X112" s="781"/>
      <c r="Y112" s="781"/>
      <c r="Z112" s="781"/>
      <c r="AA112" s="2227"/>
      <c r="AB112" s="2228"/>
      <c r="AC112" s="2228"/>
      <c r="AD112" s="2228"/>
      <c r="AE112" s="2229"/>
      <c r="AF112" s="2227"/>
      <c r="AG112" s="2228"/>
      <c r="AH112" s="2229"/>
    </row>
    <row r="113" spans="1:40">
      <c r="A113" s="781"/>
      <c r="B113" s="3872" t="s">
        <v>1367</v>
      </c>
      <c r="C113" s="3873"/>
      <c r="D113" s="3873"/>
      <c r="E113" s="3873"/>
      <c r="F113" s="3873"/>
      <c r="G113" s="3873"/>
      <c r="H113" s="3874"/>
      <c r="I113" s="906"/>
      <c r="J113" s="777"/>
      <c r="K113" s="777"/>
      <c r="L113" s="777"/>
      <c r="M113" s="907"/>
      <c r="N113" s="906"/>
      <c r="O113" s="777"/>
      <c r="P113" s="777"/>
      <c r="Q113" s="777"/>
      <c r="R113" s="777"/>
      <c r="S113" s="906"/>
      <c r="T113" s="777"/>
      <c r="U113" s="777"/>
      <c r="V113" s="777"/>
      <c r="W113" s="907"/>
      <c r="X113" s="781"/>
      <c r="Y113" s="781"/>
      <c r="Z113" s="781"/>
      <c r="AA113" s="2227"/>
      <c r="AB113" s="2228"/>
      <c r="AC113" s="2228"/>
      <c r="AD113" s="2228"/>
      <c r="AE113" s="2229"/>
      <c r="AF113" s="2227"/>
      <c r="AG113" s="2228"/>
      <c r="AH113" s="2229"/>
    </row>
    <row r="114" spans="1:40">
      <c r="A114" s="781"/>
      <c r="B114" s="3872" t="s">
        <v>1368</v>
      </c>
      <c r="C114" s="3873"/>
      <c r="D114" s="3873"/>
      <c r="E114" s="3873"/>
      <c r="F114" s="3873"/>
      <c r="G114" s="3873"/>
      <c r="H114" s="3874"/>
      <c r="I114" s="906"/>
      <c r="J114" s="777"/>
      <c r="K114" s="777"/>
      <c r="L114" s="777"/>
      <c r="M114" s="907"/>
      <c r="N114" s="906"/>
      <c r="O114" s="777"/>
      <c r="P114" s="777"/>
      <c r="Q114" s="777"/>
      <c r="R114" s="777"/>
      <c r="S114" s="906"/>
      <c r="T114" s="777"/>
      <c r="U114" s="777"/>
      <c r="V114" s="777"/>
      <c r="W114" s="907"/>
      <c r="X114" s="781"/>
      <c r="Y114" s="781"/>
      <c r="Z114" s="781"/>
      <c r="AA114" s="2227"/>
      <c r="AB114" s="2228"/>
      <c r="AC114" s="2228"/>
      <c r="AD114" s="2228"/>
      <c r="AE114" s="2229"/>
      <c r="AF114" s="2227"/>
      <c r="AG114" s="2228"/>
      <c r="AH114" s="2229"/>
    </row>
    <row r="115" spans="1:40">
      <c r="A115" s="781"/>
      <c r="B115" s="3872" t="s">
        <v>1457</v>
      </c>
      <c r="C115" s="3873"/>
      <c r="D115" s="3873"/>
      <c r="E115" s="3873"/>
      <c r="F115" s="3873"/>
      <c r="G115" s="3873"/>
      <c r="H115" s="3874"/>
      <c r="I115" s="906"/>
      <c r="J115" s="777"/>
      <c r="K115" s="777"/>
      <c r="L115" s="777"/>
      <c r="M115" s="907"/>
      <c r="N115" s="906"/>
      <c r="O115" s="777"/>
      <c r="P115" s="777"/>
      <c r="Q115" s="777"/>
      <c r="R115" s="777"/>
      <c r="S115" s="906"/>
      <c r="T115" s="777"/>
      <c r="U115" s="777"/>
      <c r="V115" s="777"/>
      <c r="W115" s="907"/>
      <c r="X115" s="781"/>
      <c r="Y115" s="781"/>
      <c r="Z115" s="781"/>
      <c r="AA115" s="2227"/>
      <c r="AB115" s="2228"/>
      <c r="AC115" s="2228"/>
      <c r="AD115" s="2228"/>
      <c r="AE115" s="2229"/>
      <c r="AF115" s="2227"/>
      <c r="AG115" s="2228"/>
      <c r="AH115" s="2229"/>
    </row>
    <row r="116" spans="1:40">
      <c r="A116" s="781"/>
      <c r="B116" s="3872" t="s">
        <v>61</v>
      </c>
      <c r="C116" s="3873"/>
      <c r="D116" s="3873"/>
      <c r="E116" s="3873"/>
      <c r="F116" s="3873"/>
      <c r="G116" s="3873"/>
      <c r="H116" s="3874"/>
      <c r="I116" s="906"/>
      <c r="J116" s="777"/>
      <c r="K116" s="777"/>
      <c r="L116" s="777"/>
      <c r="M116" s="907"/>
      <c r="N116" s="906"/>
      <c r="O116" s="777"/>
      <c r="P116" s="777"/>
      <c r="Q116" s="777"/>
      <c r="R116" s="777"/>
      <c r="S116" s="906"/>
      <c r="T116" s="777"/>
      <c r="U116" s="777"/>
      <c r="V116" s="777"/>
      <c r="W116" s="907"/>
      <c r="X116" s="781"/>
      <c r="Y116" s="781"/>
      <c r="Z116" s="781"/>
      <c r="AA116" s="2227"/>
      <c r="AB116" s="2228"/>
      <c r="AC116" s="2228"/>
      <c r="AD116" s="2228"/>
      <c r="AE116" s="2229"/>
      <c r="AF116" s="2227"/>
      <c r="AG116" s="2228"/>
      <c r="AH116" s="2229"/>
    </row>
    <row r="117" spans="1:40">
      <c r="A117" s="781"/>
      <c r="B117" s="3872" t="s">
        <v>1369</v>
      </c>
      <c r="C117" s="3873"/>
      <c r="D117" s="3873"/>
      <c r="E117" s="3873"/>
      <c r="F117" s="3873"/>
      <c r="G117" s="3873"/>
      <c r="H117" s="3874"/>
      <c r="I117" s="906"/>
      <c r="J117" s="777"/>
      <c r="K117" s="777"/>
      <c r="L117" s="777"/>
      <c r="M117" s="907"/>
      <c r="N117" s="906"/>
      <c r="O117" s="777"/>
      <c r="P117" s="777"/>
      <c r="Q117" s="777"/>
      <c r="R117" s="777"/>
      <c r="S117" s="906"/>
      <c r="T117" s="777"/>
      <c r="U117" s="777"/>
      <c r="V117" s="777"/>
      <c r="W117" s="907"/>
      <c r="X117" s="781"/>
      <c r="Y117" s="781"/>
      <c r="Z117" s="781"/>
      <c r="AA117" s="2227"/>
      <c r="AB117" s="2228"/>
      <c r="AC117" s="2228"/>
      <c r="AD117" s="2228"/>
      <c r="AE117" s="2229"/>
      <c r="AF117" s="2227"/>
      <c r="AG117" s="2228"/>
      <c r="AH117" s="2229"/>
    </row>
    <row r="118" spans="1:40">
      <c r="A118" s="781"/>
      <c r="B118" s="3392"/>
      <c r="C118" s="3393"/>
      <c r="D118" s="3393"/>
      <c r="E118" s="3393"/>
      <c r="F118" s="3393"/>
      <c r="G118" s="3393"/>
      <c r="H118" s="3394" t="s">
        <v>1370</v>
      </c>
      <c r="I118" s="906"/>
      <c r="J118" s="777"/>
      <c r="K118" s="777"/>
      <c r="L118" s="777"/>
      <c r="M118" s="907"/>
      <c r="N118" s="906"/>
      <c r="O118" s="777"/>
      <c r="P118" s="777"/>
      <c r="Q118" s="777"/>
      <c r="R118" s="777"/>
      <c r="S118" s="906"/>
      <c r="T118" s="777"/>
      <c r="U118" s="777"/>
      <c r="V118" s="777"/>
      <c r="W118" s="907"/>
      <c r="X118" s="781"/>
      <c r="Y118" s="781"/>
      <c r="Z118" s="781"/>
      <c r="AA118" s="2227"/>
      <c r="AB118" s="2228"/>
      <c r="AC118" s="2228"/>
      <c r="AD118" s="2228"/>
      <c r="AE118" s="2229"/>
      <c r="AF118" s="2227"/>
      <c r="AG118" s="2228"/>
      <c r="AH118" s="2229"/>
    </row>
    <row r="119" spans="1:40">
      <c r="A119" s="781"/>
      <c r="B119" s="3392"/>
      <c r="C119" s="3393"/>
      <c r="D119" s="3393"/>
      <c r="E119" s="3393"/>
      <c r="F119" s="3393"/>
      <c r="G119" s="3393"/>
      <c r="H119" s="3394" t="s">
        <v>1371</v>
      </c>
      <c r="I119" s="906"/>
      <c r="J119" s="777"/>
      <c r="K119" s="777"/>
      <c r="L119" s="777"/>
      <c r="M119" s="907"/>
      <c r="N119" s="906"/>
      <c r="O119" s="777"/>
      <c r="P119" s="777"/>
      <c r="Q119" s="777"/>
      <c r="R119" s="777"/>
      <c r="S119" s="906"/>
      <c r="T119" s="777"/>
      <c r="U119" s="777"/>
      <c r="V119" s="777"/>
      <c r="W119" s="907"/>
      <c r="X119" s="781"/>
      <c r="Y119" s="781"/>
      <c r="Z119" s="781"/>
      <c r="AA119" s="2227"/>
      <c r="AB119" s="2228"/>
      <c r="AC119" s="2228"/>
      <c r="AD119" s="2228"/>
      <c r="AE119" s="2229"/>
      <c r="AF119" s="2227"/>
      <c r="AG119" s="2228"/>
      <c r="AH119" s="2229"/>
    </row>
    <row r="120" spans="1:40">
      <c r="A120" s="781"/>
      <c r="B120" s="3392"/>
      <c r="C120" s="3393"/>
      <c r="D120" s="3393"/>
      <c r="E120" s="3393"/>
      <c r="F120" s="3393"/>
      <c r="G120" s="3393"/>
      <c r="H120" s="3394" t="s">
        <v>1458</v>
      </c>
      <c r="I120" s="906"/>
      <c r="J120" s="777"/>
      <c r="K120" s="777"/>
      <c r="L120" s="777"/>
      <c r="M120" s="907"/>
      <c r="N120" s="906"/>
      <c r="O120" s="777"/>
      <c r="P120" s="777"/>
      <c r="Q120" s="777"/>
      <c r="R120" s="777"/>
      <c r="S120" s="906"/>
      <c r="T120" s="777"/>
      <c r="U120" s="777"/>
      <c r="V120" s="777"/>
      <c r="W120" s="907"/>
      <c r="X120" s="781"/>
      <c r="Y120" s="781"/>
      <c r="Z120" s="781"/>
      <c r="AA120" s="2227"/>
      <c r="AB120" s="2228"/>
      <c r="AC120" s="2228"/>
      <c r="AD120" s="2228"/>
      <c r="AE120" s="2229"/>
      <c r="AF120" s="2227"/>
      <c r="AG120" s="2228"/>
      <c r="AH120" s="2229"/>
    </row>
    <row r="121" spans="1:40" ht="13.5" thickBot="1">
      <c r="A121" s="781"/>
      <c r="B121" s="3875" t="s">
        <v>545</v>
      </c>
      <c r="C121" s="3876"/>
      <c r="D121" s="3876"/>
      <c r="E121" s="3876"/>
      <c r="F121" s="3876"/>
      <c r="G121" s="3876"/>
      <c r="H121" s="3877"/>
      <c r="I121" s="906"/>
      <c r="J121" s="777"/>
      <c r="K121" s="777"/>
      <c r="L121" s="777"/>
      <c r="M121" s="907"/>
      <c r="N121" s="906"/>
      <c r="O121" s="777"/>
      <c r="P121" s="777"/>
      <c r="Q121" s="777"/>
      <c r="R121" s="777"/>
      <c r="S121" s="906"/>
      <c r="T121" s="777"/>
      <c r="U121" s="777"/>
      <c r="V121" s="777"/>
      <c r="W121" s="907"/>
      <c r="X121" s="781"/>
      <c r="Y121" s="781"/>
      <c r="Z121" s="781"/>
      <c r="AA121" s="2227"/>
      <c r="AB121" s="2228"/>
      <c r="AC121" s="2228"/>
      <c r="AD121" s="2228"/>
      <c r="AE121" s="2229"/>
      <c r="AF121" s="2227"/>
      <c r="AG121" s="2228"/>
      <c r="AH121" s="2229"/>
    </row>
    <row r="122" spans="1:40" s="1850" customFormat="1" ht="13.5" thickBot="1">
      <c r="A122" s="1849"/>
      <c r="B122" s="3894" t="s">
        <v>63</v>
      </c>
      <c r="C122" s="3895"/>
      <c r="D122" s="3895"/>
      <c r="E122" s="3895"/>
      <c r="F122" s="3895"/>
      <c r="G122" s="3895"/>
      <c r="H122" s="3897"/>
      <c r="I122" s="1526"/>
      <c r="J122" s="1527"/>
      <c r="K122" s="1527"/>
      <c r="L122" s="1527"/>
      <c r="M122" s="1528"/>
      <c r="N122" s="1526"/>
      <c r="O122" s="1527"/>
      <c r="P122" s="1527"/>
      <c r="Q122" s="1527"/>
      <c r="R122" s="1527"/>
      <c r="S122" s="1526"/>
      <c r="T122" s="1527"/>
      <c r="U122" s="1527"/>
      <c r="V122" s="1527"/>
      <c r="W122" s="1528"/>
      <c r="X122" s="1849"/>
      <c r="Y122" s="1849"/>
      <c r="Z122" s="1849"/>
      <c r="AA122" s="2223"/>
      <c r="AB122" s="1527"/>
      <c r="AC122" s="1527"/>
      <c r="AD122" s="1527"/>
      <c r="AE122" s="1528"/>
      <c r="AF122" s="2223"/>
      <c r="AG122" s="1527"/>
      <c r="AH122" s="1528"/>
    </row>
    <row r="123" spans="1:40" s="70" customFormat="1" ht="28.5" customHeight="1" thickBot="1">
      <c r="A123" s="360"/>
      <c r="B123" s="3898" t="s">
        <v>125</v>
      </c>
      <c r="C123" s="3899"/>
      <c r="D123" s="3899"/>
      <c r="E123" s="3899"/>
      <c r="F123" s="3899"/>
      <c r="G123" s="3899"/>
      <c r="H123" s="3900"/>
      <c r="I123" s="748"/>
      <c r="J123" s="310"/>
      <c r="K123" s="310"/>
      <c r="L123" s="310"/>
      <c r="M123" s="310"/>
      <c r="N123" s="310"/>
      <c r="O123" s="310"/>
      <c r="P123" s="310"/>
      <c r="Q123" s="310"/>
      <c r="R123" s="310"/>
      <c r="S123" s="310"/>
      <c r="T123" s="310"/>
      <c r="U123" s="310"/>
      <c r="V123" s="310"/>
      <c r="W123" s="458"/>
      <c r="X123" s="288"/>
      <c r="Y123" s="288"/>
      <c r="Z123" s="288"/>
      <c r="AA123" s="2135"/>
      <c r="AB123" s="2116"/>
      <c r="AC123" s="2116"/>
      <c r="AD123" s="2116"/>
      <c r="AE123" s="2116"/>
      <c r="AF123" s="2116"/>
      <c r="AG123" s="2116"/>
      <c r="AH123" s="2119"/>
    </row>
    <row r="124" spans="1:40" ht="63.75" customHeight="1" thickBot="1">
      <c r="A124" s="781"/>
      <c r="B124" s="781"/>
      <c r="C124" s="781"/>
      <c r="D124" s="781"/>
      <c r="E124" s="781"/>
      <c r="F124" s="781"/>
      <c r="G124" s="781"/>
      <c r="H124" s="781"/>
      <c r="I124" s="781"/>
      <c r="J124" s="781"/>
      <c r="K124" s="781"/>
      <c r="L124" s="781"/>
      <c r="M124" s="781"/>
      <c r="N124" s="784"/>
      <c r="O124" s="781"/>
      <c r="P124" s="781"/>
      <c r="Q124" s="781"/>
      <c r="R124" s="781"/>
      <c r="S124" s="791"/>
      <c r="T124" s="791"/>
      <c r="U124" s="791"/>
      <c r="V124" s="791"/>
      <c r="W124" s="781"/>
      <c r="X124" s="781"/>
      <c r="Y124" s="781"/>
      <c r="Z124" s="781"/>
      <c r="AA124" s="781"/>
      <c r="AB124" s="781"/>
      <c r="AD124"/>
      <c r="AE124"/>
      <c r="AF124"/>
      <c r="AG124" s="781"/>
      <c r="AH124" s="781"/>
      <c r="AI124" s="781"/>
      <c r="AJ124" s="781"/>
      <c r="AK124" s="781"/>
      <c r="AL124" s="784"/>
      <c r="AM124" s="781"/>
      <c r="AN124" s="781"/>
    </row>
    <row r="125" spans="1:40" s="79" customFormat="1" ht="24.75" customHeight="1" thickBot="1">
      <c r="A125" s="308"/>
      <c r="B125" s="1576" t="s">
        <v>538</v>
      </c>
      <c r="C125" s="1577"/>
      <c r="D125" s="1577"/>
      <c r="E125" s="1577"/>
      <c r="F125" s="1577"/>
      <c r="G125" s="1577"/>
      <c r="H125" s="1577"/>
      <c r="I125" s="1577"/>
      <c r="J125" s="1577"/>
      <c r="K125" s="1577"/>
      <c r="L125" s="1577"/>
      <c r="M125" s="1577"/>
      <c r="N125" s="1577"/>
      <c r="O125" s="1577"/>
      <c r="P125" s="1577"/>
      <c r="Q125" s="1577"/>
      <c r="R125" s="1578"/>
      <c r="S125" s="308"/>
      <c r="T125" s="308"/>
      <c r="U125" s="308"/>
      <c r="V125" s="308"/>
      <c r="W125" s="308"/>
      <c r="Y125"/>
      <c r="Z125"/>
      <c r="AA125"/>
      <c r="AB125"/>
      <c r="AC125"/>
      <c r="AD125"/>
      <c r="AE125"/>
      <c r="AG125"/>
      <c r="AH125"/>
      <c r="AI125"/>
      <c r="AJ125"/>
      <c r="AK125"/>
      <c r="AL125"/>
      <c r="AM125"/>
      <c r="AN125"/>
    </row>
    <row r="126" spans="1:40" ht="18">
      <c r="A126" s="781"/>
      <c r="B126" s="1430"/>
      <c r="C126" s="1431"/>
      <c r="D126" s="1431"/>
      <c r="E126" s="1431"/>
      <c r="F126" s="1431"/>
      <c r="G126" s="1431"/>
      <c r="H126" s="2232"/>
      <c r="I126" s="3620" t="s">
        <v>36</v>
      </c>
      <c r="J126" s="3549"/>
      <c r="K126" s="3549"/>
      <c r="L126" s="3549"/>
      <c r="M126" s="3549"/>
      <c r="N126" s="3602" t="s">
        <v>37</v>
      </c>
      <c r="O126" s="3603"/>
      <c r="P126" s="3603"/>
      <c r="Q126" s="3603"/>
      <c r="R126" s="3604"/>
      <c r="S126" s="781"/>
      <c r="T126" s="781"/>
      <c r="U126" s="781"/>
      <c r="V126" s="781"/>
      <c r="W126" s="781"/>
      <c r="X126" s="781"/>
      <c r="Y126" s="781"/>
      <c r="Z126" s="781"/>
      <c r="AA126" s="781"/>
      <c r="AB126" s="781"/>
      <c r="AD126"/>
      <c r="AE126"/>
      <c r="AF126"/>
      <c r="AG126"/>
      <c r="AH126"/>
      <c r="AI126"/>
      <c r="AJ126"/>
      <c r="AK126"/>
      <c r="AL126"/>
      <c r="AM126"/>
      <c r="AN126"/>
    </row>
    <row r="127" spans="1:40" ht="15" customHeight="1">
      <c r="A127" s="781"/>
      <c r="B127" s="1432"/>
      <c r="C127" s="1433"/>
      <c r="D127" s="1433"/>
      <c r="E127" s="1433"/>
      <c r="F127" s="1433"/>
      <c r="G127" s="1433"/>
      <c r="H127" s="2233"/>
      <c r="I127" s="3550" t="str">
        <f>CONCATENATE("$0's, real ",dms_DollarReal)</f>
        <v>$0's, real December 2017</v>
      </c>
      <c r="J127" s="3551"/>
      <c r="K127" s="3551"/>
      <c r="L127" s="3551"/>
      <c r="M127" s="3551"/>
      <c r="N127" s="3551"/>
      <c r="O127" s="3551"/>
      <c r="P127" s="3551"/>
      <c r="Q127" s="3551"/>
      <c r="R127" s="3552"/>
      <c r="S127" s="781"/>
      <c r="T127" s="781"/>
      <c r="U127" s="781"/>
      <c r="V127" s="781"/>
      <c r="W127" s="781"/>
      <c r="X127" s="781"/>
      <c r="Y127" s="781"/>
      <c r="Z127" s="781"/>
      <c r="AA127" s="781"/>
      <c r="AB127" s="781"/>
      <c r="AD127"/>
      <c r="AE127"/>
      <c r="AF127"/>
      <c r="AG127"/>
      <c r="AH127"/>
      <c r="AI127"/>
      <c r="AJ127"/>
      <c r="AK127"/>
      <c r="AL127"/>
      <c r="AM127"/>
      <c r="AN127"/>
    </row>
    <row r="128" spans="1:40" ht="15">
      <c r="A128" s="781"/>
      <c r="B128" s="1432"/>
      <c r="C128" s="1433"/>
      <c r="D128" s="1433"/>
      <c r="E128" s="1433"/>
      <c r="F128" s="1433"/>
      <c r="G128" s="1433"/>
      <c r="H128" s="2233"/>
      <c r="I128" s="3550" t="s">
        <v>74</v>
      </c>
      <c r="J128" s="3551"/>
      <c r="K128" s="3551"/>
      <c r="L128" s="3551"/>
      <c r="M128" s="3551"/>
      <c r="N128" s="3551"/>
      <c r="O128" s="3551"/>
      <c r="P128" s="3551"/>
      <c r="Q128" s="3551"/>
      <c r="R128" s="3552"/>
      <c r="S128" s="781"/>
      <c r="T128" s="781"/>
      <c r="U128" s="781"/>
      <c r="V128" s="781"/>
      <c r="W128" s="781"/>
      <c r="X128" s="781"/>
      <c r="Y128" s="781"/>
      <c r="Z128" s="781"/>
      <c r="AA128" s="781"/>
      <c r="AB128" s="781"/>
      <c r="AD128"/>
      <c r="AE128"/>
      <c r="AF128"/>
      <c r="AG128"/>
      <c r="AH128"/>
      <c r="AI128"/>
      <c r="AJ128"/>
      <c r="AK128"/>
      <c r="AL128"/>
      <c r="AM128"/>
      <c r="AN128"/>
    </row>
    <row r="129" spans="1:40" ht="25.5" customHeight="1" thickBot="1">
      <c r="A129" s="781"/>
      <c r="B129" s="1432"/>
      <c r="C129" s="1433"/>
      <c r="D129" s="1433"/>
      <c r="E129" s="1433"/>
      <c r="F129" s="1433"/>
      <c r="G129" s="1433"/>
      <c r="H129" s="2233"/>
      <c r="I129" s="391">
        <f t="array" ref="I129:M129">PRCP</f>
        <v>2008</v>
      </c>
      <c r="J129" s="390">
        <v>2009</v>
      </c>
      <c r="K129" s="390">
        <v>2010</v>
      </c>
      <c r="L129" s="390">
        <v>2011</v>
      </c>
      <c r="M129" s="390">
        <v>2012</v>
      </c>
      <c r="N129" s="392">
        <f>CRCP_y1</f>
        <v>2013</v>
      </c>
      <c r="O129" s="392">
        <f>CRCP_y2</f>
        <v>2014</v>
      </c>
      <c r="P129" s="392">
        <f>CRCP_y3</f>
        <v>2015</v>
      </c>
      <c r="Q129" s="392">
        <f>CRCP_y4</f>
        <v>2016</v>
      </c>
      <c r="R129" s="603">
        <f>CRCP_y5</f>
        <v>2017</v>
      </c>
      <c r="S129" s="781"/>
      <c r="T129" s="781"/>
      <c r="U129" s="781"/>
      <c r="V129" s="781"/>
      <c r="W129" s="781"/>
      <c r="X129" s="781"/>
      <c r="Y129" s="781"/>
      <c r="Z129" s="781"/>
      <c r="AA129" s="781"/>
      <c r="AB129" s="781"/>
      <c r="AD129"/>
      <c r="AE129"/>
      <c r="AF129"/>
      <c r="AG129"/>
      <c r="AH129"/>
      <c r="AI129"/>
      <c r="AJ129"/>
      <c r="AK129"/>
      <c r="AL129"/>
      <c r="AM129"/>
      <c r="AN129"/>
    </row>
    <row r="130" spans="1:40">
      <c r="A130" s="781"/>
      <c r="B130" s="3869" t="s">
        <v>1365</v>
      </c>
      <c r="C130" s="3870"/>
      <c r="D130" s="3870"/>
      <c r="E130" s="3870"/>
      <c r="F130" s="3870"/>
      <c r="G130" s="3870"/>
      <c r="H130" s="3871"/>
      <c r="I130" s="903"/>
      <c r="J130" s="904"/>
      <c r="K130" s="904"/>
      <c r="L130" s="904"/>
      <c r="M130" s="905"/>
      <c r="N130" s="908"/>
      <c r="O130" s="909"/>
      <c r="P130" s="909"/>
      <c r="Q130" s="909"/>
      <c r="R130" s="910"/>
      <c r="S130" s="781"/>
      <c r="T130" s="781"/>
      <c r="U130" s="781"/>
      <c r="V130" s="781"/>
      <c r="W130" s="781"/>
      <c r="X130" s="781"/>
      <c r="Y130" s="781"/>
      <c r="Z130" s="781"/>
      <c r="AA130" s="781"/>
      <c r="AB130" s="781"/>
      <c r="AD130"/>
      <c r="AE130"/>
      <c r="AF130"/>
      <c r="AG130"/>
      <c r="AH130"/>
      <c r="AI130"/>
      <c r="AJ130"/>
      <c r="AK130"/>
      <c r="AL130"/>
      <c r="AM130"/>
      <c r="AN130"/>
    </row>
    <row r="131" spans="1:40">
      <c r="A131" s="781"/>
      <c r="B131" s="3872" t="s">
        <v>1366</v>
      </c>
      <c r="C131" s="3873"/>
      <c r="D131" s="3873"/>
      <c r="E131" s="3873"/>
      <c r="F131" s="3873"/>
      <c r="G131" s="3873"/>
      <c r="H131" s="3874"/>
      <c r="I131" s="906"/>
      <c r="J131" s="777"/>
      <c r="K131" s="777"/>
      <c r="L131" s="777"/>
      <c r="M131" s="907"/>
      <c r="N131" s="911"/>
      <c r="O131" s="778"/>
      <c r="P131" s="778"/>
      <c r="Q131" s="778"/>
      <c r="R131" s="912"/>
      <c r="S131" s="781"/>
      <c r="T131" s="781"/>
      <c r="U131" s="781"/>
      <c r="V131" s="781"/>
      <c r="W131" s="781"/>
      <c r="X131" s="781"/>
      <c r="Y131" s="781"/>
      <c r="Z131" s="781"/>
      <c r="AA131" s="781"/>
      <c r="AB131" s="781"/>
      <c r="AD131"/>
      <c r="AE131"/>
      <c r="AF131"/>
      <c r="AG131"/>
      <c r="AH131"/>
      <c r="AI131"/>
      <c r="AJ131"/>
      <c r="AK131"/>
      <c r="AL131"/>
      <c r="AM131"/>
      <c r="AN131"/>
    </row>
    <row r="132" spans="1:40">
      <c r="A132" s="781"/>
      <c r="B132" s="3872" t="s">
        <v>1367</v>
      </c>
      <c r="C132" s="3873"/>
      <c r="D132" s="3873"/>
      <c r="E132" s="3873"/>
      <c r="F132" s="3873"/>
      <c r="G132" s="3873"/>
      <c r="H132" s="3874"/>
      <c r="I132" s="906"/>
      <c r="J132" s="777"/>
      <c r="K132" s="777"/>
      <c r="L132" s="777"/>
      <c r="M132" s="907"/>
      <c r="N132" s="911"/>
      <c r="O132" s="778"/>
      <c r="P132" s="778"/>
      <c r="Q132" s="778"/>
      <c r="R132" s="912"/>
      <c r="S132" s="781"/>
      <c r="T132" s="781"/>
      <c r="U132" s="781"/>
      <c r="V132" s="781"/>
      <c r="W132" s="781"/>
      <c r="X132" s="781"/>
      <c r="Y132" s="781"/>
      <c r="Z132" s="781"/>
      <c r="AA132" s="781"/>
      <c r="AB132" s="781"/>
      <c r="AD132"/>
      <c r="AE132"/>
      <c r="AF132"/>
      <c r="AG132"/>
      <c r="AH132"/>
      <c r="AI132"/>
      <c r="AJ132"/>
      <c r="AK132"/>
      <c r="AL132"/>
      <c r="AM132"/>
      <c r="AN132"/>
    </row>
    <row r="133" spans="1:40">
      <c r="A133" s="781"/>
      <c r="B133" s="3872" t="s">
        <v>1368</v>
      </c>
      <c r="C133" s="3873"/>
      <c r="D133" s="3873"/>
      <c r="E133" s="3873"/>
      <c r="F133" s="3873"/>
      <c r="G133" s="3873"/>
      <c r="H133" s="3874"/>
      <c r="I133" s="906"/>
      <c r="J133" s="777"/>
      <c r="K133" s="777"/>
      <c r="L133" s="777"/>
      <c r="M133" s="907"/>
      <c r="N133" s="911"/>
      <c r="O133" s="778"/>
      <c r="P133" s="778"/>
      <c r="Q133" s="778"/>
      <c r="R133" s="912"/>
      <c r="S133" s="781"/>
      <c r="T133" s="781"/>
      <c r="U133" s="781"/>
      <c r="V133" s="781"/>
      <c r="W133" s="781"/>
      <c r="X133" s="781"/>
      <c r="Y133" s="781"/>
      <c r="Z133" s="781"/>
      <c r="AA133" s="781"/>
      <c r="AB133" s="781"/>
      <c r="AD133"/>
      <c r="AE133"/>
      <c r="AF133"/>
      <c r="AG133"/>
      <c r="AH133"/>
      <c r="AI133"/>
      <c r="AJ133"/>
      <c r="AK133"/>
      <c r="AL133"/>
      <c r="AM133"/>
      <c r="AN133"/>
    </row>
    <row r="134" spans="1:40">
      <c r="A134" s="781"/>
      <c r="B134" s="3872" t="s">
        <v>1457</v>
      </c>
      <c r="C134" s="3873"/>
      <c r="D134" s="3873"/>
      <c r="E134" s="3873"/>
      <c r="F134" s="3873"/>
      <c r="G134" s="3873"/>
      <c r="H134" s="3874"/>
      <c r="I134" s="906"/>
      <c r="J134" s="777"/>
      <c r="K134" s="777"/>
      <c r="L134" s="777"/>
      <c r="M134" s="907"/>
      <c r="N134" s="911"/>
      <c r="O134" s="778"/>
      <c r="P134" s="778"/>
      <c r="Q134" s="778"/>
      <c r="R134" s="912"/>
      <c r="S134" s="781"/>
      <c r="T134" s="781"/>
      <c r="U134" s="781"/>
      <c r="V134" s="781"/>
      <c r="W134" s="781"/>
      <c r="X134" s="781"/>
      <c r="Y134" s="781"/>
      <c r="Z134" s="781"/>
      <c r="AA134" s="781"/>
      <c r="AB134" s="781"/>
      <c r="AD134" s="1427"/>
      <c r="AE134" s="1427"/>
      <c r="AF134" s="1427"/>
      <c r="AG134" s="1427"/>
      <c r="AH134" s="1427"/>
      <c r="AI134" s="1427"/>
      <c r="AJ134" s="1427"/>
      <c r="AK134" s="1427"/>
      <c r="AL134" s="1427"/>
      <c r="AM134" s="1427"/>
      <c r="AN134" s="1427"/>
    </row>
    <row r="135" spans="1:40">
      <c r="A135" s="781"/>
      <c r="B135" s="3872" t="s">
        <v>61</v>
      </c>
      <c r="C135" s="3873"/>
      <c r="D135" s="3873"/>
      <c r="E135" s="3873"/>
      <c r="F135" s="3873"/>
      <c r="G135" s="3873"/>
      <c r="H135" s="3874"/>
      <c r="I135" s="906"/>
      <c r="J135" s="777"/>
      <c r="K135" s="777"/>
      <c r="L135" s="777"/>
      <c r="M135" s="907"/>
      <c r="N135" s="911"/>
      <c r="O135" s="778"/>
      <c r="P135" s="778"/>
      <c r="Q135" s="778"/>
      <c r="R135" s="912"/>
      <c r="S135" s="781"/>
      <c r="T135" s="781"/>
      <c r="U135" s="781"/>
      <c r="V135" s="781"/>
      <c r="W135" s="781"/>
      <c r="X135" s="781"/>
      <c r="Y135" s="781"/>
      <c r="Z135" s="781"/>
      <c r="AA135" s="781"/>
      <c r="AB135" s="781"/>
      <c r="AD135" s="1427"/>
      <c r="AE135" s="1427"/>
      <c r="AF135" s="1427"/>
      <c r="AG135" s="1427"/>
      <c r="AH135" s="1427"/>
      <c r="AI135" s="1427"/>
      <c r="AJ135" s="1427"/>
      <c r="AK135" s="1427"/>
      <c r="AL135" s="1427"/>
      <c r="AM135" s="1427"/>
      <c r="AN135" s="1427"/>
    </row>
    <row r="136" spans="1:40">
      <c r="A136" s="781"/>
      <c r="B136" s="3872" t="s">
        <v>1369</v>
      </c>
      <c r="C136" s="3873"/>
      <c r="D136" s="3873"/>
      <c r="E136" s="3873"/>
      <c r="F136" s="3873"/>
      <c r="G136" s="3873"/>
      <c r="H136" s="3874"/>
      <c r="I136" s="906"/>
      <c r="J136" s="777"/>
      <c r="K136" s="777"/>
      <c r="L136" s="777"/>
      <c r="M136" s="907"/>
      <c r="N136" s="911"/>
      <c r="O136" s="778"/>
      <c r="P136" s="778"/>
      <c r="Q136" s="778"/>
      <c r="R136" s="912"/>
      <c r="S136" s="781"/>
      <c r="T136" s="781"/>
      <c r="U136" s="781"/>
      <c r="V136" s="781"/>
      <c r="W136" s="781"/>
      <c r="X136" s="781"/>
      <c r="Y136" s="781"/>
      <c r="Z136" s="781"/>
      <c r="AA136" s="781"/>
      <c r="AB136" s="781"/>
      <c r="AD136" s="1427"/>
      <c r="AE136" s="1427"/>
      <c r="AF136" s="1427"/>
      <c r="AG136" s="1427"/>
      <c r="AH136" s="1427"/>
      <c r="AI136" s="1427"/>
      <c r="AJ136" s="1427"/>
      <c r="AK136" s="1427"/>
      <c r="AL136" s="1427"/>
      <c r="AM136" s="1427"/>
      <c r="AN136" s="1427"/>
    </row>
    <row r="137" spans="1:40">
      <c r="A137" s="781"/>
      <c r="B137" s="3392"/>
      <c r="C137" s="3393"/>
      <c r="D137" s="3393"/>
      <c r="E137" s="3393"/>
      <c r="F137" s="3393"/>
      <c r="G137" s="3393"/>
      <c r="H137" s="3394" t="s">
        <v>1370</v>
      </c>
      <c r="I137" s="906"/>
      <c r="J137" s="777"/>
      <c r="K137" s="777"/>
      <c r="L137" s="777"/>
      <c r="M137" s="907"/>
      <c r="N137" s="911"/>
      <c r="O137" s="778"/>
      <c r="P137" s="778"/>
      <c r="Q137" s="778"/>
      <c r="R137" s="912"/>
      <c r="S137" s="781"/>
      <c r="T137" s="781"/>
      <c r="U137" s="781"/>
      <c r="V137" s="781"/>
      <c r="W137" s="781"/>
      <c r="X137" s="781"/>
      <c r="Y137" s="781"/>
      <c r="Z137" s="781"/>
      <c r="AA137" s="781"/>
      <c r="AB137" s="781"/>
      <c r="AD137" s="1427"/>
      <c r="AE137" s="1427"/>
      <c r="AF137" s="1427"/>
      <c r="AG137" s="1427"/>
      <c r="AH137" s="1427"/>
      <c r="AI137" s="1427"/>
      <c r="AJ137" s="1427"/>
      <c r="AK137" s="1427"/>
      <c r="AL137" s="1427"/>
      <c r="AM137" s="1427"/>
      <c r="AN137" s="1427"/>
    </row>
    <row r="138" spans="1:40">
      <c r="A138" s="781"/>
      <c r="B138" s="3392"/>
      <c r="C138" s="3393"/>
      <c r="D138" s="3393"/>
      <c r="E138" s="3393"/>
      <c r="F138" s="3393"/>
      <c r="G138" s="3393"/>
      <c r="H138" s="3394" t="s">
        <v>1371</v>
      </c>
      <c r="I138" s="906"/>
      <c r="J138" s="777"/>
      <c r="K138" s="777"/>
      <c r="L138" s="777"/>
      <c r="M138" s="907"/>
      <c r="N138" s="911"/>
      <c r="O138" s="778"/>
      <c r="P138" s="778"/>
      <c r="Q138" s="778"/>
      <c r="R138" s="912"/>
      <c r="S138" s="781"/>
      <c r="T138" s="781"/>
      <c r="U138" s="781"/>
      <c r="V138" s="781"/>
      <c r="W138" s="781"/>
      <c r="X138" s="781"/>
      <c r="Y138" s="781"/>
      <c r="Z138" s="781"/>
      <c r="AA138" s="781"/>
      <c r="AB138" s="781"/>
      <c r="AD138"/>
      <c r="AE138"/>
      <c r="AF138"/>
      <c r="AG138"/>
      <c r="AH138"/>
      <c r="AI138"/>
      <c r="AJ138"/>
      <c r="AK138"/>
      <c r="AL138"/>
      <c r="AM138"/>
      <c r="AN138"/>
    </row>
    <row r="139" spans="1:40">
      <c r="A139" s="781"/>
      <c r="B139" s="3392"/>
      <c r="C139" s="3393"/>
      <c r="D139" s="3393"/>
      <c r="E139" s="3393"/>
      <c r="F139" s="3393"/>
      <c r="G139" s="3393"/>
      <c r="H139" s="3394" t="s">
        <v>1458</v>
      </c>
      <c r="I139" s="906"/>
      <c r="J139" s="777"/>
      <c r="K139" s="777"/>
      <c r="L139" s="777"/>
      <c r="M139" s="907"/>
      <c r="N139" s="911"/>
      <c r="O139" s="778"/>
      <c r="P139" s="778"/>
      <c r="Q139" s="778"/>
      <c r="R139" s="912"/>
      <c r="S139" s="781"/>
      <c r="T139" s="781"/>
      <c r="U139" s="781"/>
      <c r="V139" s="781"/>
      <c r="W139" s="781"/>
      <c r="X139" s="781"/>
      <c r="Y139" s="781"/>
      <c r="Z139" s="781"/>
      <c r="AA139" s="781"/>
      <c r="AB139" s="781"/>
      <c r="AD139"/>
      <c r="AE139"/>
      <c r="AF139"/>
      <c r="AG139"/>
      <c r="AH139"/>
      <c r="AI139"/>
      <c r="AJ139"/>
      <c r="AK139"/>
      <c r="AL139"/>
      <c r="AM139"/>
      <c r="AN139"/>
    </row>
    <row r="140" spans="1:40" ht="13.5" thickBot="1">
      <c r="A140" s="781"/>
      <c r="B140" s="3875" t="s">
        <v>545</v>
      </c>
      <c r="C140" s="3876"/>
      <c r="D140" s="3876"/>
      <c r="E140" s="3876"/>
      <c r="F140" s="3876"/>
      <c r="G140" s="3876"/>
      <c r="H140" s="3877"/>
      <c r="I140" s="906"/>
      <c r="J140" s="777"/>
      <c r="K140" s="777"/>
      <c r="L140" s="777"/>
      <c r="M140" s="907"/>
      <c r="N140" s="911"/>
      <c r="O140" s="778"/>
      <c r="P140" s="778"/>
      <c r="Q140" s="778"/>
      <c r="R140" s="912"/>
      <c r="S140" s="781"/>
      <c r="T140" s="781"/>
      <c r="U140" s="781"/>
      <c r="V140" s="781"/>
      <c r="W140" s="781"/>
      <c r="X140" s="781"/>
      <c r="Y140" s="781"/>
      <c r="Z140" s="781"/>
      <c r="AA140" s="781"/>
      <c r="AB140" s="781"/>
      <c r="AD140"/>
      <c r="AE140"/>
      <c r="AF140"/>
      <c r="AG140"/>
      <c r="AH140"/>
      <c r="AI140"/>
      <c r="AJ140"/>
      <c r="AK140"/>
      <c r="AL140"/>
      <c r="AM140"/>
      <c r="AN140"/>
    </row>
    <row r="141" spans="1:40" ht="13.5" thickBot="1">
      <c r="A141" s="781"/>
      <c r="B141" s="3894" t="s">
        <v>63</v>
      </c>
      <c r="C141" s="3895"/>
      <c r="D141" s="3895"/>
      <c r="E141" s="3895"/>
      <c r="F141" s="3895"/>
      <c r="G141" s="3895"/>
      <c r="H141" s="3897"/>
      <c r="I141" s="1846"/>
      <c r="J141" s="1847"/>
      <c r="K141" s="1847"/>
      <c r="L141" s="1847"/>
      <c r="M141" s="1848"/>
      <c r="N141" s="1526"/>
      <c r="O141" s="1527"/>
      <c r="P141" s="1527"/>
      <c r="Q141" s="1527"/>
      <c r="R141" s="1528"/>
      <c r="S141" s="781"/>
      <c r="T141" s="781"/>
      <c r="U141" s="781"/>
      <c r="V141" s="781"/>
      <c r="W141" s="781"/>
      <c r="X141" s="781"/>
      <c r="Y141" s="781"/>
      <c r="Z141" s="781"/>
      <c r="AA141" s="781"/>
      <c r="AB141" s="781"/>
      <c r="AD141"/>
      <c r="AE141"/>
      <c r="AF141"/>
      <c r="AG141"/>
      <c r="AH141"/>
      <c r="AI141"/>
      <c r="AJ141"/>
      <c r="AK141"/>
      <c r="AL141"/>
      <c r="AM141"/>
      <c r="AN141"/>
    </row>
    <row r="142" spans="1:40" s="70" customFormat="1" ht="28.5" customHeight="1" thickBot="1">
      <c r="A142" s="360"/>
      <c r="B142" s="3898" t="s">
        <v>125</v>
      </c>
      <c r="C142" s="3899"/>
      <c r="D142" s="3899"/>
      <c r="E142" s="3899"/>
      <c r="F142" s="3899"/>
      <c r="G142" s="3899"/>
      <c r="H142" s="3900"/>
      <c r="I142" s="748"/>
      <c r="J142" s="310"/>
      <c r="K142" s="310"/>
      <c r="L142" s="310"/>
      <c r="M142" s="310"/>
      <c r="N142" s="310"/>
      <c r="O142" s="310"/>
      <c r="P142" s="310"/>
      <c r="Q142" s="310"/>
      <c r="R142" s="458"/>
      <c r="S142" s="288"/>
      <c r="T142" s="288"/>
      <c r="U142" s="288"/>
      <c r="V142" s="288"/>
      <c r="W142" s="288"/>
      <c r="X142" s="288"/>
      <c r="Y142" s="288"/>
      <c r="Z142" s="288"/>
      <c r="AA142" s="288"/>
      <c r="AB142" s="288"/>
      <c r="AC142"/>
      <c r="AD142"/>
      <c r="AE142"/>
      <c r="AF142"/>
      <c r="AG142"/>
      <c r="AH142"/>
      <c r="AI142"/>
      <c r="AJ142"/>
      <c r="AK142"/>
      <c r="AL142"/>
      <c r="AM142"/>
      <c r="AN142"/>
    </row>
  </sheetData>
  <mergeCells count="126">
    <mergeCell ref="B140:H140"/>
    <mergeCell ref="B141:H141"/>
    <mergeCell ref="B142:H142"/>
    <mergeCell ref="B130:H130"/>
    <mergeCell ref="B131:H131"/>
    <mergeCell ref="B132:H132"/>
    <mergeCell ref="B133:H133"/>
    <mergeCell ref="B114:H114"/>
    <mergeCell ref="B115:H115"/>
    <mergeCell ref="B116:H116"/>
    <mergeCell ref="B117:H117"/>
    <mergeCell ref="B134:H134"/>
    <mergeCell ref="B135:H135"/>
    <mergeCell ref="B136:H136"/>
    <mergeCell ref="I126:M126"/>
    <mergeCell ref="I88:M88"/>
    <mergeCell ref="I107:M107"/>
    <mergeCell ref="I90:R90"/>
    <mergeCell ref="I89:R89"/>
    <mergeCell ref="N107:R107"/>
    <mergeCell ref="N126:R126"/>
    <mergeCell ref="N88:R88"/>
    <mergeCell ref="B96:H96"/>
    <mergeCell ref="B97:H97"/>
    <mergeCell ref="B102:H102"/>
    <mergeCell ref="B103:H103"/>
    <mergeCell ref="B92:H92"/>
    <mergeCell ref="B93:H93"/>
    <mergeCell ref="B94:H94"/>
    <mergeCell ref="B121:H121"/>
    <mergeCell ref="B122:H122"/>
    <mergeCell ref="B123:H123"/>
    <mergeCell ref="B104:H104"/>
    <mergeCell ref="B111:H111"/>
    <mergeCell ref="B112:H112"/>
    <mergeCell ref="B113:H113"/>
    <mergeCell ref="Q108:W108"/>
    <mergeCell ref="I128:R128"/>
    <mergeCell ref="I109:P109"/>
    <mergeCell ref="Q109:W109"/>
    <mergeCell ref="I127:R127"/>
    <mergeCell ref="I108:P108"/>
    <mergeCell ref="N43:R43"/>
    <mergeCell ref="I43:M43"/>
    <mergeCell ref="S43:W43"/>
    <mergeCell ref="B57:B60"/>
    <mergeCell ref="I57:M57"/>
    <mergeCell ref="N57:R57"/>
    <mergeCell ref="Q45:W45"/>
    <mergeCell ref="I44:P44"/>
    <mergeCell ref="I45:P45"/>
    <mergeCell ref="I59:R59"/>
    <mergeCell ref="B47:H47"/>
    <mergeCell ref="B48:H48"/>
    <mergeCell ref="B49:H49"/>
    <mergeCell ref="B50:H50"/>
    <mergeCell ref="B51:H51"/>
    <mergeCell ref="I70:M70"/>
    <mergeCell ref="N70:R70"/>
    <mergeCell ref="Q44:W44"/>
    <mergeCell ref="B78:H78"/>
    <mergeCell ref="B13:B16"/>
    <mergeCell ref="C13:C16"/>
    <mergeCell ref="D13:D16"/>
    <mergeCell ref="E13:E16"/>
    <mergeCell ref="F13:F16"/>
    <mergeCell ref="G13:G16"/>
    <mergeCell ref="I13:M13"/>
    <mergeCell ref="B28:B31"/>
    <mergeCell ref="C28:C31"/>
    <mergeCell ref="D28:D31"/>
    <mergeCell ref="E28:E31"/>
    <mergeCell ref="F28:F31"/>
    <mergeCell ref="I30:P30"/>
    <mergeCell ref="N13:R13"/>
    <mergeCell ref="S13:W13"/>
    <mergeCell ref="I14:P14"/>
    <mergeCell ref="Q14:W14"/>
    <mergeCell ref="I15:P15"/>
    <mergeCell ref="Q15:W15"/>
    <mergeCell ref="S28:W28"/>
    <mergeCell ref="I29:P29"/>
    <mergeCell ref="Q29:W29"/>
    <mergeCell ref="Q30:W30"/>
    <mergeCell ref="I71:W71"/>
    <mergeCell ref="S107:W107"/>
    <mergeCell ref="S70:W70"/>
    <mergeCell ref="G28:G31"/>
    <mergeCell ref="I28:M28"/>
    <mergeCell ref="N28:R28"/>
    <mergeCell ref="I58:R58"/>
    <mergeCell ref="I72:P72"/>
    <mergeCell ref="Q72:W72"/>
    <mergeCell ref="B52:H52"/>
    <mergeCell ref="B53:H53"/>
    <mergeCell ref="B54:H54"/>
    <mergeCell ref="B74:H74"/>
    <mergeCell ref="B75:H75"/>
    <mergeCell ref="B76:H76"/>
    <mergeCell ref="B79:H79"/>
    <mergeCell ref="B80:H80"/>
    <mergeCell ref="B84:H84"/>
    <mergeCell ref="B85:H85"/>
    <mergeCell ref="B77:H77"/>
    <mergeCell ref="B95:H95"/>
    <mergeCell ref="B98:H98"/>
    <mergeCell ref="AA109:AH109"/>
    <mergeCell ref="AA107:AE107"/>
    <mergeCell ref="AF107:AH107"/>
    <mergeCell ref="AA58:AH58"/>
    <mergeCell ref="AA59:AH59"/>
    <mergeCell ref="AA43:AE43"/>
    <mergeCell ref="AF43:AH43"/>
    <mergeCell ref="AA44:AH44"/>
    <mergeCell ref="AA45:AH45"/>
    <mergeCell ref="AA57:AE57"/>
    <mergeCell ref="AF57:AH57"/>
    <mergeCell ref="AA13:AE13"/>
    <mergeCell ref="AF13:AH13"/>
    <mergeCell ref="AA14:AH14"/>
    <mergeCell ref="AA15:AH15"/>
    <mergeCell ref="AA28:AE28"/>
    <mergeCell ref="AF28:AH28"/>
    <mergeCell ref="AA29:AH29"/>
    <mergeCell ref="AA30:AH30"/>
    <mergeCell ref="AA108:AH108"/>
  </mergeCells>
  <pageMargins left="0.75" right="0.75" top="1" bottom="1" header="0.5" footer="0.5"/>
  <pageSetup paperSize="9" orientation="portrait" r:id="rId1"/>
  <headerFooter alignWithMargins="0"/>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6" tint="0.59999389629810485"/>
    <pageSetUpPr autoPageBreaks="0"/>
  </sheetPr>
  <dimension ref="A1:AD151"/>
  <sheetViews>
    <sheetView showGridLines="0" zoomScaleNormal="100" workbookViewId="0"/>
  </sheetViews>
  <sheetFormatPr defaultColWidth="9.140625" defaultRowHeight="12.75" outlineLevelRow="2"/>
  <cols>
    <col min="1" max="1" width="16.5703125" style="96" customWidth="1"/>
    <col min="2" max="2" width="46" style="78" customWidth="1"/>
    <col min="3" max="17" width="15.7109375" style="96" customWidth="1"/>
    <col min="18" max="18" width="14.28515625" customWidth="1"/>
    <col min="19" max="19" width="15.7109375" customWidth="1"/>
    <col min="20" max="20" width="8.7109375"/>
    <col min="21" max="28" width="15.7109375" style="1427" customWidth="1"/>
    <col min="29" max="30" width="8.7109375" customWidth="1"/>
    <col min="31" max="16384" width="9.140625" style="96"/>
  </cols>
  <sheetData>
    <row r="1" spans="1:30" s="223" customFormat="1" ht="24" customHeight="1">
      <c r="B1" s="3050" t="str">
        <f>IF(dms_DataQuality="backcast",INDEX(dms_Worksheet_List,MATCH(dms_Model,dms_Model_List))&amp;" BACKCAST",INDEX(dms_Worksheet_List,MATCH(dms_Model,dms_Model_List)))</f>
        <v>REGULATORY REPORTING STATEMENT</v>
      </c>
      <c r="C1" s="546"/>
      <c r="D1" s="546"/>
      <c r="E1" s="546"/>
      <c r="F1" s="546"/>
      <c r="G1" s="546"/>
      <c r="H1" s="225"/>
      <c r="I1" s="225"/>
      <c r="J1" s="225"/>
      <c r="K1" s="225"/>
      <c r="L1" s="225"/>
      <c r="M1" s="225"/>
      <c r="N1" s="225"/>
      <c r="O1" s="225"/>
      <c r="P1" s="225"/>
      <c r="Q1" s="225"/>
      <c r="R1" s="225"/>
      <c r="S1" s="225"/>
      <c r="T1" s="225"/>
      <c r="U1" s="546"/>
      <c r="V1" s="546"/>
      <c r="W1" s="546"/>
      <c r="X1" s="546"/>
      <c r="Y1" s="546"/>
      <c r="Z1" s="225"/>
      <c r="AA1" s="225"/>
      <c r="AB1" s="225"/>
      <c r="AC1"/>
      <c r="AD1"/>
    </row>
    <row r="2" spans="1:30" s="223" customFormat="1" ht="24" customHeight="1">
      <c r="B2" s="3054" t="str">
        <f>INDEX(dms_TradingNameFull_List,MATCH(dms_TradingName,dms_TradingName_List))</f>
        <v>AusNet Gas Services</v>
      </c>
      <c r="C2" s="226"/>
      <c r="D2" s="226"/>
      <c r="E2" s="226"/>
      <c r="F2" s="226"/>
      <c r="G2" s="226"/>
      <c r="H2" s="225"/>
      <c r="I2" s="225"/>
      <c r="J2" s="225"/>
      <c r="K2" s="225"/>
      <c r="L2" s="225"/>
      <c r="M2" s="225"/>
      <c r="N2" s="225"/>
      <c r="O2" s="225"/>
      <c r="P2" s="225"/>
      <c r="Q2" s="225"/>
      <c r="R2" s="225"/>
      <c r="S2" s="225"/>
      <c r="T2" s="225"/>
      <c r="U2" s="1428"/>
      <c r="V2" s="1428"/>
      <c r="W2" s="1428"/>
      <c r="X2" s="1428"/>
      <c r="Y2" s="1428"/>
      <c r="Z2" s="225"/>
      <c r="AA2" s="225"/>
      <c r="AB2" s="225"/>
      <c r="AC2"/>
      <c r="AD2"/>
    </row>
    <row r="3" spans="1:30" s="223" customFormat="1" ht="24" customHeight="1">
      <c r="B3" s="3054" t="str">
        <f ca="1">IF(SUM(dms_SingleYear_Model)&gt;0,CRY,CONCATENATE(FRCP_y1," to ",dms_MultiYear_FinalYear_Result))</f>
        <v>2018 to 2022</v>
      </c>
      <c r="C3" s="227"/>
      <c r="D3" s="227"/>
      <c r="E3" s="227"/>
      <c r="F3" s="227"/>
      <c r="G3" s="227"/>
      <c r="H3" s="228" t="str">
        <f>CONCATENATE(LEFT(FRCP_y1,4),"-",LEFT(FRCP_y5,2),RIGHT(FRCP_y5,2))</f>
        <v>2018-2022</v>
      </c>
      <c r="I3" s="228" t="str">
        <f>CONCATENATE(LEFT(FRCP_y1,4),"-",LEFT(FRCP_y5,2),RIGHT(FRCP_y5,2))</f>
        <v>2018-2022</v>
      </c>
      <c r="J3" s="227"/>
      <c r="K3" s="227"/>
      <c r="L3" s="227"/>
      <c r="M3" s="227"/>
      <c r="N3" s="227"/>
      <c r="O3" s="227"/>
      <c r="P3" s="227"/>
      <c r="Q3" s="227"/>
      <c r="R3" s="1426"/>
      <c r="S3" s="1426"/>
      <c r="T3" s="1426"/>
      <c r="U3" s="1426"/>
      <c r="V3" s="1426"/>
      <c r="W3" s="1426"/>
      <c r="X3" s="1426"/>
      <c r="Y3" s="1426"/>
      <c r="Z3" s="228" t="str">
        <f>CONCATENATE(LEFT(FRCP_y1,4),"-",LEFT(FRCP_y5,2),RIGHT(FRCP_y5,2))</f>
        <v>2018-2022</v>
      </c>
      <c r="AA3" s="228" t="str">
        <f>CONCATENATE(LEFT(FRCP_y1,4),"-",LEFT(FRCP_y5,2),RIGHT(FRCP_y5,2))</f>
        <v>2018-2022</v>
      </c>
      <c r="AB3" s="1426"/>
      <c r="AC3"/>
      <c r="AD3"/>
    </row>
    <row r="4" spans="1:30" s="165" customFormat="1" ht="24" customHeight="1">
      <c r="B4" s="10" t="s">
        <v>385</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row>
    <row r="5" spans="1:30">
      <c r="A5" s="409"/>
      <c r="B5" s="308"/>
      <c r="C5" s="1429"/>
      <c r="D5" s="1429"/>
      <c r="E5" s="1429"/>
      <c r="F5" s="1429"/>
      <c r="G5" s="1429"/>
      <c r="H5" s="1429"/>
      <c r="I5" s="1429"/>
      <c r="J5" s="1429"/>
      <c r="K5" s="1429"/>
      <c r="L5" s="1429"/>
      <c r="M5" s="1429"/>
      <c r="N5" s="1429"/>
      <c r="O5" s="1429"/>
      <c r="P5" s="1429"/>
      <c r="Q5" s="1429"/>
      <c r="U5" s="1429"/>
      <c r="V5" s="1429"/>
      <c r="W5" s="1429"/>
      <c r="X5" s="1429"/>
      <c r="Y5" s="1429"/>
      <c r="Z5" s="1429"/>
      <c r="AA5" s="1429"/>
      <c r="AB5" s="1429"/>
    </row>
    <row r="6" spans="1:30">
      <c r="A6" s="798"/>
      <c r="B6" s="308"/>
      <c r="C6" s="1429"/>
      <c r="D6" s="1429"/>
      <c r="E6" s="1429"/>
      <c r="F6" s="1429"/>
      <c r="G6" s="1429"/>
      <c r="H6" s="1429"/>
      <c r="I6" s="1429"/>
      <c r="J6" s="1429"/>
      <c r="K6" s="1429"/>
      <c r="L6" s="1429"/>
      <c r="M6" s="1429"/>
      <c r="N6" s="1429"/>
      <c r="O6" s="1429"/>
      <c r="P6" s="1429"/>
      <c r="Q6" s="1429"/>
      <c r="U6"/>
      <c r="V6"/>
      <c r="W6"/>
      <c r="X6"/>
      <c r="Y6"/>
      <c r="Z6"/>
      <c r="AA6" s="1429"/>
      <c r="AB6" s="1429"/>
    </row>
    <row r="7" spans="1:30" s="1154" customFormat="1">
      <c r="A7" s="1151"/>
      <c r="B7" s="1152" t="s">
        <v>59</v>
      </c>
      <c r="C7" s="1153"/>
      <c r="D7" s="1153"/>
      <c r="E7" s="1153"/>
      <c r="F7"/>
      <c r="G7"/>
      <c r="H7"/>
      <c r="I7"/>
      <c r="J7"/>
      <c r="K7"/>
      <c r="L7"/>
      <c r="M7" s="1151"/>
      <c r="N7" s="1151"/>
      <c r="O7" s="1151"/>
      <c r="P7" s="1151"/>
      <c r="Q7" s="1151"/>
      <c r="R7"/>
      <c r="S7"/>
      <c r="T7"/>
      <c r="U7"/>
      <c r="V7"/>
      <c r="W7"/>
      <c r="X7"/>
      <c r="Y7"/>
      <c r="Z7"/>
      <c r="AA7" s="1427"/>
      <c r="AB7" s="1427"/>
      <c r="AC7"/>
      <c r="AD7"/>
    </row>
    <row r="8" spans="1:30" s="1154" customFormat="1" ht="25.5" customHeight="1">
      <c r="A8" s="1151"/>
      <c r="B8" s="3902" t="s">
        <v>1463</v>
      </c>
      <c r="C8" s="3902"/>
      <c r="D8" s="3902"/>
      <c r="E8" s="3902"/>
      <c r="F8"/>
      <c r="G8"/>
      <c r="H8"/>
      <c r="I8"/>
      <c r="J8"/>
      <c r="K8"/>
      <c r="L8"/>
      <c r="M8" s="1151"/>
      <c r="N8" s="1151"/>
      <c r="O8" s="1151"/>
      <c r="P8" s="1151"/>
      <c r="Q8" s="1151"/>
      <c r="R8"/>
      <c r="S8"/>
      <c r="T8"/>
      <c r="U8"/>
      <c r="V8"/>
      <c r="W8"/>
      <c r="X8"/>
      <c r="Y8"/>
      <c r="Z8"/>
      <c r="AA8" s="1427"/>
      <c r="AB8" s="1427"/>
      <c r="AC8"/>
      <c r="AD8"/>
    </row>
    <row r="9" spans="1:30" s="1154" customFormat="1" ht="16.5" customHeight="1">
      <c r="A9" s="1151"/>
      <c r="B9" s="3902" t="s">
        <v>96</v>
      </c>
      <c r="C9" s="3902"/>
      <c r="D9" s="3902"/>
      <c r="E9" s="3902"/>
      <c r="F9"/>
      <c r="G9"/>
      <c r="H9"/>
      <c r="I9"/>
      <c r="J9"/>
      <c r="K9"/>
      <c r="L9"/>
      <c r="M9" s="1151"/>
      <c r="N9" s="1151"/>
      <c r="O9" s="1155"/>
      <c r="P9" s="1151"/>
      <c r="Q9" s="1151"/>
      <c r="R9"/>
      <c r="S9"/>
      <c r="T9"/>
      <c r="U9"/>
      <c r="V9"/>
      <c r="W9"/>
      <c r="X9"/>
      <c r="Y9"/>
      <c r="Z9"/>
      <c r="AA9" s="1427"/>
      <c r="AB9" s="1427"/>
      <c r="AC9"/>
      <c r="AD9"/>
    </row>
    <row r="10" spans="1:30" s="1154" customFormat="1" ht="16.5" customHeight="1">
      <c r="A10" s="1151"/>
      <c r="B10" s="3902" t="s">
        <v>260</v>
      </c>
      <c r="C10" s="3902"/>
      <c r="D10" s="3902"/>
      <c r="E10" s="3902"/>
      <c r="F10"/>
      <c r="G10"/>
      <c r="H10"/>
      <c r="I10"/>
      <c r="J10"/>
      <c r="K10"/>
      <c r="L10"/>
      <c r="M10" s="1151"/>
      <c r="N10" s="1151"/>
      <c r="O10" s="1151"/>
      <c r="P10" s="1151"/>
      <c r="Q10" s="1151"/>
      <c r="R10"/>
      <c r="S10"/>
      <c r="T10"/>
      <c r="U10"/>
      <c r="V10"/>
      <c r="W10"/>
      <c r="X10" s="1427"/>
      <c r="Y10" s="1427"/>
      <c r="Z10" s="1427"/>
      <c r="AA10" s="1427"/>
      <c r="AB10" s="1427"/>
      <c r="AC10"/>
      <c r="AD10"/>
    </row>
    <row r="11" spans="1:30" s="1154" customFormat="1" ht="16.5" customHeight="1">
      <c r="A11" s="1151"/>
      <c r="B11" s="3902" t="s">
        <v>246</v>
      </c>
      <c r="C11" s="3902"/>
      <c r="D11" s="3902"/>
      <c r="E11" s="3902"/>
      <c r="F11"/>
      <c r="G11"/>
      <c r="H11"/>
      <c r="I11"/>
      <c r="J11"/>
      <c r="K11"/>
      <c r="L11"/>
      <c r="M11" s="1151"/>
      <c r="N11" s="1151"/>
      <c r="O11" s="1151"/>
      <c r="P11" s="1151"/>
      <c r="Q11" s="1151"/>
      <c r="R11"/>
      <c r="S11"/>
      <c r="T11"/>
      <c r="U11"/>
      <c r="V11"/>
      <c r="W11"/>
      <c r="X11" s="1427"/>
      <c r="Y11" s="1427"/>
      <c r="Z11" s="1427"/>
      <c r="AA11" s="1427"/>
      <c r="AB11" s="1427"/>
      <c r="AC11"/>
      <c r="AD11"/>
    </row>
    <row r="12" spans="1:30" ht="12" customHeight="1">
      <c r="A12" s="798"/>
      <c r="D12" s="798"/>
      <c r="E12" s="798"/>
      <c r="F12" s="798"/>
      <c r="G12" s="798"/>
      <c r="H12" s="798"/>
      <c r="I12" s="798"/>
      <c r="J12" s="798"/>
      <c r="K12" s="798"/>
      <c r="L12" s="798"/>
      <c r="M12" s="798"/>
      <c r="N12" s="798"/>
      <c r="O12" s="798"/>
      <c r="P12" s="798"/>
      <c r="Q12" s="798"/>
      <c r="V12" s="1429"/>
      <c r="W12" s="1429"/>
      <c r="X12" s="1429"/>
      <c r="Y12" s="1429"/>
      <c r="Z12" s="1429"/>
      <c r="AA12" s="1429"/>
      <c r="AB12" s="1429"/>
    </row>
    <row r="13" spans="1:30" ht="37.5" customHeight="1" thickBot="1">
      <c r="A13" s="798"/>
      <c r="B13" s="308"/>
      <c r="C13" s="798"/>
      <c r="D13" s="798"/>
      <c r="E13" s="798"/>
      <c r="F13" s="798"/>
      <c r="G13" s="798"/>
      <c r="H13" s="798"/>
      <c r="I13" s="798"/>
      <c r="J13" s="798"/>
      <c r="K13" s="798"/>
      <c r="L13" s="798"/>
      <c r="M13" s="798"/>
      <c r="N13" s="798"/>
      <c r="O13" s="798"/>
      <c r="P13" s="798"/>
      <c r="Q13" s="798"/>
      <c r="U13" s="1429"/>
      <c r="V13" s="1429"/>
      <c r="W13" s="1429"/>
      <c r="X13" s="1429"/>
      <c r="Y13" s="1429"/>
      <c r="Z13" s="1429"/>
      <c r="AA13" s="1429"/>
      <c r="AB13" s="1429"/>
    </row>
    <row r="14" spans="1:30" s="229" customFormat="1" ht="24.75" customHeight="1" thickBot="1">
      <c r="A14" s="308"/>
      <c r="B14" s="856" t="s">
        <v>540</v>
      </c>
      <c r="C14" s="857"/>
      <c r="D14" s="857"/>
      <c r="E14" s="857"/>
      <c r="F14" s="856"/>
      <c r="G14" s="857"/>
      <c r="H14" s="857"/>
      <c r="I14" s="857"/>
      <c r="J14" s="856"/>
      <c r="K14" s="857"/>
      <c r="L14" s="857"/>
      <c r="M14" s="856"/>
      <c r="N14" s="857"/>
      <c r="O14" s="857"/>
      <c r="P14" s="857"/>
      <c r="Q14" s="856"/>
      <c r="R14" s="1427"/>
      <c r="S14" s="1427"/>
      <c r="T14" s="1427"/>
      <c r="U14" s="856" t="s">
        <v>681</v>
      </c>
      <c r="V14" s="857"/>
      <c r="W14" s="857"/>
      <c r="X14" s="856"/>
      <c r="Y14" s="857"/>
      <c r="Z14" s="857"/>
      <c r="AA14" s="857"/>
      <c r="AB14" s="1465"/>
      <c r="AC14" s="1427"/>
      <c r="AD14" s="1427"/>
    </row>
    <row r="15" spans="1:30" s="79" customFormat="1" ht="24.75" customHeight="1" thickBot="1">
      <c r="A15" s="308"/>
      <c r="B15" s="1576" t="s">
        <v>393</v>
      </c>
      <c r="C15" s="1602"/>
      <c r="D15" s="1602"/>
      <c r="E15" s="1602"/>
      <c r="F15" s="1577"/>
      <c r="G15" s="1602"/>
      <c r="H15" s="1602"/>
      <c r="I15" s="1602"/>
      <c r="J15" s="1577"/>
      <c r="K15" s="1602"/>
      <c r="L15" s="1602"/>
      <c r="M15" s="1577"/>
      <c r="N15" s="1602"/>
      <c r="O15" s="1602"/>
      <c r="P15" s="1602"/>
      <c r="Q15" s="1578"/>
      <c r="R15"/>
      <c r="S15"/>
      <c r="T15"/>
      <c r="U15" s="2246"/>
      <c r="V15" s="1602"/>
      <c r="W15" s="1602"/>
      <c r="X15" s="1577"/>
      <c r="Y15" s="1602"/>
      <c r="Z15" s="1602"/>
      <c r="AA15" s="1602"/>
      <c r="AB15" s="1578"/>
      <c r="AC15"/>
      <c r="AD15"/>
    </row>
    <row r="16" spans="1:30" s="126" customFormat="1" ht="17.25" customHeight="1">
      <c r="A16" s="781"/>
      <c r="B16" s="3903"/>
      <c r="C16" s="3620" t="s">
        <v>36</v>
      </c>
      <c r="D16" s="3549"/>
      <c r="E16" s="3549"/>
      <c r="F16" s="3549"/>
      <c r="G16" s="3549"/>
      <c r="H16" s="3602" t="s">
        <v>37</v>
      </c>
      <c r="I16" s="3603"/>
      <c r="J16" s="3603"/>
      <c r="K16" s="3603"/>
      <c r="L16" s="3603"/>
      <c r="M16" s="3543" t="s">
        <v>73</v>
      </c>
      <c r="N16" s="3543"/>
      <c r="O16" s="3543"/>
      <c r="P16" s="3543"/>
      <c r="Q16" s="3835"/>
      <c r="R16"/>
      <c r="S16"/>
      <c r="T16"/>
      <c r="U16" s="3601" t="s">
        <v>36</v>
      </c>
      <c r="V16" s="3549"/>
      <c r="W16" s="3549"/>
      <c r="X16" s="3549"/>
      <c r="Y16" s="3549"/>
      <c r="Z16" s="3602" t="s">
        <v>37</v>
      </c>
      <c r="AA16" s="3603"/>
      <c r="AB16" s="3604"/>
      <c r="AC16"/>
      <c r="AD16"/>
    </row>
    <row r="17" spans="1:30" s="126" customFormat="1" ht="17.25" customHeight="1">
      <c r="A17" s="781"/>
      <c r="B17" s="3904"/>
      <c r="C17" s="3550" t="s">
        <v>579</v>
      </c>
      <c r="D17" s="3551"/>
      <c r="E17" s="3551"/>
      <c r="F17" s="3551"/>
      <c r="G17" s="3551"/>
      <c r="H17" s="3551"/>
      <c r="I17" s="3551"/>
      <c r="J17" s="3595"/>
      <c r="K17" s="3589" t="str">
        <f>CONCATENATE("$0's, real ",dms_DollarReal)</f>
        <v>$0's, real December 2017</v>
      </c>
      <c r="L17" s="3590"/>
      <c r="M17" s="3590"/>
      <c r="N17" s="3590"/>
      <c r="O17" s="3590"/>
      <c r="P17" s="3590"/>
      <c r="Q17" s="3734"/>
      <c r="R17"/>
      <c r="S17"/>
      <c r="T17"/>
      <c r="U17" s="3605" t="str">
        <f>CONCATENATE("$0's, real ",dms_DollarReal)</f>
        <v>$0's, real December 2017</v>
      </c>
      <c r="V17" s="3590"/>
      <c r="W17" s="3590"/>
      <c r="X17" s="3590"/>
      <c r="Y17" s="3590"/>
      <c r="Z17" s="3590"/>
      <c r="AA17" s="3590"/>
      <c r="AB17" s="3591"/>
      <c r="AC17"/>
      <c r="AD17"/>
    </row>
    <row r="18" spans="1:30" s="126" customFormat="1" ht="17.25" customHeight="1">
      <c r="A18" s="781"/>
      <c r="B18" s="3904"/>
      <c r="C18" s="3550" t="s">
        <v>54</v>
      </c>
      <c r="D18" s="3551"/>
      <c r="E18" s="3551"/>
      <c r="F18" s="3551"/>
      <c r="G18" s="3551"/>
      <c r="H18" s="3551"/>
      <c r="I18" s="3551"/>
      <c r="J18" s="3595"/>
      <c r="K18" s="3589" t="s">
        <v>55</v>
      </c>
      <c r="L18" s="3590"/>
      <c r="M18" s="3590"/>
      <c r="N18" s="3590"/>
      <c r="O18" s="3590"/>
      <c r="P18" s="3590"/>
      <c r="Q18" s="3734"/>
      <c r="R18"/>
      <c r="S18"/>
      <c r="T18"/>
      <c r="U18" s="3550" t="s">
        <v>54</v>
      </c>
      <c r="V18" s="3551"/>
      <c r="W18" s="3551"/>
      <c r="X18" s="3551"/>
      <c r="Y18" s="3551"/>
      <c r="Z18" s="3551"/>
      <c r="AA18" s="3551"/>
      <c r="AB18" s="3552"/>
      <c r="AC18"/>
      <c r="AD18"/>
    </row>
    <row r="19" spans="1:30" s="126" customFormat="1" ht="17.25" customHeight="1" thickBot="1">
      <c r="A19" s="781"/>
      <c r="B19" s="3905"/>
      <c r="C19" s="391">
        <f t="array" ref="C19:G19">PRCP</f>
        <v>2008</v>
      </c>
      <c r="D19" s="390">
        <v>2009</v>
      </c>
      <c r="E19" s="390">
        <v>2010</v>
      </c>
      <c r="F19" s="390">
        <v>2011</v>
      </c>
      <c r="G19" s="390">
        <v>2012</v>
      </c>
      <c r="H19" s="392">
        <f>CRCP_y1</f>
        <v>2013</v>
      </c>
      <c r="I19" s="392">
        <f>CRCP_y2</f>
        <v>2014</v>
      </c>
      <c r="J19" s="392">
        <f>CRCP_y3</f>
        <v>2015</v>
      </c>
      <c r="K19" s="392">
        <f>CRCP_y4</f>
        <v>2016</v>
      </c>
      <c r="L19" s="392">
        <f>CRCP_y5</f>
        <v>2017</v>
      </c>
      <c r="M19" s="390" t="str">
        <f t="array" ref="M19:Q19">FRCP</f>
        <v>2018</v>
      </c>
      <c r="N19" s="390">
        <v>2019</v>
      </c>
      <c r="O19" s="390">
        <v>2020</v>
      </c>
      <c r="P19" s="390">
        <v>2021</v>
      </c>
      <c r="Q19" s="786">
        <v>2022</v>
      </c>
      <c r="R19"/>
      <c r="S19"/>
      <c r="T19"/>
      <c r="U19" s="1789">
        <f t="array" ref="U19:Y19">PRCP</f>
        <v>2008</v>
      </c>
      <c r="V19" s="390">
        <v>2009</v>
      </c>
      <c r="W19" s="390">
        <v>2010</v>
      </c>
      <c r="X19" s="390">
        <v>2011</v>
      </c>
      <c r="Y19" s="390">
        <v>2012</v>
      </c>
      <c r="Z19" s="392">
        <f>CRCP_y1</f>
        <v>2013</v>
      </c>
      <c r="AA19" s="392">
        <f>CRCP_y2</f>
        <v>2014</v>
      </c>
      <c r="AB19" s="603">
        <f>CRCP_y3</f>
        <v>2015</v>
      </c>
      <c r="AC19"/>
      <c r="AD19"/>
    </row>
    <row r="20" spans="1:30" s="529" customFormat="1" ht="24.75" customHeight="1" thickBot="1">
      <c r="A20" s="308"/>
      <c r="B20" s="743" t="str">
        <f>CONCATENATE("Table 16.1.1 - ",'17. Gross Capex '!B21)</f>
        <v>Table 16.1.1 - Transmission pipelines</v>
      </c>
      <c r="C20" s="315"/>
      <c r="D20" s="315"/>
      <c r="E20" s="315"/>
      <c r="F20" s="315"/>
      <c r="G20" s="315"/>
      <c r="H20" s="315"/>
      <c r="I20" s="315"/>
      <c r="J20" s="315"/>
      <c r="K20" s="315"/>
      <c r="L20" s="315"/>
      <c r="M20" s="315"/>
      <c r="N20" s="315"/>
      <c r="O20" s="315"/>
      <c r="P20" s="315"/>
      <c r="Q20" s="756"/>
      <c r="R20"/>
      <c r="S20"/>
      <c r="T20"/>
      <c r="U20" s="298"/>
      <c r="V20" s="315"/>
      <c r="W20" s="315"/>
      <c r="X20" s="315"/>
      <c r="Y20" s="315"/>
      <c r="Z20" s="315"/>
      <c r="AA20" s="315"/>
      <c r="AB20" s="316"/>
      <c r="AC20"/>
      <c r="AD20"/>
    </row>
    <row r="21" spans="1:30" outlineLevel="2">
      <c r="A21" s="798"/>
      <c r="B21" s="2347" t="s">
        <v>1453</v>
      </c>
      <c r="C21" s="914"/>
      <c r="D21" s="915"/>
      <c r="E21" s="915"/>
      <c r="F21" s="915"/>
      <c r="G21" s="916"/>
      <c r="H21" s="914"/>
      <c r="I21" s="915"/>
      <c r="J21" s="915"/>
      <c r="K21" s="915"/>
      <c r="L21" s="915"/>
      <c r="M21" s="914"/>
      <c r="N21" s="915"/>
      <c r="O21" s="915"/>
      <c r="P21" s="915"/>
      <c r="Q21" s="916"/>
      <c r="U21" s="2236"/>
      <c r="V21" s="2237"/>
      <c r="W21" s="2237"/>
      <c r="X21" s="2237"/>
      <c r="Y21" s="2238"/>
      <c r="Z21" s="2236"/>
      <c r="AA21" s="2237"/>
      <c r="AB21" s="2238"/>
    </row>
    <row r="22" spans="1:30" outlineLevel="2">
      <c r="A22" s="798"/>
      <c r="B22" s="2347" t="s">
        <v>481</v>
      </c>
      <c r="C22" s="917"/>
      <c r="D22" s="796"/>
      <c r="E22" s="796"/>
      <c r="F22" s="796"/>
      <c r="G22" s="918"/>
      <c r="H22" s="917"/>
      <c r="I22" s="796"/>
      <c r="J22" s="796"/>
      <c r="K22" s="796"/>
      <c r="L22" s="796"/>
      <c r="M22" s="917"/>
      <c r="N22" s="796"/>
      <c r="O22" s="796"/>
      <c r="P22" s="796"/>
      <c r="Q22" s="918"/>
      <c r="U22" s="2239"/>
      <c r="V22" s="2240"/>
      <c r="W22" s="2240"/>
      <c r="X22" s="2240"/>
      <c r="Y22" s="2241"/>
      <c r="Z22" s="2239"/>
      <c r="AA22" s="2240"/>
      <c r="AB22" s="2241"/>
    </row>
    <row r="23" spans="1:30" outlineLevel="2">
      <c r="A23" s="798"/>
      <c r="B23" s="2347" t="s">
        <v>482</v>
      </c>
      <c r="C23" s="917"/>
      <c r="D23" s="796"/>
      <c r="E23" s="796"/>
      <c r="F23" s="796"/>
      <c r="G23" s="918"/>
      <c r="H23" s="917"/>
      <c r="I23" s="796"/>
      <c r="J23" s="796"/>
      <c r="K23" s="796"/>
      <c r="L23" s="796"/>
      <c r="M23" s="917"/>
      <c r="N23" s="796"/>
      <c r="O23" s="796"/>
      <c r="P23" s="796"/>
      <c r="Q23" s="918"/>
      <c r="U23" s="2239"/>
      <c r="V23" s="2240"/>
      <c r="W23" s="2240"/>
      <c r="X23" s="2240"/>
      <c r="Y23" s="2241"/>
      <c r="Z23" s="2239"/>
      <c r="AA23" s="2240"/>
      <c r="AB23" s="2241"/>
    </row>
    <row r="24" spans="1:30" outlineLevel="2">
      <c r="A24" s="798"/>
      <c r="B24" s="2347" t="s">
        <v>483</v>
      </c>
      <c r="C24" s="917"/>
      <c r="D24" s="796"/>
      <c r="E24" s="796"/>
      <c r="F24" s="796"/>
      <c r="G24" s="918"/>
      <c r="H24" s="917"/>
      <c r="I24" s="796"/>
      <c r="J24" s="796"/>
      <c r="K24" s="796"/>
      <c r="L24" s="796"/>
      <c r="M24" s="917"/>
      <c r="N24" s="796"/>
      <c r="O24" s="796"/>
      <c r="P24" s="796"/>
      <c r="Q24" s="918"/>
      <c r="U24" s="2239"/>
      <c r="V24" s="2240"/>
      <c r="W24" s="2240"/>
      <c r="X24" s="2240"/>
      <c r="Y24" s="2241"/>
      <c r="Z24" s="2239"/>
      <c r="AA24" s="2240"/>
      <c r="AB24" s="2241"/>
    </row>
    <row r="25" spans="1:30" outlineLevel="2">
      <c r="A25" s="798"/>
      <c r="B25" s="2347" t="s">
        <v>484</v>
      </c>
      <c r="C25" s="917"/>
      <c r="D25" s="796"/>
      <c r="E25" s="796"/>
      <c r="F25" s="796"/>
      <c r="G25" s="918"/>
      <c r="H25" s="917"/>
      <c r="I25" s="796"/>
      <c r="J25" s="796"/>
      <c r="K25" s="796"/>
      <c r="L25" s="796"/>
      <c r="M25" s="917"/>
      <c r="N25" s="796"/>
      <c r="O25" s="796"/>
      <c r="P25" s="796"/>
      <c r="Q25" s="918"/>
      <c r="U25" s="2239"/>
      <c r="V25" s="2240"/>
      <c r="W25" s="2240"/>
      <c r="X25" s="2240"/>
      <c r="Y25" s="2241"/>
      <c r="Z25" s="2239"/>
      <c r="AA25" s="2240"/>
      <c r="AB25" s="2241"/>
    </row>
    <row r="26" spans="1:30" outlineLevel="2">
      <c r="A26" s="798"/>
      <c r="B26" s="2347" t="s">
        <v>1454</v>
      </c>
      <c r="C26" s="917"/>
      <c r="D26" s="796"/>
      <c r="E26" s="796"/>
      <c r="F26" s="796"/>
      <c r="G26" s="918"/>
      <c r="H26" s="917"/>
      <c r="I26" s="796"/>
      <c r="J26" s="796"/>
      <c r="K26" s="796"/>
      <c r="L26" s="796"/>
      <c r="M26" s="917"/>
      <c r="N26" s="796"/>
      <c r="O26" s="796"/>
      <c r="P26" s="796"/>
      <c r="Q26" s="918"/>
      <c r="U26" s="2239"/>
      <c r="V26" s="2240"/>
      <c r="W26" s="2240"/>
      <c r="X26" s="2240"/>
      <c r="Y26" s="2241"/>
      <c r="Z26" s="2239"/>
      <c r="AA26" s="2240"/>
      <c r="AB26" s="2241"/>
    </row>
    <row r="27" spans="1:30" outlineLevel="2">
      <c r="A27" s="798"/>
      <c r="B27" s="2347" t="s">
        <v>56</v>
      </c>
      <c r="C27" s="919"/>
      <c r="D27" s="797"/>
      <c r="E27" s="797"/>
      <c r="F27" s="797"/>
      <c r="G27" s="920"/>
      <c r="H27" s="919"/>
      <c r="I27" s="797"/>
      <c r="J27" s="797"/>
      <c r="K27" s="797"/>
      <c r="L27" s="797"/>
      <c r="M27" s="919"/>
      <c r="N27" s="797"/>
      <c r="O27" s="797"/>
      <c r="P27" s="797"/>
      <c r="Q27" s="920"/>
      <c r="U27" s="2242"/>
      <c r="V27" s="2243"/>
      <c r="W27" s="2243"/>
      <c r="X27" s="2243"/>
      <c r="Y27" s="2244"/>
      <c r="Z27" s="2242"/>
      <c r="AA27" s="2243"/>
      <c r="AB27" s="2244"/>
    </row>
    <row r="28" spans="1:30" outlineLevel="2">
      <c r="A28" s="798"/>
      <c r="B28" s="2347" t="s">
        <v>87</v>
      </c>
      <c r="C28" s="919"/>
      <c r="D28" s="797"/>
      <c r="E28" s="797"/>
      <c r="F28" s="797"/>
      <c r="G28" s="920"/>
      <c r="H28" s="919"/>
      <c r="I28" s="797"/>
      <c r="J28" s="797"/>
      <c r="K28" s="797"/>
      <c r="L28" s="797"/>
      <c r="M28" s="919"/>
      <c r="N28" s="797"/>
      <c r="O28" s="797"/>
      <c r="P28" s="797"/>
      <c r="Q28" s="920"/>
      <c r="U28" s="2242"/>
      <c r="V28" s="2243"/>
      <c r="W28" s="2243"/>
      <c r="X28" s="2243"/>
      <c r="Y28" s="2244"/>
      <c r="Z28" s="2242"/>
      <c r="AA28" s="2243"/>
      <c r="AB28" s="2244"/>
    </row>
    <row r="29" spans="1:30" ht="13.5" outlineLevel="2" thickBot="1">
      <c r="A29" s="798"/>
      <c r="B29" s="913" t="s">
        <v>1455</v>
      </c>
      <c r="C29" s="919"/>
      <c r="D29" s="797"/>
      <c r="E29" s="797"/>
      <c r="F29" s="797"/>
      <c r="G29" s="920"/>
      <c r="H29" s="919"/>
      <c r="I29" s="797"/>
      <c r="J29" s="797"/>
      <c r="K29" s="797"/>
      <c r="L29" s="797"/>
      <c r="M29" s="919"/>
      <c r="N29" s="797"/>
      <c r="O29" s="797"/>
      <c r="P29" s="797"/>
      <c r="Q29" s="920"/>
      <c r="U29" s="2242"/>
      <c r="V29" s="2243"/>
      <c r="W29" s="2243"/>
      <c r="X29" s="2243"/>
      <c r="Y29" s="2244"/>
      <c r="Z29" s="2242"/>
      <c r="AA29" s="2243"/>
      <c r="AB29" s="2244"/>
    </row>
    <row r="30" spans="1:30" ht="13.5" outlineLevel="1" thickBot="1">
      <c r="A30" s="798"/>
      <c r="B30" s="800" t="s">
        <v>63</v>
      </c>
      <c r="C30" s="801">
        <f t="shared" ref="C30:Q30" si="0">SUM(C21:C29)</f>
        <v>0</v>
      </c>
      <c r="D30" s="801">
        <f t="shared" si="0"/>
        <v>0</v>
      </c>
      <c r="E30" s="801">
        <f t="shared" si="0"/>
        <v>0</v>
      </c>
      <c r="F30" s="801">
        <f t="shared" si="0"/>
        <v>0</v>
      </c>
      <c r="G30" s="801">
        <f t="shared" si="0"/>
        <v>0</v>
      </c>
      <c r="H30" s="801">
        <f t="shared" si="0"/>
        <v>0</v>
      </c>
      <c r="I30" s="801">
        <f t="shared" si="0"/>
        <v>0</v>
      </c>
      <c r="J30" s="801">
        <f t="shared" si="0"/>
        <v>0</v>
      </c>
      <c r="K30" s="801">
        <f t="shared" si="0"/>
        <v>0</v>
      </c>
      <c r="L30" s="801">
        <f t="shared" si="0"/>
        <v>0</v>
      </c>
      <c r="M30" s="801">
        <f t="shared" si="0"/>
        <v>0</v>
      </c>
      <c r="N30" s="801">
        <f t="shared" si="0"/>
        <v>0</v>
      </c>
      <c r="O30" s="801">
        <f t="shared" si="0"/>
        <v>0</v>
      </c>
      <c r="P30" s="801">
        <f t="shared" si="0"/>
        <v>0</v>
      </c>
      <c r="Q30" s="802">
        <f t="shared" si="0"/>
        <v>0</v>
      </c>
      <c r="U30" s="800">
        <f t="shared" ref="U30:AB30" si="1">SUM(U21:U29)</f>
        <v>0</v>
      </c>
      <c r="V30" s="801">
        <f t="shared" si="1"/>
        <v>0</v>
      </c>
      <c r="W30" s="801">
        <f t="shared" si="1"/>
        <v>0</v>
      </c>
      <c r="X30" s="801">
        <f t="shared" si="1"/>
        <v>0</v>
      </c>
      <c r="Y30" s="801">
        <f t="shared" si="1"/>
        <v>0</v>
      </c>
      <c r="Z30" s="801">
        <f t="shared" si="1"/>
        <v>0</v>
      </c>
      <c r="AA30" s="801">
        <f t="shared" si="1"/>
        <v>0</v>
      </c>
      <c r="AB30" s="802">
        <f t="shared" si="1"/>
        <v>0</v>
      </c>
    </row>
    <row r="31" spans="1:30" s="288" customFormat="1" ht="23.25" customHeight="1" outlineLevel="1" thickBot="1">
      <c r="R31"/>
      <c r="S31"/>
      <c r="T31"/>
      <c r="U31" s="1429"/>
      <c r="V31" s="1429"/>
      <c r="W31" s="1429"/>
      <c r="X31" s="1429"/>
      <c r="Y31" s="1429"/>
      <c r="Z31" s="1429"/>
      <c r="AA31" s="1429"/>
      <c r="AB31" s="1429"/>
      <c r="AC31"/>
      <c r="AD31"/>
    </row>
    <row r="32" spans="1:30" s="529" customFormat="1" ht="24.75" customHeight="1" thickBot="1">
      <c r="A32" s="308"/>
      <c r="B32" s="743" t="str">
        <f>CONCATENATE("Table 16.1.2 - ",'17. Gross Capex '!B22)</f>
        <v>Table 16.1.2 - Distribution pipelines</v>
      </c>
      <c r="C32" s="315"/>
      <c r="D32" s="315"/>
      <c r="E32" s="315"/>
      <c r="F32" s="315"/>
      <c r="G32" s="315"/>
      <c r="H32" s="315"/>
      <c r="I32" s="315"/>
      <c r="J32" s="315"/>
      <c r="K32" s="315"/>
      <c r="L32" s="315"/>
      <c r="M32" s="315"/>
      <c r="N32" s="315"/>
      <c r="O32" s="315"/>
      <c r="P32" s="315"/>
      <c r="Q32" s="756"/>
      <c r="R32"/>
      <c r="S32"/>
      <c r="T32"/>
      <c r="U32" s="298"/>
      <c r="V32" s="315"/>
      <c r="W32" s="315"/>
      <c r="X32" s="315"/>
      <c r="Y32" s="315"/>
      <c r="Z32" s="315"/>
      <c r="AA32" s="315"/>
      <c r="AB32" s="316"/>
      <c r="AC32"/>
      <c r="AD32"/>
    </row>
    <row r="33" spans="1:30" outlineLevel="2">
      <c r="A33" s="798"/>
      <c r="B33" s="2347" t="s">
        <v>1453</v>
      </c>
      <c r="C33" s="914"/>
      <c r="D33" s="915"/>
      <c r="E33" s="915"/>
      <c r="F33" s="915"/>
      <c r="G33" s="916"/>
      <c r="H33" s="914"/>
      <c r="I33" s="915"/>
      <c r="J33" s="915"/>
      <c r="K33" s="915"/>
      <c r="L33" s="915"/>
      <c r="M33" s="914"/>
      <c r="N33" s="915"/>
      <c r="O33" s="915"/>
      <c r="P33" s="915"/>
      <c r="Q33" s="916"/>
      <c r="U33" s="2236"/>
      <c r="V33" s="2237"/>
      <c r="W33" s="2237"/>
      <c r="X33" s="2237"/>
      <c r="Y33" s="2238"/>
      <c r="Z33" s="2236"/>
      <c r="AA33" s="2237"/>
      <c r="AB33" s="2238"/>
    </row>
    <row r="34" spans="1:30" outlineLevel="2">
      <c r="A34" s="798"/>
      <c r="B34" s="2347" t="s">
        <v>481</v>
      </c>
      <c r="C34" s="917"/>
      <c r="D34" s="796"/>
      <c r="E34" s="796"/>
      <c r="F34" s="796"/>
      <c r="G34" s="918"/>
      <c r="H34" s="917"/>
      <c r="I34" s="796"/>
      <c r="J34" s="796"/>
      <c r="K34" s="796"/>
      <c r="L34" s="796"/>
      <c r="M34" s="917"/>
      <c r="N34" s="796"/>
      <c r="O34" s="796"/>
      <c r="P34" s="796"/>
      <c r="Q34" s="918"/>
      <c r="U34" s="2239"/>
      <c r="V34" s="2240"/>
      <c r="W34" s="2240"/>
      <c r="X34" s="2240"/>
      <c r="Y34" s="2241"/>
      <c r="Z34" s="2239"/>
      <c r="AA34" s="2240"/>
      <c r="AB34" s="2241"/>
    </row>
    <row r="35" spans="1:30" outlineLevel="2">
      <c r="A35" s="798"/>
      <c r="B35" s="2347" t="s">
        <v>482</v>
      </c>
      <c r="C35" s="917"/>
      <c r="D35" s="796"/>
      <c r="E35" s="796"/>
      <c r="F35" s="796"/>
      <c r="G35" s="918"/>
      <c r="H35" s="917"/>
      <c r="I35" s="796"/>
      <c r="J35" s="796"/>
      <c r="K35" s="796"/>
      <c r="L35" s="796"/>
      <c r="M35" s="917"/>
      <c r="N35" s="796"/>
      <c r="O35" s="796"/>
      <c r="P35" s="796"/>
      <c r="Q35" s="918"/>
      <c r="U35" s="2239"/>
      <c r="V35" s="2240"/>
      <c r="W35" s="2240"/>
      <c r="X35" s="2240"/>
      <c r="Y35" s="2241"/>
      <c r="Z35" s="2239"/>
      <c r="AA35" s="2240"/>
      <c r="AB35" s="2241"/>
    </row>
    <row r="36" spans="1:30" outlineLevel="2">
      <c r="A36" s="798"/>
      <c r="B36" s="2347" t="s">
        <v>483</v>
      </c>
      <c r="C36" s="917"/>
      <c r="D36" s="796"/>
      <c r="E36" s="796"/>
      <c r="F36" s="796"/>
      <c r="G36" s="918"/>
      <c r="H36" s="917"/>
      <c r="I36" s="796"/>
      <c r="J36" s="796"/>
      <c r="K36" s="796"/>
      <c r="L36" s="796"/>
      <c r="M36" s="917"/>
      <c r="N36" s="796"/>
      <c r="O36" s="796"/>
      <c r="P36" s="796"/>
      <c r="Q36" s="918"/>
      <c r="U36" s="2239"/>
      <c r="V36" s="2240"/>
      <c r="W36" s="2240"/>
      <c r="X36" s="2240"/>
      <c r="Y36" s="2241"/>
      <c r="Z36" s="2239"/>
      <c r="AA36" s="2240"/>
      <c r="AB36" s="2241"/>
    </row>
    <row r="37" spans="1:30" outlineLevel="2">
      <c r="A37" s="798"/>
      <c r="B37" s="2347" t="s">
        <v>484</v>
      </c>
      <c r="C37" s="917"/>
      <c r="D37" s="796"/>
      <c r="E37" s="796"/>
      <c r="F37" s="796"/>
      <c r="G37" s="918"/>
      <c r="H37" s="917"/>
      <c r="I37" s="796"/>
      <c r="J37" s="796"/>
      <c r="K37" s="796"/>
      <c r="L37" s="796"/>
      <c r="M37" s="917"/>
      <c r="N37" s="796"/>
      <c r="O37" s="796"/>
      <c r="P37" s="796"/>
      <c r="Q37" s="918"/>
      <c r="U37" s="2239"/>
      <c r="V37" s="2240"/>
      <c r="W37" s="2240"/>
      <c r="X37" s="2240"/>
      <c r="Y37" s="2241"/>
      <c r="Z37" s="2239"/>
      <c r="AA37" s="2240"/>
      <c r="AB37" s="2241"/>
    </row>
    <row r="38" spans="1:30" outlineLevel="2">
      <c r="A38" s="798"/>
      <c r="B38" s="2347" t="s">
        <v>1454</v>
      </c>
      <c r="C38" s="917"/>
      <c r="D38" s="796"/>
      <c r="E38" s="796"/>
      <c r="F38" s="796"/>
      <c r="G38" s="918"/>
      <c r="H38" s="917"/>
      <c r="I38" s="796"/>
      <c r="J38" s="796"/>
      <c r="K38" s="796"/>
      <c r="L38" s="796"/>
      <c r="M38" s="917"/>
      <c r="N38" s="796"/>
      <c r="O38" s="796"/>
      <c r="P38" s="796"/>
      <c r="Q38" s="918"/>
      <c r="U38" s="2239"/>
      <c r="V38" s="2240"/>
      <c r="W38" s="2240"/>
      <c r="X38" s="2240"/>
      <c r="Y38" s="2241"/>
      <c r="Z38" s="2239"/>
      <c r="AA38" s="2240"/>
      <c r="AB38" s="2241"/>
    </row>
    <row r="39" spans="1:30" outlineLevel="2">
      <c r="A39" s="798"/>
      <c r="B39" s="2347" t="s">
        <v>56</v>
      </c>
      <c r="C39" s="919"/>
      <c r="D39" s="797"/>
      <c r="E39" s="797"/>
      <c r="F39" s="797"/>
      <c r="G39" s="920"/>
      <c r="H39" s="919"/>
      <c r="I39" s="797"/>
      <c r="J39" s="797"/>
      <c r="K39" s="797"/>
      <c r="L39" s="797"/>
      <c r="M39" s="919"/>
      <c r="N39" s="797"/>
      <c r="O39" s="797"/>
      <c r="P39" s="797"/>
      <c r="Q39" s="920"/>
      <c r="U39" s="2242"/>
      <c r="V39" s="2243"/>
      <c r="W39" s="2243"/>
      <c r="X39" s="2243"/>
      <c r="Y39" s="2244"/>
      <c r="Z39" s="2242"/>
      <c r="AA39" s="2243"/>
      <c r="AB39" s="2244"/>
    </row>
    <row r="40" spans="1:30" outlineLevel="2">
      <c r="A40" s="798"/>
      <c r="B40" s="2347" t="s">
        <v>87</v>
      </c>
      <c r="C40" s="919"/>
      <c r="D40" s="797"/>
      <c r="E40" s="797"/>
      <c r="F40" s="797"/>
      <c r="G40" s="920"/>
      <c r="H40" s="919"/>
      <c r="I40" s="797"/>
      <c r="J40" s="797"/>
      <c r="K40" s="797"/>
      <c r="L40" s="797"/>
      <c r="M40" s="919"/>
      <c r="N40" s="797"/>
      <c r="O40" s="797"/>
      <c r="P40" s="797"/>
      <c r="Q40" s="920"/>
      <c r="U40" s="2242"/>
      <c r="V40" s="2243"/>
      <c r="W40" s="2243"/>
      <c r="X40" s="2243"/>
      <c r="Y40" s="2244"/>
      <c r="Z40" s="2242"/>
      <c r="AA40" s="2243"/>
      <c r="AB40" s="2244"/>
    </row>
    <row r="41" spans="1:30" ht="13.5" outlineLevel="2" thickBot="1">
      <c r="A41" s="798"/>
      <c r="B41" s="913" t="s">
        <v>1455</v>
      </c>
      <c r="C41" s="919"/>
      <c r="D41" s="797"/>
      <c r="E41" s="797"/>
      <c r="F41" s="797"/>
      <c r="G41" s="920"/>
      <c r="H41" s="919"/>
      <c r="I41" s="797"/>
      <c r="J41" s="797"/>
      <c r="K41" s="797"/>
      <c r="L41" s="797"/>
      <c r="M41" s="919"/>
      <c r="N41" s="797"/>
      <c r="O41" s="797"/>
      <c r="P41" s="797"/>
      <c r="Q41" s="920"/>
      <c r="U41" s="2242"/>
      <c r="V41" s="2243"/>
      <c r="W41" s="2243"/>
      <c r="X41" s="2243"/>
      <c r="Y41" s="2244"/>
      <c r="Z41" s="2242"/>
      <c r="AA41" s="2243"/>
      <c r="AB41" s="2244"/>
    </row>
    <row r="42" spans="1:30" ht="13.5" outlineLevel="1" thickBot="1">
      <c r="A42" s="798"/>
      <c r="B42" s="800" t="s">
        <v>63</v>
      </c>
      <c r="C42" s="801">
        <f t="shared" ref="C42:Q42" si="2">SUM(C33:C41)</f>
        <v>0</v>
      </c>
      <c r="D42" s="801">
        <f t="shared" si="2"/>
        <v>0</v>
      </c>
      <c r="E42" s="801">
        <f t="shared" si="2"/>
        <v>0</v>
      </c>
      <c r="F42" s="801">
        <f t="shared" si="2"/>
        <v>0</v>
      </c>
      <c r="G42" s="801">
        <f t="shared" si="2"/>
        <v>0</v>
      </c>
      <c r="H42" s="801">
        <f t="shared" si="2"/>
        <v>0</v>
      </c>
      <c r="I42" s="801">
        <f t="shared" si="2"/>
        <v>0</v>
      </c>
      <c r="J42" s="801">
        <f t="shared" si="2"/>
        <v>0</v>
      </c>
      <c r="K42" s="801">
        <f t="shared" si="2"/>
        <v>0</v>
      </c>
      <c r="L42" s="801">
        <f t="shared" si="2"/>
        <v>0</v>
      </c>
      <c r="M42" s="801">
        <f t="shared" si="2"/>
        <v>0</v>
      </c>
      <c r="N42" s="801">
        <f t="shared" si="2"/>
        <v>0</v>
      </c>
      <c r="O42" s="801">
        <f t="shared" si="2"/>
        <v>0</v>
      </c>
      <c r="P42" s="801">
        <f t="shared" si="2"/>
        <v>0</v>
      </c>
      <c r="Q42" s="802">
        <f t="shared" si="2"/>
        <v>0</v>
      </c>
      <c r="U42" s="800">
        <f t="shared" ref="U42:AB42" si="3">SUM(U33:U41)</f>
        <v>0</v>
      </c>
      <c r="V42" s="801">
        <f t="shared" si="3"/>
        <v>0</v>
      </c>
      <c r="W42" s="801">
        <f t="shared" si="3"/>
        <v>0</v>
      </c>
      <c r="X42" s="801">
        <f t="shared" si="3"/>
        <v>0</v>
      </c>
      <c r="Y42" s="801">
        <f t="shared" si="3"/>
        <v>0</v>
      </c>
      <c r="Z42" s="801">
        <f t="shared" si="3"/>
        <v>0</v>
      </c>
      <c r="AA42" s="801">
        <f t="shared" si="3"/>
        <v>0</v>
      </c>
      <c r="AB42" s="802">
        <f t="shared" si="3"/>
        <v>0</v>
      </c>
    </row>
    <row r="43" spans="1:30" s="1429" customFormat="1" ht="23.25" customHeight="1" outlineLevel="1" thickBot="1">
      <c r="R43" s="1427"/>
      <c r="S43" s="1427"/>
      <c r="T43" s="1427"/>
      <c r="AC43" s="1427"/>
      <c r="AD43" s="1427"/>
    </row>
    <row r="44" spans="1:30" s="529" customFormat="1" ht="24.75" customHeight="1" thickBot="1">
      <c r="A44" s="308"/>
      <c r="B44" s="743" t="str">
        <f>CONCATENATE("Table 16.1.3 - ",'17. Gross Capex '!B23)</f>
        <v>Table 16.1.3 - Service pipes</v>
      </c>
      <c r="C44" s="315"/>
      <c r="D44" s="315"/>
      <c r="E44" s="315"/>
      <c r="F44" s="315"/>
      <c r="G44" s="315"/>
      <c r="H44" s="315"/>
      <c r="I44" s="315"/>
      <c r="J44" s="315"/>
      <c r="K44" s="315"/>
      <c r="L44" s="315"/>
      <c r="M44" s="315"/>
      <c r="N44" s="315"/>
      <c r="O44" s="315"/>
      <c r="P44" s="315"/>
      <c r="Q44" s="756"/>
      <c r="R44"/>
      <c r="S44"/>
      <c r="T44"/>
      <c r="U44" s="298"/>
      <c r="V44" s="315"/>
      <c r="W44" s="315"/>
      <c r="X44" s="315"/>
      <c r="Y44" s="315"/>
      <c r="Z44" s="315"/>
      <c r="AA44" s="315"/>
      <c r="AB44" s="316"/>
      <c r="AC44"/>
      <c r="AD44"/>
    </row>
    <row r="45" spans="1:30" outlineLevel="2">
      <c r="A45" s="798"/>
      <c r="B45" s="2347" t="s">
        <v>1453</v>
      </c>
      <c r="C45" s="914"/>
      <c r="D45" s="915"/>
      <c r="E45" s="915"/>
      <c r="F45" s="915"/>
      <c r="G45" s="916"/>
      <c r="H45" s="914"/>
      <c r="I45" s="915"/>
      <c r="J45" s="915"/>
      <c r="K45" s="915"/>
      <c r="L45" s="915"/>
      <c r="M45" s="914"/>
      <c r="N45" s="915"/>
      <c r="O45" s="915"/>
      <c r="P45" s="915"/>
      <c r="Q45" s="916"/>
      <c r="U45" s="2236"/>
      <c r="V45" s="2237"/>
      <c r="W45" s="2237"/>
      <c r="X45" s="2237"/>
      <c r="Y45" s="2238"/>
      <c r="Z45" s="2236"/>
      <c r="AA45" s="2237"/>
      <c r="AB45" s="2238"/>
    </row>
    <row r="46" spans="1:30" outlineLevel="2">
      <c r="A46" s="798"/>
      <c r="B46" s="2347" t="s">
        <v>481</v>
      </c>
      <c r="C46" s="917"/>
      <c r="D46" s="796"/>
      <c r="E46" s="796"/>
      <c r="F46" s="796"/>
      <c r="G46" s="918"/>
      <c r="H46" s="917"/>
      <c r="I46" s="796"/>
      <c r="J46" s="796"/>
      <c r="K46" s="796"/>
      <c r="L46" s="796"/>
      <c r="M46" s="917"/>
      <c r="N46" s="796"/>
      <c r="O46" s="796"/>
      <c r="P46" s="796"/>
      <c r="Q46" s="918"/>
      <c r="U46" s="2239"/>
      <c r="V46" s="2240"/>
      <c r="W46" s="2240"/>
      <c r="X46" s="2240"/>
      <c r="Y46" s="2241"/>
      <c r="Z46" s="2239"/>
      <c r="AA46" s="2240"/>
      <c r="AB46" s="2241"/>
    </row>
    <row r="47" spans="1:30" outlineLevel="2">
      <c r="A47" s="798"/>
      <c r="B47" s="2347" t="s">
        <v>482</v>
      </c>
      <c r="C47" s="917"/>
      <c r="D47" s="796"/>
      <c r="E47" s="796"/>
      <c r="F47" s="796"/>
      <c r="G47" s="918"/>
      <c r="H47" s="917"/>
      <c r="I47" s="796"/>
      <c r="J47" s="796"/>
      <c r="K47" s="796"/>
      <c r="L47" s="796"/>
      <c r="M47" s="917"/>
      <c r="N47" s="796"/>
      <c r="O47" s="796"/>
      <c r="P47" s="796"/>
      <c r="Q47" s="918"/>
      <c r="U47" s="2239"/>
      <c r="V47" s="2240"/>
      <c r="W47" s="2240"/>
      <c r="X47" s="2240"/>
      <c r="Y47" s="2241"/>
      <c r="Z47" s="2239"/>
      <c r="AA47" s="2240"/>
      <c r="AB47" s="2241"/>
    </row>
    <row r="48" spans="1:30" outlineLevel="2">
      <c r="A48" s="798"/>
      <c r="B48" s="2347" t="s">
        <v>483</v>
      </c>
      <c r="C48" s="917"/>
      <c r="D48" s="796"/>
      <c r="E48" s="796"/>
      <c r="F48" s="796"/>
      <c r="G48" s="918"/>
      <c r="H48" s="917"/>
      <c r="I48" s="796"/>
      <c r="J48" s="796"/>
      <c r="K48" s="796"/>
      <c r="L48" s="796"/>
      <c r="M48" s="917"/>
      <c r="N48" s="796"/>
      <c r="O48" s="796"/>
      <c r="P48" s="796"/>
      <c r="Q48" s="918"/>
      <c r="U48" s="2239"/>
      <c r="V48" s="2240"/>
      <c r="W48" s="2240"/>
      <c r="X48" s="2240"/>
      <c r="Y48" s="2241"/>
      <c r="Z48" s="2239"/>
      <c r="AA48" s="2240"/>
      <c r="AB48" s="2241"/>
    </row>
    <row r="49" spans="1:30" outlineLevel="2">
      <c r="A49" s="798"/>
      <c r="B49" s="2347" t="s">
        <v>484</v>
      </c>
      <c r="C49" s="917"/>
      <c r="D49" s="796"/>
      <c r="E49" s="796"/>
      <c r="F49" s="796"/>
      <c r="G49" s="918"/>
      <c r="H49" s="917"/>
      <c r="I49" s="796"/>
      <c r="J49" s="796"/>
      <c r="K49" s="796"/>
      <c r="L49" s="796"/>
      <c r="M49" s="917"/>
      <c r="N49" s="796"/>
      <c r="O49" s="796"/>
      <c r="P49" s="796"/>
      <c r="Q49" s="918"/>
      <c r="U49" s="2239"/>
      <c r="V49" s="2240"/>
      <c r="W49" s="2240"/>
      <c r="X49" s="2240"/>
      <c r="Y49" s="2241"/>
      <c r="Z49" s="2239"/>
      <c r="AA49" s="2240"/>
      <c r="AB49" s="2241"/>
    </row>
    <row r="50" spans="1:30" outlineLevel="2">
      <c r="A50" s="798"/>
      <c r="B50" s="2347" t="s">
        <v>1454</v>
      </c>
      <c r="C50" s="917"/>
      <c r="D50" s="796"/>
      <c r="E50" s="796"/>
      <c r="F50" s="796"/>
      <c r="G50" s="918"/>
      <c r="H50" s="917"/>
      <c r="I50" s="796"/>
      <c r="J50" s="796"/>
      <c r="K50" s="796"/>
      <c r="L50" s="796"/>
      <c r="M50" s="917"/>
      <c r="N50" s="796"/>
      <c r="O50" s="796"/>
      <c r="P50" s="796"/>
      <c r="Q50" s="918"/>
      <c r="U50" s="2239"/>
      <c r="V50" s="2240"/>
      <c r="W50" s="2240"/>
      <c r="X50" s="2240"/>
      <c r="Y50" s="2241"/>
      <c r="Z50" s="2239"/>
      <c r="AA50" s="2240"/>
      <c r="AB50" s="2241"/>
    </row>
    <row r="51" spans="1:30" outlineLevel="2">
      <c r="A51" s="798"/>
      <c r="B51" s="2347" t="s">
        <v>56</v>
      </c>
      <c r="C51" s="919"/>
      <c r="D51" s="797"/>
      <c r="E51" s="797"/>
      <c r="F51" s="797"/>
      <c r="G51" s="920"/>
      <c r="H51" s="919"/>
      <c r="I51" s="797"/>
      <c r="J51" s="797"/>
      <c r="K51" s="797"/>
      <c r="L51" s="797"/>
      <c r="M51" s="919"/>
      <c r="N51" s="797"/>
      <c r="O51" s="797"/>
      <c r="P51" s="797"/>
      <c r="Q51" s="920"/>
      <c r="U51" s="2242"/>
      <c r="V51" s="2243"/>
      <c r="W51" s="2243"/>
      <c r="X51" s="2243"/>
      <c r="Y51" s="2244"/>
      <c r="Z51" s="2242"/>
      <c r="AA51" s="2243"/>
      <c r="AB51" s="2244"/>
    </row>
    <row r="52" spans="1:30" outlineLevel="2">
      <c r="A52" s="798"/>
      <c r="B52" s="2347" t="s">
        <v>87</v>
      </c>
      <c r="C52" s="919"/>
      <c r="D52" s="797"/>
      <c r="E52" s="797"/>
      <c r="F52" s="797"/>
      <c r="G52" s="920"/>
      <c r="H52" s="919"/>
      <c r="I52" s="797"/>
      <c r="J52" s="797"/>
      <c r="K52" s="797"/>
      <c r="L52" s="797"/>
      <c r="M52" s="919"/>
      <c r="N52" s="797"/>
      <c r="O52" s="797"/>
      <c r="P52" s="797"/>
      <c r="Q52" s="920"/>
      <c r="U52" s="2242"/>
      <c r="V52" s="2243"/>
      <c r="W52" s="2243"/>
      <c r="X52" s="2243"/>
      <c r="Y52" s="2244"/>
      <c r="Z52" s="2242"/>
      <c r="AA52" s="2243"/>
      <c r="AB52" s="2244"/>
    </row>
    <row r="53" spans="1:30" ht="13.5" outlineLevel="2" thickBot="1">
      <c r="A53" s="798"/>
      <c r="B53" s="913" t="s">
        <v>1455</v>
      </c>
      <c r="C53" s="919"/>
      <c r="D53" s="797"/>
      <c r="E53" s="797"/>
      <c r="F53" s="797"/>
      <c r="G53" s="920"/>
      <c r="H53" s="919"/>
      <c r="I53" s="797"/>
      <c r="J53" s="797"/>
      <c r="K53" s="797"/>
      <c r="L53" s="797"/>
      <c r="M53" s="919"/>
      <c r="N53" s="797"/>
      <c r="O53" s="797"/>
      <c r="P53" s="797"/>
      <c r="Q53" s="920"/>
      <c r="U53" s="2242"/>
      <c r="V53" s="2243"/>
      <c r="W53" s="2243"/>
      <c r="X53" s="2243"/>
      <c r="Y53" s="2244"/>
      <c r="Z53" s="2242"/>
      <c r="AA53" s="2243"/>
      <c r="AB53" s="2244"/>
    </row>
    <row r="54" spans="1:30" ht="13.5" outlineLevel="1" thickBot="1">
      <c r="A54" s="798"/>
      <c r="B54" s="800" t="s">
        <v>63</v>
      </c>
      <c r="C54" s="801">
        <f t="shared" ref="C54:Q54" si="4">SUM(C45:C53)</f>
        <v>0</v>
      </c>
      <c r="D54" s="801">
        <f t="shared" si="4"/>
        <v>0</v>
      </c>
      <c r="E54" s="801">
        <f t="shared" si="4"/>
        <v>0</v>
      </c>
      <c r="F54" s="801">
        <f t="shared" si="4"/>
        <v>0</v>
      </c>
      <c r="G54" s="801">
        <f t="shared" si="4"/>
        <v>0</v>
      </c>
      <c r="H54" s="801">
        <f t="shared" si="4"/>
        <v>0</v>
      </c>
      <c r="I54" s="801">
        <f t="shared" si="4"/>
        <v>0</v>
      </c>
      <c r="J54" s="801">
        <f t="shared" si="4"/>
        <v>0</v>
      </c>
      <c r="K54" s="801">
        <f t="shared" si="4"/>
        <v>0</v>
      </c>
      <c r="L54" s="801">
        <f t="shared" si="4"/>
        <v>0</v>
      </c>
      <c r="M54" s="801">
        <f t="shared" si="4"/>
        <v>0</v>
      </c>
      <c r="N54" s="801">
        <f t="shared" si="4"/>
        <v>0</v>
      </c>
      <c r="O54" s="801">
        <f t="shared" si="4"/>
        <v>0</v>
      </c>
      <c r="P54" s="801">
        <f t="shared" si="4"/>
        <v>0</v>
      </c>
      <c r="Q54" s="802">
        <f t="shared" si="4"/>
        <v>0</v>
      </c>
      <c r="U54" s="800">
        <f t="shared" ref="U54:AB54" si="5">SUM(U45:U53)</f>
        <v>0</v>
      </c>
      <c r="V54" s="801">
        <f t="shared" si="5"/>
        <v>0</v>
      </c>
      <c r="W54" s="801">
        <f t="shared" si="5"/>
        <v>0</v>
      </c>
      <c r="X54" s="801">
        <f t="shared" si="5"/>
        <v>0</v>
      </c>
      <c r="Y54" s="801">
        <f t="shared" si="5"/>
        <v>0</v>
      </c>
      <c r="Z54" s="801">
        <f t="shared" si="5"/>
        <v>0</v>
      </c>
      <c r="AA54" s="801">
        <f t="shared" si="5"/>
        <v>0</v>
      </c>
      <c r="AB54" s="802">
        <f t="shared" si="5"/>
        <v>0</v>
      </c>
    </row>
    <row r="55" spans="1:30" s="1429" customFormat="1" ht="23.25" customHeight="1" outlineLevel="1" thickBot="1">
      <c r="R55" s="1427"/>
      <c r="S55" s="1427"/>
      <c r="T55" s="1427"/>
      <c r="AC55" s="1427"/>
      <c r="AD55" s="1427"/>
    </row>
    <row r="56" spans="1:30" s="529" customFormat="1" ht="24.75" customHeight="1" thickBot="1">
      <c r="A56" s="308"/>
      <c r="B56" s="743" t="str">
        <f>CONCATENATE("Table 16.1.4 - ",'17. Gross Capex '!B24)</f>
        <v>Table 16.1.4 - Cathodic protection</v>
      </c>
      <c r="C56" s="315"/>
      <c r="D56" s="315"/>
      <c r="E56" s="315"/>
      <c r="F56" s="315"/>
      <c r="G56" s="315"/>
      <c r="H56" s="315"/>
      <c r="I56" s="315"/>
      <c r="J56" s="315"/>
      <c r="K56" s="315"/>
      <c r="L56" s="315"/>
      <c r="M56" s="315"/>
      <c r="N56" s="315"/>
      <c r="O56" s="315"/>
      <c r="P56" s="315"/>
      <c r="Q56" s="756"/>
      <c r="R56"/>
      <c r="S56"/>
      <c r="T56"/>
      <c r="U56" s="298"/>
      <c r="V56" s="315"/>
      <c r="W56" s="315"/>
      <c r="X56" s="315"/>
      <c r="Y56" s="315"/>
      <c r="Z56" s="315"/>
      <c r="AA56" s="315"/>
      <c r="AB56" s="316"/>
      <c r="AC56"/>
      <c r="AD56"/>
    </row>
    <row r="57" spans="1:30" outlineLevel="2">
      <c r="A57" s="798"/>
      <c r="B57" s="2347" t="s">
        <v>1453</v>
      </c>
      <c r="C57" s="914"/>
      <c r="D57" s="915"/>
      <c r="E57" s="915"/>
      <c r="F57" s="915"/>
      <c r="G57" s="916"/>
      <c r="H57" s="914"/>
      <c r="I57" s="915"/>
      <c r="J57" s="915"/>
      <c r="K57" s="915"/>
      <c r="L57" s="915"/>
      <c r="M57" s="914"/>
      <c r="N57" s="915"/>
      <c r="O57" s="915"/>
      <c r="P57" s="915"/>
      <c r="Q57" s="916"/>
      <c r="U57" s="2236"/>
      <c r="V57" s="2237"/>
      <c r="W57" s="2237"/>
      <c r="X57" s="2237"/>
      <c r="Y57" s="2238"/>
      <c r="Z57" s="2236"/>
      <c r="AA57" s="2237"/>
      <c r="AB57" s="2238"/>
    </row>
    <row r="58" spans="1:30" outlineLevel="2">
      <c r="A58" s="798"/>
      <c r="B58" s="2347" t="s">
        <v>481</v>
      </c>
      <c r="C58" s="917"/>
      <c r="D58" s="796"/>
      <c r="E58" s="796"/>
      <c r="F58" s="796"/>
      <c r="G58" s="918"/>
      <c r="H58" s="917"/>
      <c r="I58" s="796"/>
      <c r="J58" s="796"/>
      <c r="K58" s="796"/>
      <c r="L58" s="796"/>
      <c r="M58" s="917"/>
      <c r="N58" s="796"/>
      <c r="O58" s="796"/>
      <c r="P58" s="796"/>
      <c r="Q58" s="918"/>
      <c r="U58" s="2239"/>
      <c r="V58" s="2240"/>
      <c r="W58" s="2240"/>
      <c r="X58" s="2240"/>
      <c r="Y58" s="2241"/>
      <c r="Z58" s="2239"/>
      <c r="AA58" s="2240"/>
      <c r="AB58" s="2241"/>
    </row>
    <row r="59" spans="1:30" outlineLevel="2">
      <c r="A59" s="798"/>
      <c r="B59" s="2347" t="s">
        <v>482</v>
      </c>
      <c r="C59" s="917"/>
      <c r="D59" s="796"/>
      <c r="E59" s="796"/>
      <c r="F59" s="796"/>
      <c r="G59" s="918"/>
      <c r="H59" s="917"/>
      <c r="I59" s="796"/>
      <c r="J59" s="796"/>
      <c r="K59" s="796"/>
      <c r="L59" s="796"/>
      <c r="M59" s="917"/>
      <c r="N59" s="796"/>
      <c r="O59" s="796"/>
      <c r="P59" s="796"/>
      <c r="Q59" s="918"/>
      <c r="U59" s="2239"/>
      <c r="V59" s="2240"/>
      <c r="W59" s="2240"/>
      <c r="X59" s="2240"/>
      <c r="Y59" s="2241"/>
      <c r="Z59" s="2239"/>
      <c r="AA59" s="2240"/>
      <c r="AB59" s="2241"/>
    </row>
    <row r="60" spans="1:30" outlineLevel="2">
      <c r="A60" s="798"/>
      <c r="B60" s="2347" t="s">
        <v>483</v>
      </c>
      <c r="C60" s="917"/>
      <c r="D60" s="796"/>
      <c r="E60" s="796"/>
      <c r="F60" s="796"/>
      <c r="G60" s="918"/>
      <c r="H60" s="917"/>
      <c r="I60" s="796"/>
      <c r="J60" s="796"/>
      <c r="K60" s="796"/>
      <c r="L60" s="796"/>
      <c r="M60" s="917"/>
      <c r="N60" s="796"/>
      <c r="O60" s="796"/>
      <c r="P60" s="796"/>
      <c r="Q60" s="918"/>
      <c r="U60" s="2239"/>
      <c r="V60" s="2240"/>
      <c r="W60" s="2240"/>
      <c r="X60" s="2240"/>
      <c r="Y60" s="2241"/>
      <c r="Z60" s="2239"/>
      <c r="AA60" s="2240"/>
      <c r="AB60" s="2241"/>
    </row>
    <row r="61" spans="1:30" outlineLevel="2">
      <c r="A61" s="798"/>
      <c r="B61" s="2347" t="s">
        <v>484</v>
      </c>
      <c r="C61" s="917"/>
      <c r="D61" s="796"/>
      <c r="E61" s="796"/>
      <c r="F61" s="796"/>
      <c r="G61" s="918"/>
      <c r="H61" s="917"/>
      <c r="I61" s="796"/>
      <c r="J61" s="796"/>
      <c r="K61" s="796"/>
      <c r="L61" s="796"/>
      <c r="M61" s="917"/>
      <c r="N61" s="796"/>
      <c r="O61" s="796"/>
      <c r="P61" s="796"/>
      <c r="Q61" s="918"/>
      <c r="U61" s="2239"/>
      <c r="V61" s="2240"/>
      <c r="W61" s="2240"/>
      <c r="X61" s="2240"/>
      <c r="Y61" s="2241"/>
      <c r="Z61" s="2239"/>
      <c r="AA61" s="2240"/>
      <c r="AB61" s="2241"/>
    </row>
    <row r="62" spans="1:30" outlineLevel="2">
      <c r="A62" s="798"/>
      <c r="B62" s="2347" t="s">
        <v>1454</v>
      </c>
      <c r="C62" s="917"/>
      <c r="D62" s="796"/>
      <c r="E62" s="796"/>
      <c r="F62" s="796"/>
      <c r="G62" s="918"/>
      <c r="H62" s="917"/>
      <c r="I62" s="796"/>
      <c r="J62" s="796"/>
      <c r="K62" s="796"/>
      <c r="L62" s="796"/>
      <c r="M62" s="917"/>
      <c r="N62" s="796"/>
      <c r="O62" s="796"/>
      <c r="P62" s="796"/>
      <c r="Q62" s="918"/>
      <c r="U62" s="2239"/>
      <c r="V62" s="2240"/>
      <c r="W62" s="2240"/>
      <c r="X62" s="2240"/>
      <c r="Y62" s="2241"/>
      <c r="Z62" s="2239"/>
      <c r="AA62" s="2240"/>
      <c r="AB62" s="2241"/>
    </row>
    <row r="63" spans="1:30" outlineLevel="2">
      <c r="A63" s="798"/>
      <c r="B63" s="2347" t="s">
        <v>56</v>
      </c>
      <c r="C63" s="919"/>
      <c r="D63" s="797"/>
      <c r="E63" s="797"/>
      <c r="F63" s="797"/>
      <c r="G63" s="920"/>
      <c r="H63" s="919"/>
      <c r="I63" s="797"/>
      <c r="J63" s="797"/>
      <c r="K63" s="797"/>
      <c r="L63" s="797"/>
      <c r="M63" s="919"/>
      <c r="N63" s="797"/>
      <c r="O63" s="797"/>
      <c r="P63" s="797"/>
      <c r="Q63" s="920"/>
      <c r="U63" s="2242"/>
      <c r="V63" s="2243"/>
      <c r="W63" s="2243"/>
      <c r="X63" s="2243"/>
      <c r="Y63" s="2244"/>
      <c r="Z63" s="2242"/>
      <c r="AA63" s="2243"/>
      <c r="AB63" s="2244"/>
    </row>
    <row r="64" spans="1:30" outlineLevel="2">
      <c r="A64" s="798"/>
      <c r="B64" s="2347" t="s">
        <v>87</v>
      </c>
      <c r="C64" s="919"/>
      <c r="D64" s="797"/>
      <c r="E64" s="797"/>
      <c r="F64" s="797"/>
      <c r="G64" s="920"/>
      <c r="H64" s="919"/>
      <c r="I64" s="797"/>
      <c r="J64" s="797"/>
      <c r="K64" s="797"/>
      <c r="L64" s="797"/>
      <c r="M64" s="919"/>
      <c r="N64" s="797"/>
      <c r="O64" s="797"/>
      <c r="P64" s="797"/>
      <c r="Q64" s="920"/>
      <c r="U64" s="2242"/>
      <c r="V64" s="2243"/>
      <c r="W64" s="2243"/>
      <c r="X64" s="2243"/>
      <c r="Y64" s="2244"/>
      <c r="Z64" s="2242"/>
      <c r="AA64" s="2243"/>
      <c r="AB64" s="2244"/>
    </row>
    <row r="65" spans="1:30" ht="13.5" outlineLevel="2" thickBot="1">
      <c r="A65" s="798"/>
      <c r="B65" s="913" t="s">
        <v>1455</v>
      </c>
      <c r="C65" s="919"/>
      <c r="D65" s="797"/>
      <c r="E65" s="797"/>
      <c r="F65" s="797"/>
      <c r="G65" s="920"/>
      <c r="H65" s="919"/>
      <c r="I65" s="797"/>
      <c r="J65" s="797"/>
      <c r="K65" s="797"/>
      <c r="L65" s="797"/>
      <c r="M65" s="919"/>
      <c r="N65" s="797"/>
      <c r="O65" s="797"/>
      <c r="P65" s="797"/>
      <c r="Q65" s="920"/>
      <c r="U65" s="2242"/>
      <c r="V65" s="2243"/>
      <c r="W65" s="2243"/>
      <c r="X65" s="2243"/>
      <c r="Y65" s="2244"/>
      <c r="Z65" s="2242"/>
      <c r="AA65" s="2243"/>
      <c r="AB65" s="2244"/>
    </row>
    <row r="66" spans="1:30" ht="13.5" outlineLevel="1" thickBot="1">
      <c r="A66" s="798"/>
      <c r="B66" s="800" t="s">
        <v>63</v>
      </c>
      <c r="C66" s="801">
        <f t="shared" ref="C66:Q66" si="6">SUM(C57:C65)</f>
        <v>0</v>
      </c>
      <c r="D66" s="801">
        <f t="shared" si="6"/>
        <v>0</v>
      </c>
      <c r="E66" s="801">
        <f t="shared" si="6"/>
        <v>0</v>
      </c>
      <c r="F66" s="801">
        <f t="shared" si="6"/>
        <v>0</v>
      </c>
      <c r="G66" s="801">
        <f t="shared" si="6"/>
        <v>0</v>
      </c>
      <c r="H66" s="801">
        <f t="shared" si="6"/>
        <v>0</v>
      </c>
      <c r="I66" s="801">
        <f t="shared" si="6"/>
        <v>0</v>
      </c>
      <c r="J66" s="801">
        <f t="shared" si="6"/>
        <v>0</v>
      </c>
      <c r="K66" s="801">
        <f t="shared" si="6"/>
        <v>0</v>
      </c>
      <c r="L66" s="801">
        <f t="shared" si="6"/>
        <v>0</v>
      </c>
      <c r="M66" s="801">
        <f t="shared" si="6"/>
        <v>0</v>
      </c>
      <c r="N66" s="801">
        <f t="shared" si="6"/>
        <v>0</v>
      </c>
      <c r="O66" s="801">
        <f t="shared" si="6"/>
        <v>0</v>
      </c>
      <c r="P66" s="801">
        <f t="shared" si="6"/>
        <v>0</v>
      </c>
      <c r="Q66" s="802">
        <f t="shared" si="6"/>
        <v>0</v>
      </c>
      <c r="U66" s="800">
        <f t="shared" ref="U66:AB66" si="7">SUM(U57:U65)</f>
        <v>0</v>
      </c>
      <c r="V66" s="801">
        <f t="shared" si="7"/>
        <v>0</v>
      </c>
      <c r="W66" s="801">
        <f t="shared" si="7"/>
        <v>0</v>
      </c>
      <c r="X66" s="801">
        <f t="shared" si="7"/>
        <v>0</v>
      </c>
      <c r="Y66" s="801">
        <f t="shared" si="7"/>
        <v>0</v>
      </c>
      <c r="Z66" s="801">
        <f t="shared" si="7"/>
        <v>0</v>
      </c>
      <c r="AA66" s="801">
        <f t="shared" si="7"/>
        <v>0</v>
      </c>
      <c r="AB66" s="802">
        <f t="shared" si="7"/>
        <v>0</v>
      </c>
    </row>
    <row r="67" spans="1:30" s="1429" customFormat="1" ht="23.25" customHeight="1" outlineLevel="1" thickBot="1">
      <c r="R67" s="1427"/>
      <c r="S67" s="1427"/>
      <c r="T67" s="1427"/>
      <c r="AC67" s="1427"/>
      <c r="AD67" s="1427"/>
    </row>
    <row r="68" spans="1:30" s="529" customFormat="1" ht="24.75" customHeight="1" thickBot="1">
      <c r="A68" s="308"/>
      <c r="B68" s="743" t="str">
        <f>CONCATENATE("Table 16.1.5 - ",'17. Gross Capex '!B25)</f>
        <v>Table 16.1.5 - Supply regulators/Valve stations</v>
      </c>
      <c r="C68" s="315"/>
      <c r="D68" s="315"/>
      <c r="E68" s="315"/>
      <c r="F68" s="315"/>
      <c r="G68" s="315"/>
      <c r="H68" s="315"/>
      <c r="I68" s="315"/>
      <c r="J68" s="315"/>
      <c r="K68" s="315"/>
      <c r="L68" s="315"/>
      <c r="M68" s="315"/>
      <c r="N68" s="315"/>
      <c r="O68" s="315"/>
      <c r="P68" s="315"/>
      <c r="Q68" s="756"/>
      <c r="R68"/>
      <c r="S68"/>
      <c r="T68"/>
      <c r="U68" s="298"/>
      <c r="V68" s="315"/>
      <c r="W68" s="315"/>
      <c r="X68" s="315"/>
      <c r="Y68" s="315"/>
      <c r="Z68" s="315"/>
      <c r="AA68" s="315"/>
      <c r="AB68" s="316"/>
      <c r="AC68"/>
      <c r="AD68"/>
    </row>
    <row r="69" spans="1:30" outlineLevel="2">
      <c r="A69" s="798"/>
      <c r="B69" s="2347" t="s">
        <v>1453</v>
      </c>
      <c r="C69" s="914"/>
      <c r="D69" s="915"/>
      <c r="E69" s="915"/>
      <c r="F69" s="915"/>
      <c r="G69" s="916"/>
      <c r="H69" s="914"/>
      <c r="I69" s="915"/>
      <c r="J69" s="915"/>
      <c r="K69" s="915"/>
      <c r="L69" s="915"/>
      <c r="M69" s="914"/>
      <c r="N69" s="915"/>
      <c r="O69" s="915"/>
      <c r="P69" s="915"/>
      <c r="Q69" s="916"/>
      <c r="U69" s="2236"/>
      <c r="V69" s="2237"/>
      <c r="W69" s="2237"/>
      <c r="X69" s="2237"/>
      <c r="Y69" s="2238"/>
      <c r="Z69" s="2236"/>
      <c r="AA69" s="2237"/>
      <c r="AB69" s="2238"/>
    </row>
    <row r="70" spans="1:30" outlineLevel="2">
      <c r="A70" s="798"/>
      <c r="B70" s="2347" t="s">
        <v>481</v>
      </c>
      <c r="C70" s="917"/>
      <c r="D70" s="796"/>
      <c r="E70" s="796"/>
      <c r="F70" s="796"/>
      <c r="G70" s="918"/>
      <c r="H70" s="917"/>
      <c r="I70" s="796"/>
      <c r="J70" s="796"/>
      <c r="K70" s="796"/>
      <c r="L70" s="796"/>
      <c r="M70" s="917"/>
      <c r="N70" s="796"/>
      <c r="O70" s="796"/>
      <c r="P70" s="796"/>
      <c r="Q70" s="918"/>
      <c r="U70" s="2239"/>
      <c r="V70" s="2240"/>
      <c r="W70" s="2240"/>
      <c r="X70" s="2240"/>
      <c r="Y70" s="2241"/>
      <c r="Z70" s="2239"/>
      <c r="AA70" s="2240"/>
      <c r="AB70" s="2241"/>
    </row>
    <row r="71" spans="1:30" outlineLevel="2">
      <c r="A71" s="798"/>
      <c r="B71" s="2347" t="s">
        <v>482</v>
      </c>
      <c r="C71" s="917"/>
      <c r="D71" s="796"/>
      <c r="E71" s="796"/>
      <c r="F71" s="796"/>
      <c r="G71" s="918"/>
      <c r="H71" s="917"/>
      <c r="I71" s="796"/>
      <c r="J71" s="796"/>
      <c r="K71" s="796"/>
      <c r="L71" s="796"/>
      <c r="M71" s="917"/>
      <c r="N71" s="796"/>
      <c r="O71" s="796"/>
      <c r="P71" s="796"/>
      <c r="Q71" s="918"/>
      <c r="U71" s="2239"/>
      <c r="V71" s="2240"/>
      <c r="W71" s="2240"/>
      <c r="X71" s="2240"/>
      <c r="Y71" s="2241"/>
      <c r="Z71" s="2239"/>
      <c r="AA71" s="2240"/>
      <c r="AB71" s="2241"/>
    </row>
    <row r="72" spans="1:30" outlineLevel="2">
      <c r="A72" s="798"/>
      <c r="B72" s="2347" t="s">
        <v>483</v>
      </c>
      <c r="C72" s="917"/>
      <c r="D72" s="796"/>
      <c r="E72" s="796"/>
      <c r="F72" s="796"/>
      <c r="G72" s="918"/>
      <c r="H72" s="917"/>
      <c r="I72" s="796"/>
      <c r="J72" s="796"/>
      <c r="K72" s="796"/>
      <c r="L72" s="796"/>
      <c r="M72" s="917"/>
      <c r="N72" s="796"/>
      <c r="O72" s="796"/>
      <c r="P72" s="796"/>
      <c r="Q72" s="918"/>
      <c r="U72" s="2239"/>
      <c r="V72" s="2240"/>
      <c r="W72" s="2240"/>
      <c r="X72" s="2240"/>
      <c r="Y72" s="2241"/>
      <c r="Z72" s="2239"/>
      <c r="AA72" s="2240"/>
      <c r="AB72" s="2241"/>
    </row>
    <row r="73" spans="1:30" outlineLevel="2">
      <c r="A73" s="798"/>
      <c r="B73" s="2347" t="s">
        <v>484</v>
      </c>
      <c r="C73" s="917"/>
      <c r="D73" s="796"/>
      <c r="E73" s="796"/>
      <c r="F73" s="796"/>
      <c r="G73" s="918"/>
      <c r="H73" s="917"/>
      <c r="I73" s="796"/>
      <c r="J73" s="796"/>
      <c r="K73" s="796"/>
      <c r="L73" s="796"/>
      <c r="M73" s="917"/>
      <c r="N73" s="796"/>
      <c r="O73" s="796"/>
      <c r="P73" s="796"/>
      <c r="Q73" s="918"/>
      <c r="U73" s="2239"/>
      <c r="V73" s="2240"/>
      <c r="W73" s="2240"/>
      <c r="X73" s="2240"/>
      <c r="Y73" s="2241"/>
      <c r="Z73" s="2239"/>
      <c r="AA73" s="2240"/>
      <c r="AB73" s="2241"/>
    </row>
    <row r="74" spans="1:30" outlineLevel="2">
      <c r="A74" s="798"/>
      <c r="B74" s="2347" t="s">
        <v>1454</v>
      </c>
      <c r="C74" s="917"/>
      <c r="D74" s="796"/>
      <c r="E74" s="796"/>
      <c r="F74" s="796"/>
      <c r="G74" s="918"/>
      <c r="H74" s="917"/>
      <c r="I74" s="796"/>
      <c r="J74" s="796"/>
      <c r="K74" s="796"/>
      <c r="L74" s="796"/>
      <c r="M74" s="917"/>
      <c r="N74" s="796"/>
      <c r="O74" s="796"/>
      <c r="P74" s="796"/>
      <c r="Q74" s="918"/>
      <c r="U74" s="2239"/>
      <c r="V74" s="2240"/>
      <c r="W74" s="2240"/>
      <c r="X74" s="2240"/>
      <c r="Y74" s="2241"/>
      <c r="Z74" s="2239"/>
      <c r="AA74" s="2240"/>
      <c r="AB74" s="2241"/>
    </row>
    <row r="75" spans="1:30" outlineLevel="2">
      <c r="A75" s="798"/>
      <c r="B75" s="2347" t="s">
        <v>56</v>
      </c>
      <c r="C75" s="919"/>
      <c r="D75" s="797"/>
      <c r="E75" s="797"/>
      <c r="F75" s="797"/>
      <c r="G75" s="920"/>
      <c r="H75" s="919"/>
      <c r="I75" s="797"/>
      <c r="J75" s="797"/>
      <c r="K75" s="797"/>
      <c r="L75" s="797"/>
      <c r="M75" s="919"/>
      <c r="N75" s="797"/>
      <c r="O75" s="797"/>
      <c r="P75" s="797"/>
      <c r="Q75" s="920"/>
      <c r="U75" s="2242"/>
      <c r="V75" s="2243"/>
      <c r="W75" s="2243"/>
      <c r="X75" s="2243"/>
      <c r="Y75" s="2244"/>
      <c r="Z75" s="2242"/>
      <c r="AA75" s="2243"/>
      <c r="AB75" s="2244"/>
    </row>
    <row r="76" spans="1:30" outlineLevel="2">
      <c r="A76" s="798"/>
      <c r="B76" s="2347" t="s">
        <v>87</v>
      </c>
      <c r="C76" s="919"/>
      <c r="D76" s="797"/>
      <c r="E76" s="797"/>
      <c r="F76" s="797"/>
      <c r="G76" s="920"/>
      <c r="H76" s="919"/>
      <c r="I76" s="797"/>
      <c r="J76" s="797"/>
      <c r="K76" s="797"/>
      <c r="L76" s="797"/>
      <c r="M76" s="919"/>
      <c r="N76" s="797"/>
      <c r="O76" s="797"/>
      <c r="P76" s="797"/>
      <c r="Q76" s="920"/>
      <c r="U76" s="2242"/>
      <c r="V76" s="2243"/>
      <c r="W76" s="2243"/>
      <c r="X76" s="2243"/>
      <c r="Y76" s="2244"/>
      <c r="Z76" s="2242"/>
      <c r="AA76" s="2243"/>
      <c r="AB76" s="2244"/>
    </row>
    <row r="77" spans="1:30" ht="13.5" outlineLevel="2" thickBot="1">
      <c r="A77" s="798"/>
      <c r="B77" s="913" t="s">
        <v>1455</v>
      </c>
      <c r="C77" s="919"/>
      <c r="D77" s="797"/>
      <c r="E77" s="797"/>
      <c r="F77" s="797"/>
      <c r="G77" s="920"/>
      <c r="H77" s="919"/>
      <c r="I77" s="797"/>
      <c r="J77" s="797"/>
      <c r="K77" s="797"/>
      <c r="L77" s="797"/>
      <c r="M77" s="919"/>
      <c r="N77" s="797"/>
      <c r="O77" s="797"/>
      <c r="P77" s="797"/>
      <c r="Q77" s="920"/>
      <c r="U77" s="2242"/>
      <c r="V77" s="2243"/>
      <c r="W77" s="2243"/>
      <c r="X77" s="2243"/>
      <c r="Y77" s="2244"/>
      <c r="Z77" s="2242"/>
      <c r="AA77" s="2243"/>
      <c r="AB77" s="2244"/>
    </row>
    <row r="78" spans="1:30" ht="13.5" outlineLevel="1" thickBot="1">
      <c r="A78" s="798"/>
      <c r="B78" s="800" t="s">
        <v>63</v>
      </c>
      <c r="C78" s="801">
        <f t="shared" ref="C78:Q78" si="8">SUM(C69:C77)</f>
        <v>0</v>
      </c>
      <c r="D78" s="801">
        <f t="shared" si="8"/>
        <v>0</v>
      </c>
      <c r="E78" s="801">
        <f t="shared" si="8"/>
        <v>0</v>
      </c>
      <c r="F78" s="801">
        <f t="shared" si="8"/>
        <v>0</v>
      </c>
      <c r="G78" s="801">
        <f t="shared" si="8"/>
        <v>0</v>
      </c>
      <c r="H78" s="801">
        <f t="shared" si="8"/>
        <v>0</v>
      </c>
      <c r="I78" s="801">
        <f t="shared" si="8"/>
        <v>0</v>
      </c>
      <c r="J78" s="801">
        <f t="shared" si="8"/>
        <v>0</v>
      </c>
      <c r="K78" s="801">
        <f t="shared" si="8"/>
        <v>0</v>
      </c>
      <c r="L78" s="801">
        <f t="shared" si="8"/>
        <v>0</v>
      </c>
      <c r="M78" s="801">
        <f t="shared" si="8"/>
        <v>0</v>
      </c>
      <c r="N78" s="801">
        <f t="shared" si="8"/>
        <v>0</v>
      </c>
      <c r="O78" s="801">
        <f t="shared" si="8"/>
        <v>0</v>
      </c>
      <c r="P78" s="801">
        <f t="shared" si="8"/>
        <v>0</v>
      </c>
      <c r="Q78" s="802">
        <f t="shared" si="8"/>
        <v>0</v>
      </c>
      <c r="U78" s="800" t="e">
        <f>SUM(U71:U77)-#REF!</f>
        <v>#REF!</v>
      </c>
      <c r="V78" s="801" t="e">
        <f>SUM(V71:V77)-#REF!</f>
        <v>#REF!</v>
      </c>
      <c r="W78" s="801" t="e">
        <f>SUM(W71:W77)-#REF!</f>
        <v>#REF!</v>
      </c>
      <c r="X78" s="801" t="e">
        <f>SUM(X71:X77)-#REF!</f>
        <v>#REF!</v>
      </c>
      <c r="Y78" s="801" t="e">
        <f>SUM(Y71:Y77)-#REF!</f>
        <v>#REF!</v>
      </c>
      <c r="Z78" s="801" t="e">
        <f>SUM(Z71:Z77)-#REF!</f>
        <v>#REF!</v>
      </c>
      <c r="AA78" s="801" t="e">
        <f>SUM(AA71:AA77)-#REF!</f>
        <v>#REF!</v>
      </c>
      <c r="AB78" s="802" t="e">
        <f>SUM(AB71:AB77)-#REF!</f>
        <v>#REF!</v>
      </c>
    </row>
    <row r="79" spans="1:30" s="1429" customFormat="1" ht="23.25" customHeight="1" outlineLevel="1" thickBot="1">
      <c r="R79" s="1427"/>
      <c r="S79" s="1427"/>
      <c r="T79" s="1427"/>
      <c r="AC79" s="1427"/>
      <c r="AD79" s="1427"/>
    </row>
    <row r="80" spans="1:30" s="529" customFormat="1" ht="24.75" customHeight="1" thickBot="1">
      <c r="A80" s="308"/>
      <c r="B80" s="743" t="str">
        <f>CONCATENATE("Table 16.1.6 - ",'17. Gross Capex '!B26)</f>
        <v>Table 16.1.6 - Meters</v>
      </c>
      <c r="C80" s="315"/>
      <c r="D80" s="315"/>
      <c r="E80" s="315"/>
      <c r="F80" s="315"/>
      <c r="G80" s="315"/>
      <c r="H80" s="315"/>
      <c r="I80" s="315"/>
      <c r="J80" s="315"/>
      <c r="K80" s="315"/>
      <c r="L80" s="315"/>
      <c r="M80" s="315"/>
      <c r="N80" s="315"/>
      <c r="O80" s="315"/>
      <c r="P80" s="315"/>
      <c r="Q80" s="756"/>
      <c r="R80"/>
      <c r="S80"/>
      <c r="T80"/>
      <c r="U80" s="298"/>
      <c r="V80" s="315"/>
      <c r="W80" s="315"/>
      <c r="X80" s="315"/>
      <c r="Y80" s="315"/>
      <c r="Z80" s="315"/>
      <c r="AA80" s="315"/>
      <c r="AB80" s="316"/>
      <c r="AC80"/>
      <c r="AD80"/>
    </row>
    <row r="81" spans="1:30" outlineLevel="2">
      <c r="A81" s="798"/>
      <c r="B81" s="2347" t="s">
        <v>1453</v>
      </c>
      <c r="C81" s="914"/>
      <c r="D81" s="915"/>
      <c r="E81" s="915"/>
      <c r="F81" s="915"/>
      <c r="G81" s="916"/>
      <c r="H81" s="914"/>
      <c r="I81" s="915"/>
      <c r="J81" s="915"/>
      <c r="K81" s="915"/>
      <c r="L81" s="915"/>
      <c r="M81" s="914"/>
      <c r="N81" s="915"/>
      <c r="O81" s="915"/>
      <c r="P81" s="915"/>
      <c r="Q81" s="916"/>
      <c r="U81" s="2236"/>
      <c r="V81" s="2237"/>
      <c r="W81" s="2237"/>
      <c r="X81" s="2237"/>
      <c r="Y81" s="2238"/>
      <c r="Z81" s="2236"/>
      <c r="AA81" s="2237"/>
      <c r="AB81" s="2238"/>
    </row>
    <row r="82" spans="1:30" outlineLevel="2">
      <c r="A82" s="798"/>
      <c r="B82" s="2347" t="s">
        <v>481</v>
      </c>
      <c r="C82" s="917"/>
      <c r="D82" s="796"/>
      <c r="E82" s="796"/>
      <c r="F82" s="796"/>
      <c r="G82" s="918"/>
      <c r="H82" s="917"/>
      <c r="I82" s="796"/>
      <c r="J82" s="796"/>
      <c r="K82" s="796"/>
      <c r="L82" s="796"/>
      <c r="M82" s="917"/>
      <c r="N82" s="796"/>
      <c r="O82" s="796"/>
      <c r="P82" s="796"/>
      <c r="Q82" s="918"/>
      <c r="U82" s="2239"/>
      <c r="V82" s="2240"/>
      <c r="W82" s="2240"/>
      <c r="X82" s="2240"/>
      <c r="Y82" s="2241"/>
      <c r="Z82" s="2239"/>
      <c r="AA82" s="2240"/>
      <c r="AB82" s="2241"/>
    </row>
    <row r="83" spans="1:30" outlineLevel="2">
      <c r="A83" s="798"/>
      <c r="B83" s="2347" t="s">
        <v>482</v>
      </c>
      <c r="C83" s="917"/>
      <c r="D83" s="796"/>
      <c r="E83" s="796"/>
      <c r="F83" s="796"/>
      <c r="G83" s="918"/>
      <c r="H83" s="917"/>
      <c r="I83" s="796"/>
      <c r="J83" s="796"/>
      <c r="K83" s="796"/>
      <c r="L83" s="796"/>
      <c r="M83" s="917"/>
      <c r="N83" s="796"/>
      <c r="O83" s="796"/>
      <c r="P83" s="796"/>
      <c r="Q83" s="918"/>
      <c r="U83" s="2239"/>
      <c r="V83" s="2240"/>
      <c r="W83" s="2240"/>
      <c r="X83" s="2240"/>
      <c r="Y83" s="2241"/>
      <c r="Z83" s="2239"/>
      <c r="AA83" s="2240"/>
      <c r="AB83" s="2241"/>
    </row>
    <row r="84" spans="1:30" outlineLevel="2">
      <c r="A84" s="798"/>
      <c r="B84" s="2347" t="s">
        <v>483</v>
      </c>
      <c r="C84" s="917"/>
      <c r="D84" s="796"/>
      <c r="E84" s="796"/>
      <c r="F84" s="796"/>
      <c r="G84" s="918"/>
      <c r="H84" s="917"/>
      <c r="I84" s="796"/>
      <c r="J84" s="796"/>
      <c r="K84" s="796"/>
      <c r="L84" s="796"/>
      <c r="M84" s="917"/>
      <c r="N84" s="796"/>
      <c r="O84" s="796"/>
      <c r="P84" s="796"/>
      <c r="Q84" s="918"/>
      <c r="U84" s="2239"/>
      <c r="V84" s="2240"/>
      <c r="W84" s="2240"/>
      <c r="X84" s="2240"/>
      <c r="Y84" s="2241"/>
      <c r="Z84" s="2239"/>
      <c r="AA84" s="2240"/>
      <c r="AB84" s="2241"/>
    </row>
    <row r="85" spans="1:30" outlineLevel="2">
      <c r="A85" s="798"/>
      <c r="B85" s="2347" t="s">
        <v>484</v>
      </c>
      <c r="C85" s="917"/>
      <c r="D85" s="796"/>
      <c r="E85" s="796"/>
      <c r="F85" s="796"/>
      <c r="G85" s="918"/>
      <c r="H85" s="917"/>
      <c r="I85" s="796"/>
      <c r="J85" s="796"/>
      <c r="K85" s="796"/>
      <c r="L85" s="796"/>
      <c r="M85" s="917"/>
      <c r="N85" s="796"/>
      <c r="O85" s="796"/>
      <c r="P85" s="796"/>
      <c r="Q85" s="918"/>
      <c r="U85" s="2239"/>
      <c r="V85" s="2240"/>
      <c r="W85" s="2240"/>
      <c r="X85" s="2240"/>
      <c r="Y85" s="2241"/>
      <c r="Z85" s="2239"/>
      <c r="AA85" s="2240"/>
      <c r="AB85" s="2241"/>
    </row>
    <row r="86" spans="1:30" outlineLevel="2">
      <c r="A86" s="798"/>
      <c r="B86" s="2347" t="s">
        <v>1454</v>
      </c>
      <c r="C86" s="917"/>
      <c r="D86" s="796"/>
      <c r="E86" s="796"/>
      <c r="F86" s="796"/>
      <c r="G86" s="918"/>
      <c r="H86" s="917"/>
      <c r="I86" s="796"/>
      <c r="J86" s="796"/>
      <c r="K86" s="796"/>
      <c r="L86" s="796"/>
      <c r="M86" s="917"/>
      <c r="N86" s="796"/>
      <c r="O86" s="796"/>
      <c r="P86" s="796"/>
      <c r="Q86" s="918"/>
      <c r="U86" s="2239"/>
      <c r="V86" s="2240"/>
      <c r="W86" s="2240"/>
      <c r="X86" s="2240"/>
      <c r="Y86" s="2241"/>
      <c r="Z86" s="2239"/>
      <c r="AA86" s="2240"/>
      <c r="AB86" s="2241"/>
    </row>
    <row r="87" spans="1:30" outlineLevel="2">
      <c r="A87" s="798"/>
      <c r="B87" s="2347" t="s">
        <v>56</v>
      </c>
      <c r="C87" s="919"/>
      <c r="D87" s="797"/>
      <c r="E87" s="797"/>
      <c r="F87" s="797"/>
      <c r="G87" s="920"/>
      <c r="H87" s="919"/>
      <c r="I87" s="797"/>
      <c r="J87" s="797"/>
      <c r="K87" s="797"/>
      <c r="L87" s="797"/>
      <c r="M87" s="919"/>
      <c r="N87" s="797"/>
      <c r="O87" s="797"/>
      <c r="P87" s="797"/>
      <c r="Q87" s="920"/>
      <c r="U87" s="2242"/>
      <c r="V87" s="2243"/>
      <c r="W87" s="2243"/>
      <c r="X87" s="2243"/>
      <c r="Y87" s="2244"/>
      <c r="Z87" s="2242"/>
      <c r="AA87" s="2243"/>
      <c r="AB87" s="2244"/>
    </row>
    <row r="88" spans="1:30" outlineLevel="2">
      <c r="A88" s="798"/>
      <c r="B88" s="2347" t="s">
        <v>87</v>
      </c>
      <c r="C88" s="919"/>
      <c r="D88" s="797"/>
      <c r="E88" s="797"/>
      <c r="F88" s="797"/>
      <c r="G88" s="920"/>
      <c r="H88" s="919"/>
      <c r="I88" s="797"/>
      <c r="J88" s="797"/>
      <c r="K88" s="797"/>
      <c r="L88" s="797"/>
      <c r="M88" s="919"/>
      <c r="N88" s="797"/>
      <c r="O88" s="797"/>
      <c r="P88" s="797"/>
      <c r="Q88" s="920"/>
      <c r="U88" s="2242"/>
      <c r="V88" s="2243"/>
      <c r="W88" s="2243"/>
      <c r="X88" s="2243"/>
      <c r="Y88" s="2244"/>
      <c r="Z88" s="2242"/>
      <c r="AA88" s="2243"/>
      <c r="AB88" s="2244"/>
    </row>
    <row r="89" spans="1:30" ht="13.5" outlineLevel="2" thickBot="1">
      <c r="A89" s="798"/>
      <c r="B89" s="913" t="s">
        <v>1455</v>
      </c>
      <c r="C89" s="919"/>
      <c r="D89" s="797"/>
      <c r="E89" s="797"/>
      <c r="F89" s="797"/>
      <c r="G89" s="920"/>
      <c r="H89" s="919"/>
      <c r="I89" s="797"/>
      <c r="J89" s="797"/>
      <c r="K89" s="797"/>
      <c r="L89" s="797"/>
      <c r="M89" s="919"/>
      <c r="N89" s="797"/>
      <c r="O89" s="797"/>
      <c r="P89" s="797"/>
      <c r="Q89" s="920"/>
      <c r="U89" s="2242"/>
      <c r="V89" s="2243"/>
      <c r="W89" s="2243"/>
      <c r="X89" s="2243"/>
      <c r="Y89" s="2244"/>
      <c r="Z89" s="2242"/>
      <c r="AA89" s="2243"/>
      <c r="AB89" s="2244"/>
    </row>
    <row r="90" spans="1:30" ht="13.5" outlineLevel="1" thickBot="1">
      <c r="A90" s="798"/>
      <c r="B90" s="800" t="s">
        <v>63</v>
      </c>
      <c r="C90" s="801">
        <f t="shared" ref="C90:Q90" si="9">SUM(C81:C89)</f>
        <v>0</v>
      </c>
      <c r="D90" s="801">
        <f t="shared" si="9"/>
        <v>0</v>
      </c>
      <c r="E90" s="801">
        <f t="shared" si="9"/>
        <v>0</v>
      </c>
      <c r="F90" s="801">
        <f t="shared" si="9"/>
        <v>0</v>
      </c>
      <c r="G90" s="801">
        <f t="shared" si="9"/>
        <v>0</v>
      </c>
      <c r="H90" s="801">
        <f t="shared" si="9"/>
        <v>0</v>
      </c>
      <c r="I90" s="801">
        <f t="shared" si="9"/>
        <v>0</v>
      </c>
      <c r="J90" s="801">
        <f t="shared" si="9"/>
        <v>0</v>
      </c>
      <c r="K90" s="801">
        <f t="shared" si="9"/>
        <v>0</v>
      </c>
      <c r="L90" s="801">
        <f t="shared" si="9"/>
        <v>0</v>
      </c>
      <c r="M90" s="801">
        <f t="shared" si="9"/>
        <v>0</v>
      </c>
      <c r="N90" s="801">
        <f t="shared" si="9"/>
        <v>0</v>
      </c>
      <c r="O90" s="801">
        <f t="shared" si="9"/>
        <v>0</v>
      </c>
      <c r="P90" s="801">
        <f t="shared" si="9"/>
        <v>0</v>
      </c>
      <c r="Q90" s="802">
        <f t="shared" si="9"/>
        <v>0</v>
      </c>
      <c r="U90" s="800">
        <f t="shared" ref="U90:AB90" si="10">SUM(U81:U89)</f>
        <v>0</v>
      </c>
      <c r="V90" s="801">
        <f t="shared" si="10"/>
        <v>0</v>
      </c>
      <c r="W90" s="801">
        <f t="shared" si="10"/>
        <v>0</v>
      </c>
      <c r="X90" s="801">
        <f t="shared" si="10"/>
        <v>0</v>
      </c>
      <c r="Y90" s="801">
        <f t="shared" si="10"/>
        <v>0</v>
      </c>
      <c r="Z90" s="801">
        <f t="shared" si="10"/>
        <v>0</v>
      </c>
      <c r="AA90" s="801">
        <f t="shared" si="10"/>
        <v>0</v>
      </c>
      <c r="AB90" s="802">
        <f t="shared" si="10"/>
        <v>0</v>
      </c>
    </row>
    <row r="91" spans="1:30" s="1429" customFormat="1" ht="23.25" customHeight="1" outlineLevel="1" thickBot="1">
      <c r="R91" s="1427"/>
      <c r="S91" s="1427"/>
      <c r="T91" s="1427"/>
      <c r="AC91" s="1427"/>
      <c r="AD91" s="1427"/>
    </row>
    <row r="92" spans="1:30" s="529" customFormat="1" ht="24.75" customHeight="1" thickBot="1">
      <c r="A92" s="308"/>
      <c r="B92" s="743" t="str">
        <f>CONCATENATE("Table 16.1.7 - ",'17. Gross Capex '!B27)</f>
        <v>Table 16.1.7 - SCADA and remote control</v>
      </c>
      <c r="C92" s="315"/>
      <c r="D92" s="315"/>
      <c r="E92" s="315"/>
      <c r="F92" s="315"/>
      <c r="G92" s="315"/>
      <c r="H92" s="315"/>
      <c r="I92" s="315"/>
      <c r="J92" s="315"/>
      <c r="K92" s="315"/>
      <c r="L92" s="315"/>
      <c r="M92" s="315"/>
      <c r="N92" s="315"/>
      <c r="O92" s="315"/>
      <c r="P92" s="315"/>
      <c r="Q92" s="756"/>
      <c r="R92" s="1427"/>
      <c r="S92" s="1427"/>
      <c r="T92" s="1427"/>
      <c r="U92" s="298"/>
      <c r="V92" s="315"/>
      <c r="W92" s="315"/>
      <c r="X92" s="315"/>
      <c r="Y92" s="315"/>
      <c r="Z92" s="315"/>
      <c r="AA92" s="315"/>
      <c r="AB92" s="316"/>
      <c r="AC92" s="1427"/>
      <c r="AD92" s="1427"/>
    </row>
    <row r="93" spans="1:30" s="1427" customFormat="1" outlineLevel="2">
      <c r="A93" s="1429"/>
      <c r="B93" s="2347" t="s">
        <v>1453</v>
      </c>
      <c r="C93" s="914"/>
      <c r="D93" s="915"/>
      <c r="E93" s="915"/>
      <c r="F93" s="915"/>
      <c r="G93" s="916"/>
      <c r="H93" s="914"/>
      <c r="I93" s="915"/>
      <c r="J93" s="915"/>
      <c r="K93" s="915"/>
      <c r="L93" s="915"/>
      <c r="M93" s="914"/>
      <c r="N93" s="915"/>
      <c r="O93" s="915"/>
      <c r="P93" s="915"/>
      <c r="Q93" s="916"/>
      <c r="U93" s="2236"/>
      <c r="V93" s="2237"/>
      <c r="W93" s="2237"/>
      <c r="X93" s="2237"/>
      <c r="Y93" s="2238"/>
      <c r="Z93" s="2236"/>
      <c r="AA93" s="2237"/>
      <c r="AB93" s="2238"/>
    </row>
    <row r="94" spans="1:30" s="1427" customFormat="1" outlineLevel="2">
      <c r="A94" s="1429"/>
      <c r="B94" s="2347" t="s">
        <v>481</v>
      </c>
      <c r="C94" s="917"/>
      <c r="D94" s="796"/>
      <c r="E94" s="796"/>
      <c r="F94" s="796"/>
      <c r="G94" s="918"/>
      <c r="H94" s="917"/>
      <c r="I94" s="796"/>
      <c r="J94" s="796"/>
      <c r="K94" s="796"/>
      <c r="L94" s="796"/>
      <c r="M94" s="917"/>
      <c r="N94" s="796"/>
      <c r="O94" s="796"/>
      <c r="P94" s="796"/>
      <c r="Q94" s="918"/>
      <c r="U94" s="2239"/>
      <c r="V94" s="2240"/>
      <c r="W94" s="2240"/>
      <c r="X94" s="2240"/>
      <c r="Y94" s="2241"/>
      <c r="Z94" s="2239"/>
      <c r="AA94" s="2240"/>
      <c r="AB94" s="2241"/>
    </row>
    <row r="95" spans="1:30" s="1427" customFormat="1" outlineLevel="2">
      <c r="A95" s="1429"/>
      <c r="B95" s="2347" t="s">
        <v>482</v>
      </c>
      <c r="C95" s="917"/>
      <c r="D95" s="796"/>
      <c r="E95" s="796"/>
      <c r="F95" s="796"/>
      <c r="G95" s="918"/>
      <c r="H95" s="917"/>
      <c r="I95" s="796"/>
      <c r="J95" s="796"/>
      <c r="K95" s="796"/>
      <c r="L95" s="796"/>
      <c r="M95" s="917"/>
      <c r="N95" s="796"/>
      <c r="O95" s="796"/>
      <c r="P95" s="796"/>
      <c r="Q95" s="918"/>
      <c r="U95" s="2239"/>
      <c r="V95" s="2240"/>
      <c r="W95" s="2240"/>
      <c r="X95" s="2240"/>
      <c r="Y95" s="2241"/>
      <c r="Z95" s="2239"/>
      <c r="AA95" s="2240"/>
      <c r="AB95" s="2241"/>
    </row>
    <row r="96" spans="1:30" s="1427" customFormat="1" outlineLevel="2">
      <c r="A96" s="1429"/>
      <c r="B96" s="2347" t="s">
        <v>483</v>
      </c>
      <c r="C96" s="917"/>
      <c r="D96" s="796"/>
      <c r="E96" s="796"/>
      <c r="F96" s="796"/>
      <c r="G96" s="918"/>
      <c r="H96" s="917"/>
      <c r="I96" s="796"/>
      <c r="J96" s="796"/>
      <c r="K96" s="796"/>
      <c r="L96" s="796"/>
      <c r="M96" s="917"/>
      <c r="N96" s="796"/>
      <c r="O96" s="796"/>
      <c r="P96" s="796"/>
      <c r="Q96" s="918"/>
      <c r="U96" s="2239"/>
      <c r="V96" s="2240"/>
      <c r="W96" s="2240"/>
      <c r="X96" s="2240"/>
      <c r="Y96" s="2241"/>
      <c r="Z96" s="2239"/>
      <c r="AA96" s="2240"/>
      <c r="AB96" s="2241"/>
    </row>
    <row r="97" spans="1:30" s="1427" customFormat="1" outlineLevel="2">
      <c r="A97" s="1429"/>
      <c r="B97" s="2347" t="s">
        <v>484</v>
      </c>
      <c r="C97" s="917"/>
      <c r="D97" s="796"/>
      <c r="E97" s="796"/>
      <c r="F97" s="796"/>
      <c r="G97" s="918"/>
      <c r="H97" s="917"/>
      <c r="I97" s="796"/>
      <c r="J97" s="796"/>
      <c r="K97" s="796"/>
      <c r="L97" s="796"/>
      <c r="M97" s="917"/>
      <c r="N97" s="796"/>
      <c r="O97" s="796"/>
      <c r="P97" s="796"/>
      <c r="Q97" s="918"/>
      <c r="U97" s="2239"/>
      <c r="V97" s="2240"/>
      <c r="W97" s="2240"/>
      <c r="X97" s="2240"/>
      <c r="Y97" s="2241"/>
      <c r="Z97" s="2239"/>
      <c r="AA97" s="2240"/>
      <c r="AB97" s="2241"/>
    </row>
    <row r="98" spans="1:30" s="1427" customFormat="1" outlineLevel="2">
      <c r="A98" s="1429"/>
      <c r="B98" s="2347" t="s">
        <v>1454</v>
      </c>
      <c r="C98" s="917"/>
      <c r="D98" s="796"/>
      <c r="E98" s="796"/>
      <c r="F98" s="796"/>
      <c r="G98" s="918"/>
      <c r="H98" s="917"/>
      <c r="I98" s="796"/>
      <c r="J98" s="796"/>
      <c r="K98" s="796"/>
      <c r="L98" s="796"/>
      <c r="M98" s="917"/>
      <c r="N98" s="796"/>
      <c r="O98" s="796"/>
      <c r="P98" s="796"/>
      <c r="Q98" s="918"/>
      <c r="U98" s="2239"/>
      <c r="V98" s="2240"/>
      <c r="W98" s="2240"/>
      <c r="X98" s="2240"/>
      <c r="Y98" s="2241"/>
      <c r="Z98" s="2239"/>
      <c r="AA98" s="2240"/>
      <c r="AB98" s="2241"/>
    </row>
    <row r="99" spans="1:30" s="1427" customFormat="1" outlineLevel="2">
      <c r="A99" s="1429"/>
      <c r="B99" s="2347" t="s">
        <v>56</v>
      </c>
      <c r="C99" s="919"/>
      <c r="D99" s="797"/>
      <c r="E99" s="797"/>
      <c r="F99" s="797"/>
      <c r="G99" s="920"/>
      <c r="H99" s="919"/>
      <c r="I99" s="797"/>
      <c r="J99" s="797"/>
      <c r="K99" s="797"/>
      <c r="L99" s="797"/>
      <c r="M99" s="919"/>
      <c r="N99" s="797"/>
      <c r="O99" s="797"/>
      <c r="P99" s="797"/>
      <c r="Q99" s="920"/>
      <c r="U99" s="2242"/>
      <c r="V99" s="2243"/>
      <c r="W99" s="2243"/>
      <c r="X99" s="2243"/>
      <c r="Y99" s="2244"/>
      <c r="Z99" s="2242"/>
      <c r="AA99" s="2243"/>
      <c r="AB99" s="2244"/>
    </row>
    <row r="100" spans="1:30" s="1427" customFormat="1" outlineLevel="2">
      <c r="A100" s="1429"/>
      <c r="B100" s="2347" t="s">
        <v>87</v>
      </c>
      <c r="C100" s="919"/>
      <c r="D100" s="797"/>
      <c r="E100" s="797"/>
      <c r="F100" s="797"/>
      <c r="G100" s="920"/>
      <c r="H100" s="919"/>
      <c r="I100" s="797"/>
      <c r="J100" s="797"/>
      <c r="K100" s="797"/>
      <c r="L100" s="797"/>
      <c r="M100" s="919"/>
      <c r="N100" s="797"/>
      <c r="O100" s="797"/>
      <c r="P100" s="797"/>
      <c r="Q100" s="920"/>
      <c r="U100" s="2242"/>
      <c r="V100" s="2243"/>
      <c r="W100" s="2243"/>
      <c r="X100" s="2243"/>
      <c r="Y100" s="2244"/>
      <c r="Z100" s="2242"/>
      <c r="AA100" s="2243"/>
      <c r="AB100" s="2244"/>
    </row>
    <row r="101" spans="1:30" s="1427" customFormat="1" ht="13.5" outlineLevel="2" thickBot="1">
      <c r="A101" s="1429"/>
      <c r="B101" s="913" t="s">
        <v>1455</v>
      </c>
      <c r="C101" s="919"/>
      <c r="D101" s="797"/>
      <c r="E101" s="797"/>
      <c r="F101" s="797"/>
      <c r="G101" s="920"/>
      <c r="H101" s="919"/>
      <c r="I101" s="797"/>
      <c r="J101" s="797"/>
      <c r="K101" s="797"/>
      <c r="L101" s="797"/>
      <c r="M101" s="919"/>
      <c r="N101" s="797"/>
      <c r="O101" s="797"/>
      <c r="P101" s="797"/>
      <c r="Q101" s="920"/>
      <c r="U101" s="2242"/>
      <c r="V101" s="2243"/>
      <c r="W101" s="2243"/>
      <c r="X101" s="2243"/>
      <c r="Y101" s="2244"/>
      <c r="Z101" s="2242"/>
      <c r="AA101" s="2243"/>
      <c r="AB101" s="2244"/>
    </row>
    <row r="102" spans="1:30" s="1427" customFormat="1" ht="13.5" outlineLevel="1" thickBot="1">
      <c r="A102" s="1429"/>
      <c r="B102" s="800" t="s">
        <v>63</v>
      </c>
      <c r="C102" s="801">
        <f t="shared" ref="C102:Q102" si="11">SUM(C93:C101)</f>
        <v>0</v>
      </c>
      <c r="D102" s="801">
        <f t="shared" si="11"/>
        <v>0</v>
      </c>
      <c r="E102" s="801">
        <f t="shared" si="11"/>
        <v>0</v>
      </c>
      <c r="F102" s="801">
        <f t="shared" si="11"/>
        <v>0</v>
      </c>
      <c r="G102" s="801">
        <f t="shared" si="11"/>
        <v>0</v>
      </c>
      <c r="H102" s="801">
        <f t="shared" si="11"/>
        <v>0</v>
      </c>
      <c r="I102" s="801">
        <f t="shared" si="11"/>
        <v>0</v>
      </c>
      <c r="J102" s="801">
        <f t="shared" si="11"/>
        <v>0</v>
      </c>
      <c r="K102" s="801">
        <f t="shared" si="11"/>
        <v>0</v>
      </c>
      <c r="L102" s="801">
        <f t="shared" si="11"/>
        <v>0</v>
      </c>
      <c r="M102" s="801">
        <f t="shared" si="11"/>
        <v>0</v>
      </c>
      <c r="N102" s="801">
        <f t="shared" si="11"/>
        <v>0</v>
      </c>
      <c r="O102" s="801">
        <f t="shared" si="11"/>
        <v>0</v>
      </c>
      <c r="P102" s="801">
        <f t="shared" si="11"/>
        <v>0</v>
      </c>
      <c r="Q102" s="802">
        <f t="shared" si="11"/>
        <v>0</v>
      </c>
      <c r="U102" s="800">
        <f t="shared" ref="U102:AB102" si="12">SUM(U93:U101)</f>
        <v>0</v>
      </c>
      <c r="V102" s="801">
        <f t="shared" si="12"/>
        <v>0</v>
      </c>
      <c r="W102" s="801">
        <f t="shared" si="12"/>
        <v>0</v>
      </c>
      <c r="X102" s="801">
        <f t="shared" si="12"/>
        <v>0</v>
      </c>
      <c r="Y102" s="801">
        <f t="shared" si="12"/>
        <v>0</v>
      </c>
      <c r="Z102" s="801">
        <f t="shared" si="12"/>
        <v>0</v>
      </c>
      <c r="AA102" s="801">
        <f t="shared" si="12"/>
        <v>0</v>
      </c>
      <c r="AB102" s="802">
        <f t="shared" si="12"/>
        <v>0</v>
      </c>
    </row>
    <row r="103" spans="1:30" s="1429" customFormat="1" ht="23.25" customHeight="1" outlineLevel="1" thickBot="1">
      <c r="R103" s="1427"/>
      <c r="S103" s="1427"/>
      <c r="T103" s="1427"/>
      <c r="AC103" s="1427"/>
      <c r="AD103" s="1427"/>
    </row>
    <row r="104" spans="1:30" s="529" customFormat="1" ht="24.75" customHeight="1" thickBot="1">
      <c r="A104" s="308"/>
      <c r="B104" s="743" t="str">
        <f>CONCATENATE("Table 16.1.8 - ",'17. Gross Capex '!B28)</f>
        <v>Table 16.1.8 - Buildings</v>
      </c>
      <c r="C104" s="315"/>
      <c r="D104" s="315"/>
      <c r="E104" s="315"/>
      <c r="F104" s="315"/>
      <c r="G104" s="315"/>
      <c r="H104" s="315"/>
      <c r="I104" s="315"/>
      <c r="J104" s="315"/>
      <c r="K104" s="315"/>
      <c r="L104" s="315"/>
      <c r="M104" s="315"/>
      <c r="N104" s="315"/>
      <c r="O104" s="315"/>
      <c r="P104" s="315"/>
      <c r="Q104" s="756"/>
      <c r="R104" s="1427"/>
      <c r="S104" s="1427"/>
      <c r="T104" s="1427"/>
      <c r="U104" s="298"/>
      <c r="V104" s="315"/>
      <c r="W104" s="315"/>
      <c r="X104" s="315"/>
      <c r="Y104" s="315"/>
      <c r="Z104" s="315"/>
      <c r="AA104" s="315"/>
      <c r="AB104" s="316"/>
      <c r="AC104" s="1427"/>
      <c r="AD104" s="1427"/>
    </row>
    <row r="105" spans="1:30" s="1427" customFormat="1" outlineLevel="2">
      <c r="A105" s="1429"/>
      <c r="B105" s="2347" t="s">
        <v>1453</v>
      </c>
      <c r="C105" s="914"/>
      <c r="D105" s="915"/>
      <c r="E105" s="915"/>
      <c r="F105" s="915"/>
      <c r="G105" s="916"/>
      <c r="H105" s="914"/>
      <c r="I105" s="915"/>
      <c r="J105" s="915"/>
      <c r="K105" s="915"/>
      <c r="L105" s="915"/>
      <c r="M105" s="914"/>
      <c r="N105" s="915"/>
      <c r="O105" s="915"/>
      <c r="P105" s="915"/>
      <c r="Q105" s="916"/>
      <c r="U105" s="2236"/>
      <c r="V105" s="2237"/>
      <c r="W105" s="2237"/>
      <c r="X105" s="2237"/>
      <c r="Y105" s="2238"/>
      <c r="Z105" s="2236"/>
      <c r="AA105" s="2237"/>
      <c r="AB105" s="2238"/>
    </row>
    <row r="106" spans="1:30" s="1427" customFormat="1" outlineLevel="2">
      <c r="A106" s="1429"/>
      <c r="B106" s="2347" t="s">
        <v>481</v>
      </c>
      <c r="C106" s="917"/>
      <c r="D106" s="796"/>
      <c r="E106" s="796"/>
      <c r="F106" s="796"/>
      <c r="G106" s="918"/>
      <c r="H106" s="917"/>
      <c r="I106" s="796"/>
      <c r="J106" s="796"/>
      <c r="K106" s="796"/>
      <c r="L106" s="796"/>
      <c r="M106" s="917"/>
      <c r="N106" s="796"/>
      <c r="O106" s="796"/>
      <c r="P106" s="796"/>
      <c r="Q106" s="918"/>
      <c r="U106" s="2239"/>
      <c r="V106" s="2240"/>
      <c r="W106" s="2240"/>
      <c r="X106" s="2240"/>
      <c r="Y106" s="2241"/>
      <c r="Z106" s="2239"/>
      <c r="AA106" s="2240"/>
      <c r="AB106" s="2241"/>
    </row>
    <row r="107" spans="1:30" s="1427" customFormat="1" outlineLevel="2">
      <c r="A107" s="1429"/>
      <c r="B107" s="2347" t="s">
        <v>482</v>
      </c>
      <c r="C107" s="917"/>
      <c r="D107" s="796"/>
      <c r="E107" s="796"/>
      <c r="F107" s="796"/>
      <c r="G107" s="918"/>
      <c r="H107" s="917"/>
      <c r="I107" s="796"/>
      <c r="J107" s="796"/>
      <c r="K107" s="796"/>
      <c r="L107" s="796"/>
      <c r="M107" s="917"/>
      <c r="N107" s="796"/>
      <c r="O107" s="796"/>
      <c r="P107" s="796"/>
      <c r="Q107" s="918"/>
      <c r="U107" s="2239"/>
      <c r="V107" s="2240"/>
      <c r="W107" s="2240"/>
      <c r="X107" s="2240"/>
      <c r="Y107" s="2241"/>
      <c r="Z107" s="2239"/>
      <c r="AA107" s="2240"/>
      <c r="AB107" s="2241"/>
    </row>
    <row r="108" spans="1:30" s="1427" customFormat="1" outlineLevel="2">
      <c r="A108" s="1429"/>
      <c r="B108" s="2347" t="s">
        <v>483</v>
      </c>
      <c r="C108" s="917"/>
      <c r="D108" s="796"/>
      <c r="E108" s="796"/>
      <c r="F108" s="796"/>
      <c r="G108" s="918"/>
      <c r="H108" s="917"/>
      <c r="I108" s="796"/>
      <c r="J108" s="796"/>
      <c r="K108" s="796"/>
      <c r="L108" s="796"/>
      <c r="M108" s="917"/>
      <c r="N108" s="796"/>
      <c r="O108" s="796"/>
      <c r="P108" s="796"/>
      <c r="Q108" s="918"/>
      <c r="U108" s="2239"/>
      <c r="V108" s="2240"/>
      <c r="W108" s="2240"/>
      <c r="X108" s="2240"/>
      <c r="Y108" s="2241"/>
      <c r="Z108" s="2239"/>
      <c r="AA108" s="2240"/>
      <c r="AB108" s="2241"/>
    </row>
    <row r="109" spans="1:30" s="1427" customFormat="1" outlineLevel="2">
      <c r="A109" s="1429"/>
      <c r="B109" s="2347" t="s">
        <v>484</v>
      </c>
      <c r="C109" s="917"/>
      <c r="D109" s="796"/>
      <c r="E109" s="796"/>
      <c r="F109" s="796"/>
      <c r="G109" s="918"/>
      <c r="H109" s="917"/>
      <c r="I109" s="796"/>
      <c r="J109" s="796"/>
      <c r="K109" s="796"/>
      <c r="L109" s="796"/>
      <c r="M109" s="917"/>
      <c r="N109" s="796"/>
      <c r="O109" s="796"/>
      <c r="P109" s="796"/>
      <c r="Q109" s="918"/>
      <c r="U109" s="2239"/>
      <c r="V109" s="2240"/>
      <c r="W109" s="2240"/>
      <c r="X109" s="2240"/>
      <c r="Y109" s="2241"/>
      <c r="Z109" s="2239"/>
      <c r="AA109" s="2240"/>
      <c r="AB109" s="2241"/>
    </row>
    <row r="110" spans="1:30" s="1427" customFormat="1" outlineLevel="2">
      <c r="A110" s="1429"/>
      <c r="B110" s="2347" t="s">
        <v>1454</v>
      </c>
      <c r="C110" s="917"/>
      <c r="D110" s="796"/>
      <c r="E110" s="796"/>
      <c r="F110" s="796"/>
      <c r="G110" s="918"/>
      <c r="H110" s="917"/>
      <c r="I110" s="796"/>
      <c r="J110" s="796"/>
      <c r="K110" s="796"/>
      <c r="L110" s="796"/>
      <c r="M110" s="917"/>
      <c r="N110" s="796"/>
      <c r="O110" s="796"/>
      <c r="P110" s="796"/>
      <c r="Q110" s="918"/>
      <c r="U110" s="2239"/>
      <c r="V110" s="2240"/>
      <c r="W110" s="2240"/>
      <c r="X110" s="2240"/>
      <c r="Y110" s="2241"/>
      <c r="Z110" s="2239"/>
      <c r="AA110" s="2240"/>
      <c r="AB110" s="2241"/>
    </row>
    <row r="111" spans="1:30" s="1427" customFormat="1" outlineLevel="2">
      <c r="A111" s="1429"/>
      <c r="B111" s="2347" t="s">
        <v>56</v>
      </c>
      <c r="C111" s="919"/>
      <c r="D111" s="797"/>
      <c r="E111" s="797"/>
      <c r="F111" s="797"/>
      <c r="G111" s="920"/>
      <c r="H111" s="919"/>
      <c r="I111" s="797"/>
      <c r="J111" s="797"/>
      <c r="K111" s="797"/>
      <c r="L111" s="797"/>
      <c r="M111" s="919"/>
      <c r="N111" s="797"/>
      <c r="O111" s="797"/>
      <c r="P111" s="797"/>
      <c r="Q111" s="920"/>
      <c r="U111" s="2242"/>
      <c r="V111" s="2243"/>
      <c r="W111" s="2243"/>
      <c r="X111" s="2243"/>
      <c r="Y111" s="2244"/>
      <c r="Z111" s="2242"/>
      <c r="AA111" s="2243"/>
      <c r="AB111" s="2244"/>
    </row>
    <row r="112" spans="1:30" s="1427" customFormat="1" outlineLevel="2">
      <c r="A112" s="1429"/>
      <c r="B112" s="2347" t="s">
        <v>87</v>
      </c>
      <c r="C112" s="919"/>
      <c r="D112" s="797"/>
      <c r="E112" s="797"/>
      <c r="F112" s="797"/>
      <c r="G112" s="920"/>
      <c r="H112" s="919"/>
      <c r="I112" s="797"/>
      <c r="J112" s="797"/>
      <c r="K112" s="797"/>
      <c r="L112" s="797"/>
      <c r="M112" s="919"/>
      <c r="N112" s="797"/>
      <c r="O112" s="797"/>
      <c r="P112" s="797"/>
      <c r="Q112" s="920"/>
      <c r="U112" s="2242"/>
      <c r="V112" s="2243"/>
      <c r="W112" s="2243"/>
      <c r="X112" s="2243"/>
      <c r="Y112" s="2244"/>
      <c r="Z112" s="2242"/>
      <c r="AA112" s="2243"/>
      <c r="AB112" s="2244"/>
    </row>
    <row r="113" spans="1:30" s="1427" customFormat="1" ht="13.5" outlineLevel="2" thickBot="1">
      <c r="A113" s="1429"/>
      <c r="B113" s="913" t="s">
        <v>1455</v>
      </c>
      <c r="C113" s="919"/>
      <c r="D113" s="797"/>
      <c r="E113" s="797"/>
      <c r="F113" s="797"/>
      <c r="G113" s="920"/>
      <c r="H113" s="919"/>
      <c r="I113" s="797"/>
      <c r="J113" s="797"/>
      <c r="K113" s="797"/>
      <c r="L113" s="797"/>
      <c r="M113" s="919"/>
      <c r="N113" s="797"/>
      <c r="O113" s="797"/>
      <c r="P113" s="797"/>
      <c r="Q113" s="920"/>
      <c r="U113" s="2242"/>
      <c r="V113" s="2243"/>
      <c r="W113" s="2243"/>
      <c r="X113" s="2243"/>
      <c r="Y113" s="2244"/>
      <c r="Z113" s="2242"/>
      <c r="AA113" s="2243"/>
      <c r="AB113" s="2244"/>
    </row>
    <row r="114" spans="1:30" s="1427" customFormat="1" ht="13.5" outlineLevel="1" thickBot="1">
      <c r="A114" s="1429"/>
      <c r="B114" s="800" t="s">
        <v>63</v>
      </c>
      <c r="C114" s="801">
        <f t="shared" ref="C114:Q114" si="13">SUM(C105:C113)</f>
        <v>0</v>
      </c>
      <c r="D114" s="801">
        <f t="shared" si="13"/>
        <v>0</v>
      </c>
      <c r="E114" s="801">
        <f t="shared" si="13"/>
        <v>0</v>
      </c>
      <c r="F114" s="801">
        <f t="shared" si="13"/>
        <v>0</v>
      </c>
      <c r="G114" s="801">
        <f t="shared" si="13"/>
        <v>0</v>
      </c>
      <c r="H114" s="801">
        <f t="shared" si="13"/>
        <v>0</v>
      </c>
      <c r="I114" s="801">
        <f t="shared" si="13"/>
        <v>0</v>
      </c>
      <c r="J114" s="801">
        <f t="shared" si="13"/>
        <v>0</v>
      </c>
      <c r="K114" s="801">
        <f t="shared" si="13"/>
        <v>0</v>
      </c>
      <c r="L114" s="801">
        <f t="shared" si="13"/>
        <v>0</v>
      </c>
      <c r="M114" s="801">
        <f t="shared" si="13"/>
        <v>0</v>
      </c>
      <c r="N114" s="801">
        <f t="shared" si="13"/>
        <v>0</v>
      </c>
      <c r="O114" s="801">
        <f t="shared" si="13"/>
        <v>0</v>
      </c>
      <c r="P114" s="801">
        <f t="shared" si="13"/>
        <v>0</v>
      </c>
      <c r="Q114" s="802">
        <f t="shared" si="13"/>
        <v>0</v>
      </c>
      <c r="U114" s="800">
        <f t="shared" ref="U114:AB114" si="14">SUM(U105:U113)</f>
        <v>0</v>
      </c>
      <c r="V114" s="801">
        <f t="shared" si="14"/>
        <v>0</v>
      </c>
      <c r="W114" s="801">
        <f t="shared" si="14"/>
        <v>0</v>
      </c>
      <c r="X114" s="801">
        <f t="shared" si="14"/>
        <v>0</v>
      </c>
      <c r="Y114" s="801">
        <f t="shared" si="14"/>
        <v>0</v>
      </c>
      <c r="Z114" s="801">
        <f t="shared" si="14"/>
        <v>0</v>
      </c>
      <c r="AA114" s="801">
        <f t="shared" si="14"/>
        <v>0</v>
      </c>
      <c r="AB114" s="802">
        <f t="shared" si="14"/>
        <v>0</v>
      </c>
    </row>
    <row r="115" spans="1:30" s="1429" customFormat="1" ht="23.25" customHeight="1" outlineLevel="1" thickBot="1">
      <c r="R115" s="1427"/>
      <c r="S115" s="1427"/>
      <c r="T115" s="1427"/>
      <c r="AC115" s="1427"/>
      <c r="AD115" s="1427"/>
    </row>
    <row r="116" spans="1:30" s="529" customFormat="1" ht="24.75" customHeight="1" thickBot="1">
      <c r="A116" s="308"/>
      <c r="B116" s="743" t="str">
        <f>CONCATENATE("Table 16.1.9 - ",'17. Gross Capex '!B29)</f>
        <v>Table 16.1.9 - Other - IT</v>
      </c>
      <c r="C116" s="315"/>
      <c r="D116" s="315"/>
      <c r="E116" s="315"/>
      <c r="F116" s="315"/>
      <c r="G116" s="315"/>
      <c r="H116" s="315"/>
      <c r="I116" s="315"/>
      <c r="J116" s="315"/>
      <c r="K116" s="315"/>
      <c r="L116" s="315"/>
      <c r="M116" s="315"/>
      <c r="N116" s="315"/>
      <c r="O116" s="315"/>
      <c r="P116" s="315"/>
      <c r="Q116" s="756"/>
      <c r="R116" s="1427"/>
      <c r="S116" s="1427"/>
      <c r="T116" s="1427"/>
      <c r="U116" s="298"/>
      <c r="V116" s="315"/>
      <c r="W116" s="315"/>
      <c r="X116" s="315"/>
      <c r="Y116" s="315"/>
      <c r="Z116" s="315"/>
      <c r="AA116" s="315"/>
      <c r="AB116" s="316"/>
      <c r="AC116" s="1427"/>
      <c r="AD116" s="1427"/>
    </row>
    <row r="117" spans="1:30" s="1427" customFormat="1" outlineLevel="2">
      <c r="A117" s="1429"/>
      <c r="B117" s="2347" t="s">
        <v>1453</v>
      </c>
      <c r="C117" s="914"/>
      <c r="D117" s="915"/>
      <c r="E117" s="915"/>
      <c r="F117" s="915"/>
      <c r="G117" s="916"/>
      <c r="H117" s="914"/>
      <c r="I117" s="915"/>
      <c r="J117" s="915"/>
      <c r="K117" s="915"/>
      <c r="L117" s="915"/>
      <c r="M117" s="914"/>
      <c r="N117" s="915"/>
      <c r="O117" s="915"/>
      <c r="P117" s="915"/>
      <c r="Q117" s="916"/>
      <c r="U117" s="2236"/>
      <c r="V117" s="2237"/>
      <c r="W117" s="2237"/>
      <c r="X117" s="2237"/>
      <c r="Y117" s="2238"/>
      <c r="Z117" s="2236"/>
      <c r="AA117" s="2237"/>
      <c r="AB117" s="2238"/>
    </row>
    <row r="118" spans="1:30" s="1427" customFormat="1" outlineLevel="2">
      <c r="A118" s="1429"/>
      <c r="B118" s="2347" t="s">
        <v>481</v>
      </c>
      <c r="C118" s="917"/>
      <c r="D118" s="796"/>
      <c r="E118" s="796"/>
      <c r="F118" s="796"/>
      <c r="G118" s="918"/>
      <c r="H118" s="917"/>
      <c r="I118" s="796"/>
      <c r="J118" s="796"/>
      <c r="K118" s="796"/>
      <c r="L118" s="796"/>
      <c r="M118" s="917"/>
      <c r="N118" s="796"/>
      <c r="O118" s="796"/>
      <c r="P118" s="796"/>
      <c r="Q118" s="918"/>
      <c r="U118" s="2239"/>
      <c r="V118" s="2240"/>
      <c r="W118" s="2240"/>
      <c r="X118" s="2240"/>
      <c r="Y118" s="2241"/>
      <c r="Z118" s="2239"/>
      <c r="AA118" s="2240"/>
      <c r="AB118" s="2241"/>
    </row>
    <row r="119" spans="1:30" s="1427" customFormat="1" outlineLevel="2">
      <c r="A119" s="1429"/>
      <c r="B119" s="2347" t="s">
        <v>482</v>
      </c>
      <c r="C119" s="917"/>
      <c r="D119" s="796"/>
      <c r="E119" s="796"/>
      <c r="F119" s="796"/>
      <c r="G119" s="918"/>
      <c r="H119" s="917"/>
      <c r="I119" s="796"/>
      <c r="J119" s="796"/>
      <c r="K119" s="796"/>
      <c r="L119" s="796"/>
      <c r="M119" s="917"/>
      <c r="N119" s="796"/>
      <c r="O119" s="796"/>
      <c r="P119" s="796"/>
      <c r="Q119" s="918"/>
      <c r="U119" s="2239"/>
      <c r="V119" s="2240"/>
      <c r="W119" s="2240"/>
      <c r="X119" s="2240"/>
      <c r="Y119" s="2241"/>
      <c r="Z119" s="2239"/>
      <c r="AA119" s="2240"/>
      <c r="AB119" s="2241"/>
    </row>
    <row r="120" spans="1:30" s="1427" customFormat="1" outlineLevel="2">
      <c r="A120" s="1429"/>
      <c r="B120" s="2347" t="s">
        <v>483</v>
      </c>
      <c r="C120" s="917"/>
      <c r="D120" s="796"/>
      <c r="E120" s="796"/>
      <c r="F120" s="796"/>
      <c r="G120" s="918"/>
      <c r="H120" s="917"/>
      <c r="I120" s="796"/>
      <c r="J120" s="796"/>
      <c r="K120" s="796"/>
      <c r="L120" s="796"/>
      <c r="M120" s="917"/>
      <c r="N120" s="796"/>
      <c r="O120" s="796"/>
      <c r="P120" s="796"/>
      <c r="Q120" s="918"/>
      <c r="U120" s="2239"/>
      <c r="V120" s="2240"/>
      <c r="W120" s="2240"/>
      <c r="X120" s="2240"/>
      <c r="Y120" s="2241"/>
      <c r="Z120" s="2239"/>
      <c r="AA120" s="2240"/>
      <c r="AB120" s="2241"/>
    </row>
    <row r="121" spans="1:30" s="1427" customFormat="1" outlineLevel="2">
      <c r="A121" s="1429"/>
      <c r="B121" s="2347" t="s">
        <v>484</v>
      </c>
      <c r="C121" s="917"/>
      <c r="D121" s="796"/>
      <c r="E121" s="796"/>
      <c r="F121" s="796"/>
      <c r="G121" s="918"/>
      <c r="H121" s="917"/>
      <c r="I121" s="796"/>
      <c r="J121" s="796"/>
      <c r="K121" s="796"/>
      <c r="L121" s="796"/>
      <c r="M121" s="917"/>
      <c r="N121" s="796"/>
      <c r="O121" s="796"/>
      <c r="P121" s="796"/>
      <c r="Q121" s="918"/>
      <c r="U121" s="2239"/>
      <c r="V121" s="2240"/>
      <c r="W121" s="2240"/>
      <c r="X121" s="2240"/>
      <c r="Y121" s="2241"/>
      <c r="Z121" s="2239"/>
      <c r="AA121" s="2240"/>
      <c r="AB121" s="2241"/>
    </row>
    <row r="122" spans="1:30" s="1427" customFormat="1" outlineLevel="2">
      <c r="A122" s="1429"/>
      <c r="B122" s="2347" t="s">
        <v>1454</v>
      </c>
      <c r="C122" s="917"/>
      <c r="D122" s="796"/>
      <c r="E122" s="796"/>
      <c r="F122" s="796"/>
      <c r="G122" s="918"/>
      <c r="H122" s="917"/>
      <c r="I122" s="796"/>
      <c r="J122" s="796"/>
      <c r="K122" s="796"/>
      <c r="L122" s="796"/>
      <c r="M122" s="917"/>
      <c r="N122" s="796"/>
      <c r="O122" s="796"/>
      <c r="P122" s="796"/>
      <c r="Q122" s="918"/>
      <c r="U122" s="2239"/>
      <c r="V122" s="2240"/>
      <c r="W122" s="2240"/>
      <c r="X122" s="2240"/>
      <c r="Y122" s="2241"/>
      <c r="Z122" s="2239"/>
      <c r="AA122" s="2240"/>
      <c r="AB122" s="2241"/>
    </row>
    <row r="123" spans="1:30" s="1427" customFormat="1" outlineLevel="2">
      <c r="A123" s="1429"/>
      <c r="B123" s="2347" t="s">
        <v>56</v>
      </c>
      <c r="C123" s="919"/>
      <c r="D123" s="797"/>
      <c r="E123" s="797"/>
      <c r="F123" s="797"/>
      <c r="G123" s="920"/>
      <c r="H123" s="919"/>
      <c r="I123" s="797"/>
      <c r="J123" s="797"/>
      <c r="K123" s="797"/>
      <c r="L123" s="797"/>
      <c r="M123" s="919"/>
      <c r="N123" s="797"/>
      <c r="O123" s="797"/>
      <c r="P123" s="797"/>
      <c r="Q123" s="920"/>
      <c r="U123" s="2242"/>
      <c r="V123" s="2243"/>
      <c r="W123" s="2243"/>
      <c r="X123" s="2243"/>
      <c r="Y123" s="2244"/>
      <c r="Z123" s="2242"/>
      <c r="AA123" s="2243"/>
      <c r="AB123" s="2244"/>
    </row>
    <row r="124" spans="1:30" s="1427" customFormat="1" outlineLevel="2">
      <c r="A124" s="1429"/>
      <c r="B124" s="2347" t="s">
        <v>87</v>
      </c>
      <c r="C124" s="919"/>
      <c r="D124" s="797"/>
      <c r="E124" s="797"/>
      <c r="F124" s="797"/>
      <c r="G124" s="920"/>
      <c r="H124" s="919"/>
      <c r="I124" s="797"/>
      <c r="J124" s="797"/>
      <c r="K124" s="797"/>
      <c r="L124" s="797"/>
      <c r="M124" s="919"/>
      <c r="N124" s="797"/>
      <c r="O124" s="797"/>
      <c r="P124" s="797"/>
      <c r="Q124" s="920"/>
      <c r="U124" s="2242"/>
      <c r="V124" s="2243"/>
      <c r="W124" s="2243"/>
      <c r="X124" s="2243"/>
      <c r="Y124" s="2244"/>
      <c r="Z124" s="2242"/>
      <c r="AA124" s="2243"/>
      <c r="AB124" s="2244"/>
    </row>
    <row r="125" spans="1:30" s="1427" customFormat="1" ht="13.5" outlineLevel="2" thickBot="1">
      <c r="A125" s="1429"/>
      <c r="B125" s="913" t="s">
        <v>1455</v>
      </c>
      <c r="C125" s="919"/>
      <c r="D125" s="797"/>
      <c r="E125" s="797"/>
      <c r="F125" s="797"/>
      <c r="G125" s="920"/>
      <c r="H125" s="919"/>
      <c r="I125" s="797"/>
      <c r="J125" s="797"/>
      <c r="K125" s="797"/>
      <c r="L125" s="797"/>
      <c r="M125" s="919"/>
      <c r="N125" s="797"/>
      <c r="O125" s="797"/>
      <c r="P125" s="797"/>
      <c r="Q125" s="920"/>
      <c r="U125" s="2242"/>
      <c r="V125" s="2243"/>
      <c r="W125" s="2243"/>
      <c r="X125" s="2243"/>
      <c r="Y125" s="2244"/>
      <c r="Z125" s="2242"/>
      <c r="AA125" s="2243"/>
      <c r="AB125" s="2244"/>
    </row>
    <row r="126" spans="1:30" s="1427" customFormat="1" ht="13.5" outlineLevel="1" thickBot="1">
      <c r="A126" s="1429"/>
      <c r="B126" s="800" t="s">
        <v>63</v>
      </c>
      <c r="C126" s="801">
        <f t="shared" ref="C126:Q126" si="15">SUM(C117:C125)</f>
        <v>0</v>
      </c>
      <c r="D126" s="801">
        <f t="shared" si="15"/>
        <v>0</v>
      </c>
      <c r="E126" s="801">
        <f t="shared" si="15"/>
        <v>0</v>
      </c>
      <c r="F126" s="801">
        <f t="shared" si="15"/>
        <v>0</v>
      </c>
      <c r="G126" s="801">
        <f t="shared" si="15"/>
        <v>0</v>
      </c>
      <c r="H126" s="801">
        <f t="shared" si="15"/>
        <v>0</v>
      </c>
      <c r="I126" s="801">
        <f t="shared" si="15"/>
        <v>0</v>
      </c>
      <c r="J126" s="801">
        <f t="shared" si="15"/>
        <v>0</v>
      </c>
      <c r="K126" s="801">
        <f t="shared" si="15"/>
        <v>0</v>
      </c>
      <c r="L126" s="801">
        <f t="shared" si="15"/>
        <v>0</v>
      </c>
      <c r="M126" s="801">
        <f t="shared" si="15"/>
        <v>0</v>
      </c>
      <c r="N126" s="801">
        <f t="shared" si="15"/>
        <v>0</v>
      </c>
      <c r="O126" s="801">
        <f t="shared" si="15"/>
        <v>0</v>
      </c>
      <c r="P126" s="801">
        <f t="shared" si="15"/>
        <v>0</v>
      </c>
      <c r="Q126" s="802">
        <f t="shared" si="15"/>
        <v>0</v>
      </c>
      <c r="U126" s="800" t="e">
        <f>SUM(U119:U125)-#REF!</f>
        <v>#REF!</v>
      </c>
      <c r="V126" s="801" t="e">
        <f>SUM(V119:V125)-#REF!</f>
        <v>#REF!</v>
      </c>
      <c r="W126" s="801" t="e">
        <f>SUM(W119:W125)-#REF!</f>
        <v>#REF!</v>
      </c>
      <c r="X126" s="801" t="e">
        <f>SUM(X119:X125)-#REF!</f>
        <v>#REF!</v>
      </c>
      <c r="Y126" s="801" t="e">
        <f>SUM(Y119:Y125)-#REF!</f>
        <v>#REF!</v>
      </c>
      <c r="Z126" s="801" t="e">
        <f>SUM(Z119:Z125)-#REF!</f>
        <v>#REF!</v>
      </c>
      <c r="AA126" s="801" t="e">
        <f>SUM(AA119:AA125)-#REF!</f>
        <v>#REF!</v>
      </c>
      <c r="AB126" s="802" t="e">
        <f>SUM(AB119:AB125)-#REF!</f>
        <v>#REF!</v>
      </c>
    </row>
    <row r="127" spans="1:30" s="1429" customFormat="1" ht="23.25" customHeight="1" outlineLevel="1" thickBot="1">
      <c r="R127" s="1427"/>
      <c r="S127" s="1427"/>
      <c r="T127" s="1427"/>
      <c r="AC127" s="1427"/>
      <c r="AD127" s="1427"/>
    </row>
    <row r="128" spans="1:30" s="529" customFormat="1" ht="24.75" customHeight="1" thickBot="1">
      <c r="A128" s="308"/>
      <c r="B128" s="743" t="str">
        <f>CONCATENATE("Table 16.1.10 - ",'17. Gross Capex '!B30)</f>
        <v>Table 16.1.10 - Other - Non IT</v>
      </c>
      <c r="C128" s="315"/>
      <c r="D128" s="315"/>
      <c r="E128" s="315"/>
      <c r="F128" s="315"/>
      <c r="G128" s="315"/>
      <c r="H128" s="315"/>
      <c r="I128" s="315"/>
      <c r="J128" s="315"/>
      <c r="K128" s="315"/>
      <c r="L128" s="315"/>
      <c r="M128" s="315"/>
      <c r="N128" s="315"/>
      <c r="O128" s="315"/>
      <c r="P128" s="315"/>
      <c r="Q128" s="756"/>
      <c r="R128" s="1427"/>
      <c r="S128" s="1427"/>
      <c r="T128" s="1427"/>
      <c r="U128" s="298"/>
      <c r="V128" s="315"/>
      <c r="W128" s="315"/>
      <c r="X128" s="315"/>
      <c r="Y128" s="315"/>
      <c r="Z128" s="315"/>
      <c r="AA128" s="315"/>
      <c r="AB128" s="316"/>
      <c r="AC128" s="1427"/>
      <c r="AD128" s="1427"/>
    </row>
    <row r="129" spans="1:30" s="1427" customFormat="1" outlineLevel="2">
      <c r="A129" s="1429"/>
      <c r="B129" s="2347" t="s">
        <v>1453</v>
      </c>
      <c r="C129" s="914"/>
      <c r="D129" s="915"/>
      <c r="E129" s="915"/>
      <c r="F129" s="915"/>
      <c r="G129" s="916"/>
      <c r="H129" s="914"/>
      <c r="I129" s="915"/>
      <c r="J129" s="915"/>
      <c r="K129" s="915"/>
      <c r="L129" s="915"/>
      <c r="M129" s="914"/>
      <c r="N129" s="915"/>
      <c r="O129" s="915"/>
      <c r="P129" s="915"/>
      <c r="Q129" s="916"/>
      <c r="U129" s="2236"/>
      <c r="V129" s="2237"/>
      <c r="W129" s="2237"/>
      <c r="X129" s="2237"/>
      <c r="Y129" s="2238"/>
      <c r="Z129" s="2236"/>
      <c r="AA129" s="2237"/>
      <c r="AB129" s="2238"/>
    </row>
    <row r="130" spans="1:30" s="1427" customFormat="1" outlineLevel="2">
      <c r="A130" s="1429"/>
      <c r="B130" s="2347" t="s">
        <v>481</v>
      </c>
      <c r="C130" s="917"/>
      <c r="D130" s="796"/>
      <c r="E130" s="796"/>
      <c r="F130" s="796"/>
      <c r="G130" s="918"/>
      <c r="H130" s="917"/>
      <c r="I130" s="796"/>
      <c r="J130" s="796"/>
      <c r="K130" s="796"/>
      <c r="L130" s="796"/>
      <c r="M130" s="917"/>
      <c r="N130" s="796"/>
      <c r="O130" s="796"/>
      <c r="P130" s="796"/>
      <c r="Q130" s="918"/>
      <c r="U130" s="2239"/>
      <c r="V130" s="2240"/>
      <c r="W130" s="2240"/>
      <c r="X130" s="2240"/>
      <c r="Y130" s="2241"/>
      <c r="Z130" s="2239"/>
      <c r="AA130" s="2240"/>
      <c r="AB130" s="2241"/>
    </row>
    <row r="131" spans="1:30" s="1427" customFormat="1" outlineLevel="2">
      <c r="A131" s="1429"/>
      <c r="B131" s="2347" t="s">
        <v>482</v>
      </c>
      <c r="C131" s="917"/>
      <c r="D131" s="796"/>
      <c r="E131" s="796"/>
      <c r="F131" s="796"/>
      <c r="G131" s="918"/>
      <c r="H131" s="917"/>
      <c r="I131" s="796"/>
      <c r="J131" s="796"/>
      <c r="K131" s="796"/>
      <c r="L131" s="796"/>
      <c r="M131" s="917"/>
      <c r="N131" s="796"/>
      <c r="O131" s="796"/>
      <c r="P131" s="796"/>
      <c r="Q131" s="918"/>
      <c r="U131" s="2239"/>
      <c r="V131" s="2240"/>
      <c r="W131" s="2240"/>
      <c r="X131" s="2240"/>
      <c r="Y131" s="2241"/>
      <c r="Z131" s="2239"/>
      <c r="AA131" s="2240"/>
      <c r="AB131" s="2241"/>
    </row>
    <row r="132" spans="1:30" s="1427" customFormat="1" outlineLevel="2">
      <c r="A132" s="1429"/>
      <c r="B132" s="2347" t="s">
        <v>483</v>
      </c>
      <c r="C132" s="917"/>
      <c r="D132" s="796"/>
      <c r="E132" s="796"/>
      <c r="F132" s="796"/>
      <c r="G132" s="918"/>
      <c r="H132" s="917"/>
      <c r="I132" s="796"/>
      <c r="J132" s="796"/>
      <c r="K132" s="796"/>
      <c r="L132" s="796"/>
      <c r="M132" s="917"/>
      <c r="N132" s="796"/>
      <c r="O132" s="796"/>
      <c r="P132" s="796"/>
      <c r="Q132" s="918"/>
      <c r="U132" s="2239"/>
      <c r="V132" s="2240"/>
      <c r="W132" s="2240"/>
      <c r="X132" s="2240"/>
      <c r="Y132" s="2241"/>
      <c r="Z132" s="2239"/>
      <c r="AA132" s="2240"/>
      <c r="AB132" s="2241"/>
    </row>
    <row r="133" spans="1:30" s="1427" customFormat="1" outlineLevel="2">
      <c r="A133" s="1429"/>
      <c r="B133" s="2347" t="s">
        <v>484</v>
      </c>
      <c r="C133" s="917"/>
      <c r="D133" s="796"/>
      <c r="E133" s="796"/>
      <c r="F133" s="796"/>
      <c r="G133" s="918"/>
      <c r="H133" s="917"/>
      <c r="I133" s="796"/>
      <c r="J133" s="796"/>
      <c r="K133" s="796"/>
      <c r="L133" s="796"/>
      <c r="M133" s="917"/>
      <c r="N133" s="796"/>
      <c r="O133" s="796"/>
      <c r="P133" s="796"/>
      <c r="Q133" s="918"/>
      <c r="U133" s="2239"/>
      <c r="V133" s="2240"/>
      <c r="W133" s="2240"/>
      <c r="X133" s="2240"/>
      <c r="Y133" s="2241"/>
      <c r="Z133" s="2239"/>
      <c r="AA133" s="2240"/>
      <c r="AB133" s="2241"/>
    </row>
    <row r="134" spans="1:30" s="1427" customFormat="1" outlineLevel="2">
      <c r="A134" s="1429"/>
      <c r="B134" s="2347" t="s">
        <v>1454</v>
      </c>
      <c r="C134" s="917"/>
      <c r="D134" s="796"/>
      <c r="E134" s="796"/>
      <c r="F134" s="796"/>
      <c r="G134" s="918"/>
      <c r="H134" s="917"/>
      <c r="I134" s="796"/>
      <c r="J134" s="796"/>
      <c r="K134" s="796"/>
      <c r="L134" s="796"/>
      <c r="M134" s="917"/>
      <c r="N134" s="796"/>
      <c r="O134" s="796"/>
      <c r="P134" s="796"/>
      <c r="Q134" s="918"/>
      <c r="U134" s="2239"/>
      <c r="V134" s="2240"/>
      <c r="W134" s="2240"/>
      <c r="X134" s="2240"/>
      <c r="Y134" s="2241"/>
      <c r="Z134" s="2239"/>
      <c r="AA134" s="2240"/>
      <c r="AB134" s="2241"/>
    </row>
    <row r="135" spans="1:30" s="1427" customFormat="1" outlineLevel="2">
      <c r="A135" s="1429"/>
      <c r="B135" s="2347" t="s">
        <v>56</v>
      </c>
      <c r="C135" s="919"/>
      <c r="D135" s="797"/>
      <c r="E135" s="797"/>
      <c r="F135" s="797"/>
      <c r="G135" s="920"/>
      <c r="H135" s="919"/>
      <c r="I135" s="797"/>
      <c r="J135" s="797"/>
      <c r="K135" s="797"/>
      <c r="L135" s="797"/>
      <c r="M135" s="919"/>
      <c r="N135" s="797"/>
      <c r="O135" s="797"/>
      <c r="P135" s="797"/>
      <c r="Q135" s="920"/>
      <c r="U135" s="2242"/>
      <c r="V135" s="2243"/>
      <c r="W135" s="2243"/>
      <c r="X135" s="2243"/>
      <c r="Y135" s="2244"/>
      <c r="Z135" s="2242"/>
      <c r="AA135" s="2243"/>
      <c r="AB135" s="2244"/>
    </row>
    <row r="136" spans="1:30" s="1427" customFormat="1" outlineLevel="2">
      <c r="A136" s="1429"/>
      <c r="B136" s="2347" t="s">
        <v>87</v>
      </c>
      <c r="C136" s="919"/>
      <c r="D136" s="797"/>
      <c r="E136" s="797"/>
      <c r="F136" s="797"/>
      <c r="G136" s="920"/>
      <c r="H136" s="919"/>
      <c r="I136" s="797"/>
      <c r="J136" s="797"/>
      <c r="K136" s="797"/>
      <c r="L136" s="797"/>
      <c r="M136" s="919"/>
      <c r="N136" s="797"/>
      <c r="O136" s="797"/>
      <c r="P136" s="797"/>
      <c r="Q136" s="920"/>
      <c r="U136" s="2242"/>
      <c r="V136" s="2243"/>
      <c r="W136" s="2243"/>
      <c r="X136" s="2243"/>
      <c r="Y136" s="2244"/>
      <c r="Z136" s="2242"/>
      <c r="AA136" s="2243"/>
      <c r="AB136" s="2244"/>
    </row>
    <row r="137" spans="1:30" s="1427" customFormat="1" ht="13.5" outlineLevel="2" thickBot="1">
      <c r="A137" s="1429"/>
      <c r="B137" s="913" t="s">
        <v>1455</v>
      </c>
      <c r="C137" s="919"/>
      <c r="D137" s="797"/>
      <c r="E137" s="797"/>
      <c r="F137" s="797"/>
      <c r="G137" s="920"/>
      <c r="H137" s="919"/>
      <c r="I137" s="797"/>
      <c r="J137" s="797"/>
      <c r="K137" s="797"/>
      <c r="L137" s="797"/>
      <c r="M137" s="919"/>
      <c r="N137" s="797"/>
      <c r="O137" s="797"/>
      <c r="P137" s="797"/>
      <c r="Q137" s="920"/>
      <c r="U137" s="2242"/>
      <c r="V137" s="2243"/>
      <c r="W137" s="2243"/>
      <c r="X137" s="2243"/>
      <c r="Y137" s="2244"/>
      <c r="Z137" s="2242"/>
      <c r="AA137" s="2243"/>
      <c r="AB137" s="2244"/>
    </row>
    <row r="138" spans="1:30" s="1427" customFormat="1" ht="13.5" outlineLevel="1" thickBot="1">
      <c r="A138" s="1429"/>
      <c r="B138" s="800" t="s">
        <v>63</v>
      </c>
      <c r="C138" s="801">
        <f t="shared" ref="C138:Q138" si="16">SUM(C129:C137)</f>
        <v>0</v>
      </c>
      <c r="D138" s="801">
        <f t="shared" si="16"/>
        <v>0</v>
      </c>
      <c r="E138" s="801">
        <f t="shared" si="16"/>
        <v>0</v>
      </c>
      <c r="F138" s="801">
        <f t="shared" si="16"/>
        <v>0</v>
      </c>
      <c r="G138" s="801">
        <f t="shared" si="16"/>
        <v>0</v>
      </c>
      <c r="H138" s="801">
        <f t="shared" si="16"/>
        <v>0</v>
      </c>
      <c r="I138" s="801">
        <f t="shared" si="16"/>
        <v>0</v>
      </c>
      <c r="J138" s="801">
        <f t="shared" si="16"/>
        <v>0</v>
      </c>
      <c r="K138" s="801">
        <f t="shared" si="16"/>
        <v>0</v>
      </c>
      <c r="L138" s="801">
        <f t="shared" si="16"/>
        <v>0</v>
      </c>
      <c r="M138" s="801">
        <f t="shared" si="16"/>
        <v>0</v>
      </c>
      <c r="N138" s="801">
        <f t="shared" si="16"/>
        <v>0</v>
      </c>
      <c r="O138" s="801">
        <f t="shared" si="16"/>
        <v>0</v>
      </c>
      <c r="P138" s="801">
        <f t="shared" si="16"/>
        <v>0</v>
      </c>
      <c r="Q138" s="802">
        <f t="shared" si="16"/>
        <v>0</v>
      </c>
      <c r="U138" s="800">
        <f t="shared" ref="U138:AB138" si="17">SUM(U129:U137)</f>
        <v>0</v>
      </c>
      <c r="V138" s="801">
        <f t="shared" si="17"/>
        <v>0</v>
      </c>
      <c r="W138" s="801">
        <f t="shared" si="17"/>
        <v>0</v>
      </c>
      <c r="X138" s="801">
        <f t="shared" si="17"/>
        <v>0</v>
      </c>
      <c r="Y138" s="801">
        <f t="shared" si="17"/>
        <v>0</v>
      </c>
      <c r="Z138" s="801">
        <f t="shared" si="17"/>
        <v>0</v>
      </c>
      <c r="AA138" s="801">
        <f t="shared" si="17"/>
        <v>0</v>
      </c>
      <c r="AB138" s="802">
        <f t="shared" si="17"/>
        <v>0</v>
      </c>
    </row>
    <row r="139" spans="1:30" s="1429" customFormat="1" ht="23.25" customHeight="1" outlineLevel="1" thickBot="1">
      <c r="R139" s="1427"/>
      <c r="S139" s="1427"/>
      <c r="T139" s="1427"/>
      <c r="AC139" s="1427"/>
      <c r="AD139" s="1427"/>
    </row>
    <row r="140" spans="1:30" s="529" customFormat="1" ht="24.75" customHeight="1" thickBot="1">
      <c r="A140" s="308"/>
      <c r="B140" s="743" t="str">
        <f>CONCATENATE("Table 16.1.11 - ",'17. Gross Capex '!B31)</f>
        <v>Table 16.1.11 - Land</v>
      </c>
      <c r="C140" s="315"/>
      <c r="D140" s="315"/>
      <c r="E140" s="315"/>
      <c r="F140" s="315"/>
      <c r="G140" s="315"/>
      <c r="H140" s="315"/>
      <c r="I140" s="315"/>
      <c r="J140" s="315"/>
      <c r="K140" s="315"/>
      <c r="L140" s="315"/>
      <c r="M140" s="315"/>
      <c r="N140" s="315"/>
      <c r="O140" s="315"/>
      <c r="P140" s="315"/>
      <c r="Q140" s="756"/>
      <c r="R140"/>
      <c r="S140"/>
      <c r="T140"/>
      <c r="U140" s="298"/>
      <c r="V140" s="315"/>
      <c r="W140" s="315"/>
      <c r="X140" s="315"/>
      <c r="Y140" s="315"/>
      <c r="Z140" s="315"/>
      <c r="AA140" s="315"/>
      <c r="AB140" s="316"/>
      <c r="AC140"/>
      <c r="AD140"/>
    </row>
    <row r="141" spans="1:30" outlineLevel="2">
      <c r="A141" s="798"/>
      <c r="B141" s="2347" t="s">
        <v>1453</v>
      </c>
      <c r="C141" s="914"/>
      <c r="D141" s="915"/>
      <c r="E141" s="915"/>
      <c r="F141" s="915"/>
      <c r="G141" s="916"/>
      <c r="H141" s="914"/>
      <c r="I141" s="915"/>
      <c r="J141" s="915"/>
      <c r="K141" s="915"/>
      <c r="L141" s="915"/>
      <c r="M141" s="914"/>
      <c r="N141" s="915"/>
      <c r="O141" s="915"/>
      <c r="P141" s="915"/>
      <c r="Q141" s="916"/>
      <c r="U141" s="2236"/>
      <c r="V141" s="2237"/>
      <c r="W141" s="2237"/>
      <c r="X141" s="2237"/>
      <c r="Y141" s="2238"/>
      <c r="Z141" s="2236"/>
      <c r="AA141" s="2237"/>
      <c r="AB141" s="2238"/>
    </row>
    <row r="142" spans="1:30" outlineLevel="2">
      <c r="A142" s="798"/>
      <c r="B142" s="2347" t="s">
        <v>481</v>
      </c>
      <c r="C142" s="917"/>
      <c r="D142" s="796"/>
      <c r="E142" s="796"/>
      <c r="F142" s="796"/>
      <c r="G142" s="918"/>
      <c r="H142" s="917"/>
      <c r="I142" s="796"/>
      <c r="J142" s="796"/>
      <c r="K142" s="796"/>
      <c r="L142" s="796"/>
      <c r="M142" s="917"/>
      <c r="N142" s="796"/>
      <c r="O142" s="796"/>
      <c r="P142" s="796"/>
      <c r="Q142" s="918"/>
      <c r="U142" s="2239"/>
      <c r="V142" s="2240"/>
      <c r="W142" s="2240"/>
      <c r="X142" s="2240"/>
      <c r="Y142" s="2241"/>
      <c r="Z142" s="2239"/>
      <c r="AA142" s="2240"/>
      <c r="AB142" s="2241"/>
    </row>
    <row r="143" spans="1:30" outlineLevel="2">
      <c r="A143" s="798"/>
      <c r="B143" s="2347" t="s">
        <v>482</v>
      </c>
      <c r="C143" s="917"/>
      <c r="D143" s="796"/>
      <c r="E143" s="796"/>
      <c r="F143" s="796"/>
      <c r="G143" s="918"/>
      <c r="H143" s="917"/>
      <c r="I143" s="796"/>
      <c r="J143" s="796"/>
      <c r="K143" s="796"/>
      <c r="L143" s="796"/>
      <c r="M143" s="917"/>
      <c r="N143" s="796"/>
      <c r="O143" s="796"/>
      <c r="P143" s="796"/>
      <c r="Q143" s="918"/>
      <c r="U143" s="2239"/>
      <c r="V143" s="2240"/>
      <c r="W143" s="2240"/>
      <c r="X143" s="2240"/>
      <c r="Y143" s="2241"/>
      <c r="Z143" s="2239"/>
      <c r="AA143" s="2240"/>
      <c r="AB143" s="2241"/>
    </row>
    <row r="144" spans="1:30" outlineLevel="2">
      <c r="A144" s="798"/>
      <c r="B144" s="2347" t="s">
        <v>483</v>
      </c>
      <c r="C144" s="917"/>
      <c r="D144" s="796"/>
      <c r="E144" s="796"/>
      <c r="F144" s="796"/>
      <c r="G144" s="918"/>
      <c r="H144" s="917"/>
      <c r="I144" s="796"/>
      <c r="J144" s="796"/>
      <c r="K144" s="796"/>
      <c r="L144" s="796"/>
      <c r="M144" s="917"/>
      <c r="N144" s="796"/>
      <c r="O144" s="796"/>
      <c r="P144" s="796"/>
      <c r="Q144" s="918"/>
      <c r="U144" s="2239"/>
      <c r="V144" s="2240"/>
      <c r="W144" s="2240"/>
      <c r="X144" s="2240"/>
      <c r="Y144" s="2241"/>
      <c r="Z144" s="2239"/>
      <c r="AA144" s="2240"/>
      <c r="AB144" s="2241"/>
    </row>
    <row r="145" spans="1:30" outlineLevel="2">
      <c r="A145" s="798"/>
      <c r="B145" s="2347" t="s">
        <v>484</v>
      </c>
      <c r="C145" s="917"/>
      <c r="D145" s="796"/>
      <c r="E145" s="796"/>
      <c r="F145" s="796"/>
      <c r="G145" s="918"/>
      <c r="H145" s="917"/>
      <c r="I145" s="796"/>
      <c r="J145" s="796"/>
      <c r="K145" s="796"/>
      <c r="L145" s="796"/>
      <c r="M145" s="917"/>
      <c r="N145" s="796"/>
      <c r="O145" s="796"/>
      <c r="P145" s="796"/>
      <c r="Q145" s="918"/>
      <c r="U145" s="2239"/>
      <c r="V145" s="2240"/>
      <c r="W145" s="2240"/>
      <c r="X145" s="2240"/>
      <c r="Y145" s="2241"/>
      <c r="Z145" s="2239"/>
      <c r="AA145" s="2240"/>
      <c r="AB145" s="2241"/>
    </row>
    <row r="146" spans="1:30" outlineLevel="2">
      <c r="A146" s="798"/>
      <c r="B146" s="2347" t="s">
        <v>1454</v>
      </c>
      <c r="C146" s="917"/>
      <c r="D146" s="796"/>
      <c r="E146" s="796"/>
      <c r="F146" s="796"/>
      <c r="G146" s="918"/>
      <c r="H146" s="917"/>
      <c r="I146" s="796"/>
      <c r="J146" s="796"/>
      <c r="K146" s="796"/>
      <c r="L146" s="796"/>
      <c r="M146" s="917"/>
      <c r="N146" s="796"/>
      <c r="O146" s="796"/>
      <c r="P146" s="796"/>
      <c r="Q146" s="918"/>
      <c r="U146" s="2239"/>
      <c r="V146" s="2240"/>
      <c r="W146" s="2240"/>
      <c r="X146" s="2240"/>
      <c r="Y146" s="2241"/>
      <c r="Z146" s="2239"/>
      <c r="AA146" s="2240"/>
      <c r="AB146" s="2241"/>
    </row>
    <row r="147" spans="1:30" outlineLevel="2">
      <c r="A147" s="798"/>
      <c r="B147" s="2347" t="s">
        <v>56</v>
      </c>
      <c r="C147" s="919"/>
      <c r="D147" s="797"/>
      <c r="E147" s="797"/>
      <c r="F147" s="797"/>
      <c r="G147" s="920"/>
      <c r="H147" s="919"/>
      <c r="I147" s="797"/>
      <c r="J147" s="797"/>
      <c r="K147" s="797"/>
      <c r="L147" s="797"/>
      <c r="M147" s="919"/>
      <c r="N147" s="797"/>
      <c r="O147" s="797"/>
      <c r="P147" s="797"/>
      <c r="Q147" s="920"/>
      <c r="U147" s="2242"/>
      <c r="V147" s="2243"/>
      <c r="W147" s="2243"/>
      <c r="X147" s="2243"/>
      <c r="Y147" s="2244"/>
      <c r="Z147" s="2242"/>
      <c r="AA147" s="2243"/>
      <c r="AB147" s="2244"/>
    </row>
    <row r="148" spans="1:30" outlineLevel="2">
      <c r="A148" s="798"/>
      <c r="B148" s="2347" t="s">
        <v>87</v>
      </c>
      <c r="C148" s="919"/>
      <c r="D148" s="797"/>
      <c r="E148" s="797"/>
      <c r="F148" s="797"/>
      <c r="G148" s="920"/>
      <c r="H148" s="919"/>
      <c r="I148" s="797"/>
      <c r="J148" s="797"/>
      <c r="K148" s="797"/>
      <c r="L148" s="797"/>
      <c r="M148" s="919"/>
      <c r="N148" s="797"/>
      <c r="O148" s="797"/>
      <c r="P148" s="797"/>
      <c r="Q148" s="920"/>
      <c r="U148" s="2242"/>
      <c r="V148" s="2243"/>
      <c r="W148" s="2243"/>
      <c r="X148" s="2243"/>
      <c r="Y148" s="2244"/>
      <c r="Z148" s="2242"/>
      <c r="AA148" s="2243"/>
      <c r="AB148" s="2244"/>
    </row>
    <row r="149" spans="1:30" ht="13.5" outlineLevel="2" thickBot="1">
      <c r="A149" s="798"/>
      <c r="B149" s="913" t="s">
        <v>1455</v>
      </c>
      <c r="C149" s="919"/>
      <c r="D149" s="797"/>
      <c r="E149" s="797"/>
      <c r="F149" s="797"/>
      <c r="G149" s="920"/>
      <c r="H149" s="919"/>
      <c r="I149" s="797"/>
      <c r="J149" s="797"/>
      <c r="K149" s="797"/>
      <c r="L149" s="797"/>
      <c r="M149" s="919"/>
      <c r="N149" s="797"/>
      <c r="O149" s="797"/>
      <c r="P149" s="797"/>
      <c r="Q149" s="920"/>
      <c r="U149" s="2242"/>
      <c r="V149" s="2243"/>
      <c r="W149" s="2243"/>
      <c r="X149" s="2243"/>
      <c r="Y149" s="2244"/>
      <c r="Z149" s="2242"/>
      <c r="AA149" s="2243"/>
      <c r="AB149" s="2244"/>
    </row>
    <row r="150" spans="1:30" ht="13.5" outlineLevel="1" thickBot="1">
      <c r="A150" s="798"/>
      <c r="B150" s="800" t="s">
        <v>63</v>
      </c>
      <c r="C150" s="801">
        <f t="shared" ref="C150:Q150" si="18">SUM(C141:C149)</f>
        <v>0</v>
      </c>
      <c r="D150" s="801">
        <f t="shared" si="18"/>
        <v>0</v>
      </c>
      <c r="E150" s="801">
        <f t="shared" si="18"/>
        <v>0</v>
      </c>
      <c r="F150" s="801">
        <f t="shared" si="18"/>
        <v>0</v>
      </c>
      <c r="G150" s="801">
        <f t="shared" si="18"/>
        <v>0</v>
      </c>
      <c r="H150" s="801">
        <f t="shared" si="18"/>
        <v>0</v>
      </c>
      <c r="I150" s="801">
        <f t="shared" si="18"/>
        <v>0</v>
      </c>
      <c r="J150" s="801">
        <f t="shared" si="18"/>
        <v>0</v>
      </c>
      <c r="K150" s="801">
        <f t="shared" si="18"/>
        <v>0</v>
      </c>
      <c r="L150" s="801">
        <f t="shared" si="18"/>
        <v>0</v>
      </c>
      <c r="M150" s="801">
        <f t="shared" si="18"/>
        <v>0</v>
      </c>
      <c r="N150" s="801">
        <f t="shared" si="18"/>
        <v>0</v>
      </c>
      <c r="O150" s="801">
        <f t="shared" si="18"/>
        <v>0</v>
      </c>
      <c r="P150" s="801">
        <f t="shared" si="18"/>
        <v>0</v>
      </c>
      <c r="Q150" s="802">
        <f t="shared" si="18"/>
        <v>0</v>
      </c>
      <c r="U150" s="800">
        <f t="shared" ref="U150:AB150" si="19">SUM(U141:U149)</f>
        <v>0</v>
      </c>
      <c r="V150" s="801">
        <f t="shared" si="19"/>
        <v>0</v>
      </c>
      <c r="W150" s="801">
        <f t="shared" si="19"/>
        <v>0</v>
      </c>
      <c r="X150" s="801">
        <f t="shared" si="19"/>
        <v>0</v>
      </c>
      <c r="Y150" s="801">
        <f t="shared" si="19"/>
        <v>0</v>
      </c>
      <c r="Z150" s="801">
        <f t="shared" si="19"/>
        <v>0</v>
      </c>
      <c r="AA150" s="801">
        <f t="shared" si="19"/>
        <v>0</v>
      </c>
      <c r="AB150" s="802">
        <f t="shared" si="19"/>
        <v>0</v>
      </c>
    </row>
    <row r="151" spans="1:30" s="70" customFormat="1" ht="28.5" customHeight="1" thickBot="1">
      <c r="A151" s="360"/>
      <c r="B151" s="1711" t="s">
        <v>125</v>
      </c>
      <c r="C151" s="748"/>
      <c r="D151" s="310"/>
      <c r="E151" s="310"/>
      <c r="F151" s="310"/>
      <c r="G151" s="310"/>
      <c r="H151" s="310"/>
      <c r="I151" s="310"/>
      <c r="J151" s="310"/>
      <c r="K151" s="310"/>
      <c r="L151" s="310"/>
      <c r="M151" s="310"/>
      <c r="N151" s="310"/>
      <c r="O151" s="310"/>
      <c r="P151" s="310"/>
      <c r="Q151" s="458"/>
      <c r="R151"/>
      <c r="S151"/>
      <c r="T151"/>
      <c r="U151" s="2135"/>
      <c r="V151" s="2116"/>
      <c r="W151" s="2116"/>
      <c r="X151" s="2116"/>
      <c r="Y151" s="2116"/>
      <c r="Z151" s="2116"/>
      <c r="AA151" s="2116"/>
      <c r="AB151" s="2119"/>
      <c r="AC151"/>
      <c r="AD151"/>
    </row>
  </sheetData>
  <mergeCells count="16">
    <mergeCell ref="U16:Y16"/>
    <mergeCell ref="Z16:AB16"/>
    <mergeCell ref="U17:AB17"/>
    <mergeCell ref="U18:AB18"/>
    <mergeCell ref="B8:E8"/>
    <mergeCell ref="B9:E9"/>
    <mergeCell ref="B10:E10"/>
    <mergeCell ref="B11:E11"/>
    <mergeCell ref="B16:B19"/>
    <mergeCell ref="C16:G16"/>
    <mergeCell ref="H16:L16"/>
    <mergeCell ref="M16:Q16"/>
    <mergeCell ref="C17:J17"/>
    <mergeCell ref="K17:Q17"/>
    <mergeCell ref="C18:J18"/>
    <mergeCell ref="K18:Q18"/>
  </mergeCells>
  <pageMargins left="0.75" right="0.75" top="1" bottom="1" header="0.5" footer="0.5"/>
  <pageSetup paperSize="9" orientation="portrait" r:id="rId1"/>
  <headerFooter alignWithMargins="0"/>
  <customProperties>
    <customPr name="_pios_id" r:id="rId2"/>
  </customProperties>
  <drawing r:id="rId3"/>
  <legacyDrawing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6" tint="0.59999389629810485"/>
    <pageSetUpPr autoPageBreaks="0" fitToPage="1"/>
  </sheetPr>
  <dimension ref="A1:AE117"/>
  <sheetViews>
    <sheetView showGridLines="0" zoomScale="70" zoomScaleNormal="70" zoomScaleSheetLayoutView="40" workbookViewId="0"/>
  </sheetViews>
  <sheetFormatPr defaultColWidth="9.140625" defaultRowHeight="12.75"/>
  <cols>
    <col min="1" max="1" width="16.28515625" style="70" bestFit="1" customWidth="1"/>
    <col min="2" max="2" width="52" style="70" customWidth="1"/>
    <col min="3" max="11" width="15.7109375" style="70" customWidth="1"/>
    <col min="12" max="12" width="19.7109375" style="70" customWidth="1"/>
    <col min="13" max="17" width="15.7109375" style="70" customWidth="1"/>
    <col min="18" max="18" width="12.42578125" bestFit="1" customWidth="1"/>
    <col min="19" max="20" width="8.7109375"/>
    <col min="21" max="28" width="15.7109375" style="1427" customWidth="1"/>
    <col min="29" max="29" width="8.7109375" customWidth="1"/>
    <col min="30" max="16384" width="9.140625" style="70"/>
  </cols>
  <sheetData>
    <row r="1" spans="1:31" s="223" customFormat="1" ht="24" customHeight="1">
      <c r="B1" s="3050" t="str">
        <f>IF(dms_DataQuality="backcast",INDEX(dms_Worksheet_List,MATCH(dms_Model,dms_Model_List))&amp;" BACKCAST",INDEX(dms_Worksheet_List,MATCH(dms_Model,dms_Model_List)))</f>
        <v>REGULATORY REPORTING STATEMENT</v>
      </c>
      <c r="C1" s="546"/>
      <c r="D1" s="546"/>
      <c r="E1" s="546"/>
      <c r="F1" s="546"/>
      <c r="G1" s="546"/>
      <c r="H1" s="225"/>
      <c r="I1" s="225"/>
      <c r="J1" s="225"/>
      <c r="K1" s="225"/>
      <c r="L1" s="225"/>
      <c r="M1" s="225" t="s">
        <v>415</v>
      </c>
      <c r="N1" s="225"/>
      <c r="O1" s="225"/>
      <c r="P1" s="225"/>
      <c r="Q1" s="225"/>
      <c r="R1" s="225"/>
      <c r="S1" s="225"/>
      <c r="T1" s="225"/>
      <c r="U1" s="546"/>
      <c r="V1" s="546"/>
      <c r="W1" s="546"/>
      <c r="X1" s="546"/>
      <c r="Y1" s="546"/>
      <c r="Z1" s="225"/>
      <c r="AA1" s="225"/>
      <c r="AB1" s="225"/>
      <c r="AC1"/>
    </row>
    <row r="2" spans="1:31" s="223" customFormat="1" ht="24" customHeight="1">
      <c r="B2" s="3054" t="str">
        <f>INDEX(dms_TradingNameFull_List,MATCH(dms_TradingName,dms_TradingName_List))</f>
        <v>AusNet Gas Services</v>
      </c>
      <c r="C2" s="226"/>
      <c r="D2" s="226"/>
      <c r="E2" s="226"/>
      <c r="F2" s="226"/>
      <c r="G2" s="226"/>
      <c r="H2" s="225"/>
      <c r="I2" s="225"/>
      <c r="J2" s="225"/>
      <c r="K2" s="225"/>
      <c r="L2" s="225"/>
      <c r="M2" s="225"/>
      <c r="N2" s="225"/>
      <c r="O2" s="225"/>
      <c r="P2" s="225"/>
      <c r="Q2" s="225"/>
      <c r="R2" s="225"/>
      <c r="S2" s="225"/>
      <c r="T2" s="225"/>
      <c r="U2" s="1428"/>
      <c r="V2" s="1428"/>
      <c r="W2" s="1428"/>
      <c r="X2" s="1428"/>
      <c r="Y2" s="1428"/>
      <c r="Z2" s="225"/>
      <c r="AA2" s="225"/>
      <c r="AB2" s="225"/>
      <c r="AC2"/>
    </row>
    <row r="3" spans="1:31" s="223" customFormat="1" ht="24" customHeight="1">
      <c r="B3" s="3054" t="str">
        <f ca="1">IF(SUM(dms_SingleYear_Model)&gt;0,CRY,CONCATENATE(FRCP_y1," to ",dms_MultiYear_FinalYear_Result))</f>
        <v>2018 to 2022</v>
      </c>
      <c r="C3" s="227"/>
      <c r="D3" s="227"/>
      <c r="E3" s="227"/>
      <c r="F3" s="227"/>
      <c r="G3" s="227"/>
      <c r="H3" s="228" t="str">
        <f>CONCATENATE(LEFT(FRCP_y1,4),"-",LEFT(FRCP_y5,2),RIGHT(FRCP_y5,2))</f>
        <v>2018-2022</v>
      </c>
      <c r="I3" s="228" t="str">
        <f>CONCATENATE(LEFT(FRCP_y1,4),"-",LEFT(FRCP_y5,2),RIGHT(FRCP_y5,2))</f>
        <v>2018-2022</v>
      </c>
      <c r="J3" s="227"/>
      <c r="K3" s="227"/>
      <c r="L3" s="227"/>
      <c r="M3" s="227"/>
      <c r="N3" s="227"/>
      <c r="O3" s="227"/>
      <c r="P3" s="227"/>
      <c r="Q3" s="227"/>
      <c r="R3" s="1426"/>
      <c r="S3" s="1426"/>
      <c r="T3" s="1426"/>
      <c r="U3" s="1426"/>
      <c r="V3" s="1426"/>
      <c r="W3" s="1426"/>
      <c r="X3" s="1426"/>
      <c r="Y3" s="1426"/>
      <c r="Z3" s="228"/>
      <c r="AA3" s="228"/>
      <c r="AB3" s="1426"/>
      <c r="AC3"/>
    </row>
    <row r="4" spans="1:31" s="165" customFormat="1" ht="24" customHeight="1">
      <c r="B4" s="10" t="s">
        <v>382</v>
      </c>
      <c r="C4" s="12"/>
      <c r="D4" s="12"/>
      <c r="E4" s="12"/>
      <c r="F4" s="12"/>
      <c r="G4" s="12"/>
      <c r="H4" s="12"/>
      <c r="I4" s="12"/>
      <c r="J4" s="12"/>
      <c r="K4" s="12"/>
      <c r="L4" s="12"/>
      <c r="M4" s="12"/>
      <c r="N4" s="12"/>
      <c r="O4" s="12"/>
      <c r="P4" s="12"/>
      <c r="Q4" s="12"/>
      <c r="R4" s="12"/>
      <c r="S4" s="12"/>
      <c r="T4" s="12"/>
      <c r="U4" s="12"/>
      <c r="V4" s="12"/>
      <c r="W4" s="12"/>
      <c r="X4" s="12"/>
      <c r="Y4" s="12"/>
      <c r="Z4" s="12"/>
      <c r="AA4" s="12"/>
      <c r="AB4" s="12"/>
      <c r="AC4"/>
    </row>
    <row r="5" spans="1:31" customFormat="1"/>
    <row r="6" spans="1:31" customFormat="1"/>
    <row r="7" spans="1:31">
      <c r="A7" s="808"/>
      <c r="B7" s="14" t="s">
        <v>59</v>
      </c>
      <c r="C7" s="14"/>
      <c r="D7" s="14"/>
      <c r="E7" s="14"/>
      <c r="F7" s="14"/>
      <c r="G7" s="14"/>
      <c r="H7" s="14"/>
      <c r="I7" s="14"/>
      <c r="J7" s="811"/>
      <c r="K7" s="811"/>
      <c r="L7" s="811"/>
      <c r="M7" s="410"/>
      <c r="N7" s="410"/>
      <c r="O7" s="410"/>
      <c r="P7" s="410"/>
      <c r="Q7" s="410"/>
      <c r="U7"/>
      <c r="V7"/>
      <c r="W7"/>
      <c r="X7"/>
      <c r="Y7"/>
      <c r="Z7"/>
      <c r="AA7"/>
      <c r="AB7"/>
    </row>
    <row r="8" spans="1:31">
      <c r="A8" s="808"/>
      <c r="B8" s="74" t="s">
        <v>234</v>
      </c>
      <c r="C8" s="74"/>
      <c r="D8" s="74"/>
      <c r="E8" s="74"/>
      <c r="F8" s="74"/>
      <c r="G8" s="74"/>
      <c r="H8" s="74"/>
      <c r="I8" s="74"/>
      <c r="J8" s="811"/>
      <c r="K8" s="811"/>
      <c r="L8" s="811"/>
      <c r="M8" s="410"/>
      <c r="N8" s="410"/>
      <c r="O8" s="410"/>
      <c r="P8" s="410"/>
      <c r="Q8" s="410"/>
      <c r="U8"/>
      <c r="V8"/>
      <c r="W8"/>
      <c r="X8"/>
      <c r="Y8"/>
      <c r="Z8"/>
      <c r="AA8"/>
      <c r="AB8"/>
    </row>
    <row r="9" spans="1:31">
      <c r="A9" s="808"/>
      <c r="B9" s="74"/>
      <c r="C9" s="74"/>
      <c r="D9" s="74"/>
      <c r="E9" s="74"/>
      <c r="F9" s="74"/>
      <c r="G9" s="74"/>
      <c r="H9" s="74"/>
      <c r="I9" s="74"/>
      <c r="J9" s="811"/>
      <c r="K9" s="811"/>
      <c r="L9" s="811"/>
      <c r="M9" s="410"/>
      <c r="N9" s="410"/>
      <c r="O9" s="410"/>
      <c r="P9" s="410"/>
      <c r="Q9" s="410"/>
      <c r="U9"/>
      <c r="V9"/>
      <c r="W9"/>
      <c r="X9"/>
      <c r="Y9"/>
      <c r="Z9"/>
      <c r="AA9"/>
      <c r="AB9"/>
    </row>
    <row r="10" spans="1:31">
      <c r="A10" s="410"/>
      <c r="B10" s="74" t="s">
        <v>247</v>
      </c>
      <c r="C10" s="74"/>
      <c r="D10" s="74"/>
      <c r="E10" s="74"/>
      <c r="F10" s="74"/>
      <c r="G10" s="74"/>
      <c r="H10" s="74"/>
      <c r="I10" s="74"/>
      <c r="J10" s="811"/>
      <c r="K10" s="811"/>
      <c r="L10" s="811"/>
      <c r="M10" s="808"/>
      <c r="N10" s="808"/>
      <c r="O10" s="808"/>
      <c r="P10" s="808"/>
      <c r="Q10" s="808"/>
      <c r="U10"/>
      <c r="V10"/>
      <c r="W10"/>
      <c r="X10"/>
      <c r="Y10"/>
      <c r="Z10"/>
      <c r="AA10"/>
      <c r="AB10"/>
    </row>
    <row r="11" spans="1:31" ht="12.75" customHeight="1">
      <c r="A11" s="410"/>
      <c r="B11" s="109"/>
      <c r="C11" s="109"/>
      <c r="D11" s="109"/>
      <c r="E11" s="109"/>
      <c r="F11" s="109"/>
      <c r="G11" s="109"/>
      <c r="H11" s="109"/>
      <c r="I11" s="109"/>
      <c r="J11" s="810"/>
      <c r="K11" s="810"/>
      <c r="L11" s="810"/>
      <c r="M11" s="808"/>
      <c r="N11" s="808"/>
      <c r="O11" s="808"/>
      <c r="P11" s="808"/>
      <c r="Q11" s="808"/>
      <c r="U11"/>
      <c r="V11"/>
      <c r="W11"/>
      <c r="X11"/>
      <c r="Y11"/>
      <c r="Z11"/>
      <c r="AA11"/>
      <c r="AB11"/>
    </row>
    <row r="12" spans="1:31" s="96" customFormat="1" ht="12.75" customHeight="1">
      <c r="A12" s="798"/>
      <c r="B12" s="3616" t="str">
        <f>CONCATENATE("For years ", PRCP_y1," to ", PRCP_y5," provide amounts approved by the jurisdictional regulator.")</f>
        <v>For years 2008 to 2012 provide amounts approved by the jurisdictional regulator.</v>
      </c>
      <c r="C12" s="3616"/>
      <c r="D12" s="3616"/>
      <c r="E12" s="3616"/>
      <c r="F12" s="3616"/>
      <c r="G12" s="3616"/>
      <c r="H12" s="3616"/>
      <c r="I12" s="3616"/>
      <c r="J12" s="810"/>
      <c r="K12" s="810"/>
      <c r="L12" s="808"/>
      <c r="M12" s="808"/>
      <c r="N12" s="808"/>
      <c r="O12" s="808"/>
      <c r="P12" s="808"/>
      <c r="Q12" s="808"/>
      <c r="R12"/>
      <c r="S12"/>
      <c r="T12"/>
      <c r="U12"/>
      <c r="V12"/>
      <c r="W12"/>
      <c r="X12"/>
      <c r="Y12"/>
      <c r="Z12"/>
      <c r="AA12"/>
      <c r="AB12"/>
      <c r="AC12"/>
    </row>
    <row r="13" spans="1:31">
      <c r="A13" s="410"/>
      <c r="B13" s="808"/>
      <c r="C13" s="808"/>
      <c r="D13" s="808"/>
      <c r="E13" s="808"/>
      <c r="F13" s="808"/>
      <c r="G13" s="808"/>
      <c r="H13" s="808"/>
      <c r="I13" s="810"/>
      <c r="J13" s="810"/>
      <c r="K13" s="810"/>
      <c r="L13" s="808"/>
      <c r="M13" s="808"/>
      <c r="N13" s="808"/>
      <c r="O13" s="808"/>
      <c r="P13" s="808"/>
      <c r="Q13" s="808"/>
      <c r="U13" s="1429"/>
      <c r="V13" s="1429"/>
      <c r="W13" s="1429"/>
      <c r="X13" s="1429"/>
      <c r="Y13" s="1429"/>
      <c r="Z13" s="1429"/>
      <c r="AA13" s="810"/>
      <c r="AB13" s="810"/>
    </row>
    <row r="14" spans="1:31" ht="13.5" thickBot="1">
      <c r="A14" s="410"/>
      <c r="B14" s="410"/>
      <c r="C14" s="410"/>
      <c r="D14" s="410"/>
      <c r="E14" s="410"/>
      <c r="F14" s="410"/>
      <c r="G14" s="410"/>
      <c r="H14" s="410"/>
      <c r="I14" s="410"/>
      <c r="J14" s="410"/>
      <c r="K14" s="410"/>
      <c r="L14" s="410"/>
      <c r="M14" s="410"/>
      <c r="N14" s="410"/>
      <c r="O14" s="410"/>
      <c r="P14" s="410"/>
      <c r="Q14" s="410"/>
      <c r="U14" s="1429"/>
      <c r="V14" s="1429"/>
      <c r="W14" s="1429"/>
      <c r="X14" s="1429"/>
      <c r="Y14" s="1429"/>
      <c r="Z14" s="1429"/>
      <c r="AA14" s="1429"/>
      <c r="AB14" s="1429"/>
    </row>
    <row r="15" spans="1:31" s="229" customFormat="1" ht="24.75" customHeight="1" thickBot="1">
      <c r="A15" s="308"/>
      <c r="B15" s="856" t="s">
        <v>541</v>
      </c>
      <c r="C15" s="857"/>
      <c r="D15" s="857"/>
      <c r="E15" s="857"/>
      <c r="F15" s="856"/>
      <c r="G15" s="857"/>
      <c r="H15" s="857"/>
      <c r="I15" s="857"/>
      <c r="J15" s="856"/>
      <c r="K15" s="857"/>
      <c r="L15" s="857"/>
      <c r="M15" s="856"/>
      <c r="N15" s="857"/>
      <c r="O15" s="857"/>
      <c r="P15" s="857"/>
      <c r="Q15" s="856"/>
      <c r="R15" s="1427"/>
      <c r="S15" s="1427"/>
      <c r="T15" s="1427"/>
      <c r="U15" s="856" t="s">
        <v>681</v>
      </c>
      <c r="V15" s="857"/>
      <c r="W15" s="857"/>
      <c r="X15" s="856"/>
      <c r="Y15" s="857"/>
      <c r="Z15" s="857"/>
      <c r="AA15" s="857"/>
      <c r="AB15" s="1465"/>
      <c r="AC15" s="1427"/>
      <c r="AD15" s="1427"/>
      <c r="AE15" s="1427"/>
    </row>
    <row r="16" spans="1:31" s="79" customFormat="1" ht="24.75" customHeight="1" thickBot="1">
      <c r="A16" s="308"/>
      <c r="B16" s="1576" t="s">
        <v>586</v>
      </c>
      <c r="C16" s="1602"/>
      <c r="D16" s="1602"/>
      <c r="E16" s="1602"/>
      <c r="F16" s="1577"/>
      <c r="G16" s="1602"/>
      <c r="H16" s="1602"/>
      <c r="I16" s="1602"/>
      <c r="J16" s="1577"/>
      <c r="K16" s="1602"/>
      <c r="L16" s="1602"/>
      <c r="M16" s="1577"/>
      <c r="N16" s="1602"/>
      <c r="O16" s="1602"/>
      <c r="P16" s="1602"/>
      <c r="Q16" s="1578"/>
      <c r="R16"/>
      <c r="S16"/>
      <c r="T16"/>
      <c r="U16" s="2246"/>
      <c r="V16" s="1602"/>
      <c r="W16" s="1602"/>
      <c r="X16" s="1577"/>
      <c r="Y16" s="1602"/>
      <c r="Z16" s="1602"/>
      <c r="AA16" s="1602"/>
      <c r="AB16" s="1578"/>
      <c r="AC16"/>
      <c r="AD16"/>
      <c r="AE16"/>
    </row>
    <row r="17" spans="1:31" s="73" customFormat="1" ht="16.5" customHeight="1">
      <c r="A17" s="809"/>
      <c r="B17" s="3909"/>
      <c r="C17" s="3601" t="s">
        <v>36</v>
      </c>
      <c r="D17" s="3549"/>
      <c r="E17" s="3549"/>
      <c r="F17" s="3549"/>
      <c r="G17" s="3549"/>
      <c r="H17" s="3602" t="s">
        <v>37</v>
      </c>
      <c r="I17" s="3603"/>
      <c r="J17" s="3603"/>
      <c r="K17" s="3603"/>
      <c r="L17" s="3603"/>
      <c r="M17" s="3543" t="s">
        <v>73</v>
      </c>
      <c r="N17" s="3543"/>
      <c r="O17" s="3543"/>
      <c r="P17" s="3543"/>
      <c r="Q17" s="3678"/>
      <c r="R17"/>
      <c r="S17"/>
      <c r="T17"/>
      <c r="U17" s="3601" t="s">
        <v>36</v>
      </c>
      <c r="V17" s="3549"/>
      <c r="W17" s="3549"/>
      <c r="X17" s="3549"/>
      <c r="Y17" s="3549"/>
      <c r="Z17" s="3602" t="s">
        <v>37</v>
      </c>
      <c r="AA17" s="3603"/>
      <c r="AB17" s="3604"/>
      <c r="AC17"/>
      <c r="AD17"/>
      <c r="AE17"/>
    </row>
    <row r="18" spans="1:31" ht="15" customHeight="1">
      <c r="A18" s="360"/>
      <c r="B18" s="3737"/>
      <c r="C18" s="3550" t="s">
        <v>579</v>
      </c>
      <c r="D18" s="3551"/>
      <c r="E18" s="3551"/>
      <c r="F18" s="3551"/>
      <c r="G18" s="3551"/>
      <c r="H18" s="3551"/>
      <c r="I18" s="3551"/>
      <c r="J18" s="3595"/>
      <c r="K18" s="3589" t="str">
        <f>CONCATENATE("$0's, real ",dms_DollarReal)</f>
        <v>$0's, real December 2017</v>
      </c>
      <c r="L18" s="3590"/>
      <c r="M18" s="3590"/>
      <c r="N18" s="3590"/>
      <c r="O18" s="3590"/>
      <c r="P18" s="3590"/>
      <c r="Q18" s="3591"/>
      <c r="U18" s="3550" t="str">
        <f>CONCATENATE("$0's, real ",dms_DollarReal)</f>
        <v>$0's, real December 2017</v>
      </c>
      <c r="V18" s="3551"/>
      <c r="W18" s="3551"/>
      <c r="X18" s="3551"/>
      <c r="Y18" s="3551"/>
      <c r="Z18" s="3551"/>
      <c r="AA18" s="3551"/>
      <c r="AB18" s="3552"/>
    </row>
    <row r="19" spans="1:31" s="73" customFormat="1" ht="16.5" customHeight="1">
      <c r="A19" s="809"/>
      <c r="B19" s="3737"/>
      <c r="C19" s="3550" t="s">
        <v>54</v>
      </c>
      <c r="D19" s="3551"/>
      <c r="E19" s="3551"/>
      <c r="F19" s="3551"/>
      <c r="G19" s="3551"/>
      <c r="H19" s="3551"/>
      <c r="I19" s="3551"/>
      <c r="J19" s="3595"/>
      <c r="K19" s="3589" t="s">
        <v>55</v>
      </c>
      <c r="L19" s="3590"/>
      <c r="M19" s="3590"/>
      <c r="N19" s="3590"/>
      <c r="O19" s="3590"/>
      <c r="P19" s="3590"/>
      <c r="Q19" s="3591"/>
      <c r="R19"/>
      <c r="S19"/>
      <c r="T19"/>
      <c r="U19" s="3550" t="s">
        <v>54</v>
      </c>
      <c r="V19" s="3551"/>
      <c r="W19" s="3551"/>
      <c r="X19" s="3551"/>
      <c r="Y19" s="3551"/>
      <c r="Z19" s="3551"/>
      <c r="AA19" s="3551"/>
      <c r="AB19" s="3552"/>
      <c r="AC19"/>
    </row>
    <row r="20" spans="1:31" ht="12.75" customHeight="1" thickBot="1">
      <c r="A20" s="410"/>
      <c r="B20" s="3910"/>
      <c r="C20" s="1789">
        <f t="array" ref="C20:G20">PRCP</f>
        <v>2008</v>
      </c>
      <c r="D20" s="390">
        <v>2009</v>
      </c>
      <c r="E20" s="390">
        <v>2010</v>
      </c>
      <c r="F20" s="390">
        <v>2011</v>
      </c>
      <c r="G20" s="390">
        <v>2012</v>
      </c>
      <c r="H20" s="392">
        <f>CRCP_y1</f>
        <v>2013</v>
      </c>
      <c r="I20" s="392">
        <f>CRCP_y2</f>
        <v>2014</v>
      </c>
      <c r="J20" s="392">
        <f>CRCP_y3</f>
        <v>2015</v>
      </c>
      <c r="K20" s="392">
        <f>CRCP_y4</f>
        <v>2016</v>
      </c>
      <c r="L20" s="392">
        <f>CRCP_y5</f>
        <v>2017</v>
      </c>
      <c r="M20" s="390" t="str">
        <f t="array" ref="M20:Q20">FRCP</f>
        <v>2018</v>
      </c>
      <c r="N20" s="390">
        <v>2019</v>
      </c>
      <c r="O20" s="390">
        <v>2020</v>
      </c>
      <c r="P20" s="390">
        <v>2021</v>
      </c>
      <c r="Q20" s="498">
        <v>2022</v>
      </c>
      <c r="U20" s="1789">
        <f t="array" ref="U20:Y20">PRCP</f>
        <v>2008</v>
      </c>
      <c r="V20" s="390">
        <v>2009</v>
      </c>
      <c r="W20" s="390">
        <v>2010</v>
      </c>
      <c r="X20" s="390">
        <v>2011</v>
      </c>
      <c r="Y20" s="390">
        <v>2012</v>
      </c>
      <c r="Z20" s="392">
        <f>CRCP_y1</f>
        <v>2013</v>
      </c>
      <c r="AA20" s="392">
        <f>CRCP_y2</f>
        <v>2014</v>
      </c>
      <c r="AB20" s="603">
        <f>CRCP_y3</f>
        <v>2015</v>
      </c>
    </row>
    <row r="21" spans="1:31">
      <c r="A21" s="410"/>
      <c r="B21" s="1507" t="s">
        <v>1365</v>
      </c>
      <c r="C21" s="816"/>
      <c r="D21" s="817"/>
      <c r="E21" s="817"/>
      <c r="F21" s="817"/>
      <c r="G21" s="818"/>
      <c r="H21" s="816"/>
      <c r="I21" s="817"/>
      <c r="J21" s="817"/>
      <c r="K21" s="817"/>
      <c r="L21" s="818"/>
      <c r="M21" s="1517"/>
      <c r="N21" s="1518"/>
      <c r="O21" s="1518"/>
      <c r="P21" s="1518"/>
      <c r="Q21" s="1519"/>
      <c r="U21" s="2251"/>
      <c r="V21" s="2247"/>
      <c r="W21" s="2247"/>
      <c r="X21" s="2247"/>
      <c r="Y21" s="2252"/>
      <c r="Z21" s="2251"/>
      <c r="AA21" s="2247"/>
      <c r="AB21" s="2252"/>
    </row>
    <row r="22" spans="1:31">
      <c r="A22" s="410"/>
      <c r="B22" s="1508" t="s">
        <v>1366</v>
      </c>
      <c r="C22" s="819"/>
      <c r="D22" s="803"/>
      <c r="E22" s="803"/>
      <c r="F22" s="803"/>
      <c r="G22" s="820"/>
      <c r="H22" s="819"/>
      <c r="I22" s="803"/>
      <c r="J22" s="803"/>
      <c r="K22" s="803"/>
      <c r="L22" s="820"/>
      <c r="M22" s="1520"/>
      <c r="N22" s="1521"/>
      <c r="O22" s="1521"/>
      <c r="P22" s="1521"/>
      <c r="Q22" s="1522"/>
      <c r="U22" s="2248"/>
      <c r="V22" s="2249"/>
      <c r="W22" s="2249"/>
      <c r="X22" s="2249"/>
      <c r="Y22" s="2253"/>
      <c r="Z22" s="2248"/>
      <c r="AA22" s="2249"/>
      <c r="AB22" s="2253"/>
    </row>
    <row r="23" spans="1:31">
      <c r="A23" s="410"/>
      <c r="B23" s="1508" t="s">
        <v>1367</v>
      </c>
      <c r="C23" s="819"/>
      <c r="D23" s="803"/>
      <c r="E23" s="803"/>
      <c r="F23" s="803"/>
      <c r="G23" s="820"/>
      <c r="H23" s="819"/>
      <c r="I23" s="803"/>
      <c r="J23" s="803"/>
      <c r="K23" s="803"/>
      <c r="L23" s="820"/>
      <c r="M23" s="1520"/>
      <c r="N23" s="1521"/>
      <c r="O23" s="1521"/>
      <c r="P23" s="1521"/>
      <c r="Q23" s="1522"/>
      <c r="U23" s="2248"/>
      <c r="V23" s="2249"/>
      <c r="W23" s="2249"/>
      <c r="X23" s="2249"/>
      <c r="Y23" s="2253"/>
      <c r="Z23" s="2248"/>
      <c r="AA23" s="2249"/>
      <c r="AB23" s="2253"/>
    </row>
    <row r="24" spans="1:31">
      <c r="A24" s="410"/>
      <c r="B24" s="1508" t="s">
        <v>1368</v>
      </c>
      <c r="C24" s="819"/>
      <c r="D24" s="803"/>
      <c r="E24" s="803"/>
      <c r="F24" s="803"/>
      <c r="G24" s="820"/>
      <c r="H24" s="819"/>
      <c r="I24" s="803"/>
      <c r="J24" s="803"/>
      <c r="K24" s="803"/>
      <c r="L24" s="820"/>
      <c r="M24" s="1520"/>
      <c r="N24" s="1521"/>
      <c r="O24" s="1521"/>
      <c r="P24" s="1521"/>
      <c r="Q24" s="1522"/>
      <c r="U24" s="2248"/>
      <c r="V24" s="2249"/>
      <c r="W24" s="2249"/>
      <c r="X24" s="2249"/>
      <c r="Y24" s="2253"/>
      <c r="Z24" s="2248"/>
      <c r="AA24" s="2249"/>
      <c r="AB24" s="2253"/>
    </row>
    <row r="25" spans="1:31">
      <c r="A25" s="410"/>
      <c r="B25" s="1508" t="s">
        <v>1456</v>
      </c>
      <c r="C25" s="819"/>
      <c r="D25" s="803"/>
      <c r="E25" s="803"/>
      <c r="F25" s="803"/>
      <c r="G25" s="820"/>
      <c r="H25" s="819"/>
      <c r="I25" s="803"/>
      <c r="J25" s="803"/>
      <c r="K25" s="803"/>
      <c r="L25" s="820"/>
      <c r="M25" s="1520"/>
      <c r="N25" s="1521"/>
      <c r="O25" s="1521"/>
      <c r="P25" s="1521"/>
      <c r="Q25" s="1522"/>
      <c r="U25" s="2248"/>
      <c r="V25" s="2249"/>
      <c r="W25" s="2249"/>
      <c r="X25" s="2249"/>
      <c r="Y25" s="2253"/>
      <c r="Z25" s="2248"/>
      <c r="AA25" s="2249"/>
      <c r="AB25" s="2253"/>
    </row>
    <row r="26" spans="1:31">
      <c r="A26" s="410"/>
      <c r="B26" s="1508" t="s">
        <v>61</v>
      </c>
      <c r="C26" s="819"/>
      <c r="D26" s="803"/>
      <c r="E26" s="803"/>
      <c r="F26" s="803"/>
      <c r="G26" s="820"/>
      <c r="H26" s="819"/>
      <c r="I26" s="803"/>
      <c r="J26" s="803"/>
      <c r="K26" s="803"/>
      <c r="L26" s="820"/>
      <c r="M26" s="1520"/>
      <c r="N26" s="1521"/>
      <c r="O26" s="1521"/>
      <c r="P26" s="1521"/>
      <c r="Q26" s="1522"/>
      <c r="U26" s="2248"/>
      <c r="V26" s="2249"/>
      <c r="W26" s="2249"/>
      <c r="X26" s="2249"/>
      <c r="Y26" s="2253"/>
      <c r="Z26" s="2248"/>
      <c r="AA26" s="2249"/>
      <c r="AB26" s="2253"/>
    </row>
    <row r="27" spans="1:31" s="1427" customFormat="1">
      <c r="A27" s="1429"/>
      <c r="B27" s="3257" t="s">
        <v>1369</v>
      </c>
      <c r="C27" s="3258"/>
      <c r="D27" s="3259"/>
      <c r="E27" s="3259"/>
      <c r="F27" s="3259"/>
      <c r="G27" s="3260"/>
      <c r="H27" s="3258"/>
      <c r="I27" s="3259"/>
      <c r="J27" s="3259"/>
      <c r="K27" s="3259"/>
      <c r="L27" s="3260"/>
      <c r="M27" s="3261"/>
      <c r="N27" s="3262"/>
      <c r="O27" s="3262"/>
      <c r="P27" s="3262"/>
      <c r="Q27" s="3263"/>
      <c r="U27" s="2308"/>
      <c r="V27" s="2309"/>
      <c r="W27" s="2309"/>
      <c r="X27" s="2309"/>
      <c r="Y27" s="2310"/>
      <c r="Z27" s="2308"/>
      <c r="AA27" s="2309"/>
      <c r="AB27" s="2310"/>
    </row>
    <row r="28" spans="1:31" s="1427" customFormat="1">
      <c r="A28" s="1429"/>
      <c r="B28" s="3257" t="s">
        <v>1370</v>
      </c>
      <c r="C28" s="3258"/>
      <c r="D28" s="3259"/>
      <c r="E28" s="3259"/>
      <c r="F28" s="3259"/>
      <c r="G28" s="3260"/>
      <c r="H28" s="3258"/>
      <c r="I28" s="3259"/>
      <c r="J28" s="3259"/>
      <c r="K28" s="3259"/>
      <c r="L28" s="3260"/>
      <c r="M28" s="3261"/>
      <c r="N28" s="3262"/>
      <c r="O28" s="3262"/>
      <c r="P28" s="3262"/>
      <c r="Q28" s="3263"/>
      <c r="U28" s="2308"/>
      <c r="V28" s="2309"/>
      <c r="W28" s="2309"/>
      <c r="X28" s="2309"/>
      <c r="Y28" s="2310"/>
      <c r="Z28" s="2308"/>
      <c r="AA28" s="2309"/>
      <c r="AB28" s="2310"/>
    </row>
    <row r="29" spans="1:31" s="1427" customFormat="1">
      <c r="A29" s="1429"/>
      <c r="B29" s="3257" t="s">
        <v>1371</v>
      </c>
      <c r="C29" s="3258"/>
      <c r="D29" s="3259"/>
      <c r="E29" s="3259"/>
      <c r="F29" s="3259"/>
      <c r="G29" s="3260"/>
      <c r="H29" s="3258"/>
      <c r="I29" s="3259"/>
      <c r="J29" s="3259"/>
      <c r="K29" s="3259"/>
      <c r="L29" s="3260"/>
      <c r="M29" s="3261"/>
      <c r="N29" s="3262"/>
      <c r="O29" s="3262"/>
      <c r="P29" s="3262"/>
      <c r="Q29" s="3263"/>
      <c r="U29" s="2308"/>
      <c r="V29" s="2309"/>
      <c r="W29" s="2309"/>
      <c r="X29" s="2309"/>
      <c r="Y29" s="2310"/>
      <c r="Z29" s="2308"/>
      <c r="AA29" s="2309"/>
      <c r="AB29" s="2310"/>
    </row>
    <row r="30" spans="1:31" s="1427" customFormat="1">
      <c r="A30" s="1429"/>
      <c r="B30" s="3257" t="s">
        <v>1372</v>
      </c>
      <c r="C30" s="3258"/>
      <c r="D30" s="3259"/>
      <c r="E30" s="3259"/>
      <c r="F30" s="3259"/>
      <c r="G30" s="3260"/>
      <c r="H30" s="3258"/>
      <c r="I30" s="3259"/>
      <c r="J30" s="3259"/>
      <c r="K30" s="3259"/>
      <c r="L30" s="3260"/>
      <c r="M30" s="3261"/>
      <c r="N30" s="3262"/>
      <c r="O30" s="3262"/>
      <c r="P30" s="3262"/>
      <c r="Q30" s="3263"/>
      <c r="U30" s="2308"/>
      <c r="V30" s="2309"/>
      <c r="W30" s="2309"/>
      <c r="X30" s="2309"/>
      <c r="Y30" s="2310"/>
      <c r="Z30" s="2308"/>
      <c r="AA30" s="2309"/>
      <c r="AB30" s="2310"/>
    </row>
    <row r="31" spans="1:31" ht="13.5" thickBot="1">
      <c r="A31" s="410"/>
      <c r="B31" s="1509" t="s">
        <v>545</v>
      </c>
      <c r="C31" s="821"/>
      <c r="D31" s="805"/>
      <c r="E31" s="805"/>
      <c r="F31" s="805"/>
      <c r="G31" s="822"/>
      <c r="H31" s="821"/>
      <c r="I31" s="805"/>
      <c r="J31" s="805"/>
      <c r="K31" s="805"/>
      <c r="L31" s="822"/>
      <c r="M31" s="1523"/>
      <c r="N31" s="1524"/>
      <c r="O31" s="1524"/>
      <c r="P31" s="1524"/>
      <c r="Q31" s="1525"/>
      <c r="U31" s="2254"/>
      <c r="V31" s="2250"/>
      <c r="W31" s="2250"/>
      <c r="X31" s="2250"/>
      <c r="Y31" s="2255"/>
      <c r="Z31" s="2254"/>
      <c r="AA31" s="2250"/>
      <c r="AB31" s="2255"/>
    </row>
    <row r="32" spans="1:31" ht="44.25" customHeight="1" thickBot="1">
      <c r="A32" s="410"/>
      <c r="B32" s="71"/>
      <c r="C32" s="71"/>
      <c r="D32" s="71"/>
      <c r="E32" s="71"/>
      <c r="F32" s="71"/>
      <c r="G32" s="71"/>
      <c r="H32" s="71"/>
      <c r="I32" s="71"/>
      <c r="J32" s="71"/>
      <c r="K32" s="71"/>
      <c r="L32" s="71"/>
      <c r="M32" s="410"/>
      <c r="N32" s="410"/>
      <c r="O32" s="410"/>
      <c r="P32" s="410"/>
      <c r="Q32" s="410"/>
      <c r="U32" s="71"/>
      <c r="V32" s="71"/>
      <c r="W32" s="71"/>
      <c r="X32" s="71"/>
      <c r="Y32" s="71"/>
      <c r="Z32" s="71"/>
      <c r="AA32" s="71"/>
      <c r="AB32" s="71"/>
    </row>
    <row r="33" spans="1:29" s="79" customFormat="1" ht="24.75" customHeight="1" thickBot="1">
      <c r="A33" s="308"/>
      <c r="B33" s="1576" t="s">
        <v>381</v>
      </c>
      <c r="C33" s="1602"/>
      <c r="D33" s="1602"/>
      <c r="E33" s="1602"/>
      <c r="F33" s="1577"/>
      <c r="G33" s="1602"/>
      <c r="H33" s="1602"/>
      <c r="I33" s="1602"/>
      <c r="J33" s="1577"/>
      <c r="K33" s="1602"/>
      <c r="L33" s="1604"/>
      <c r="M33" s="308"/>
      <c r="N33" s="288"/>
      <c r="O33" s="288"/>
      <c r="P33" s="288"/>
      <c r="Q33" s="288"/>
      <c r="R33"/>
      <c r="S33"/>
      <c r="T33"/>
      <c r="U33"/>
      <c r="V33"/>
      <c r="W33"/>
      <c r="X33"/>
      <c r="Y33"/>
      <c r="Z33"/>
      <c r="AA33"/>
      <c r="AB33"/>
      <c r="AC33"/>
    </row>
    <row r="34" spans="1:29" ht="15" customHeight="1">
      <c r="A34" s="410"/>
      <c r="B34" s="3906"/>
      <c r="C34" s="3620" t="s">
        <v>36</v>
      </c>
      <c r="D34" s="3549"/>
      <c r="E34" s="3549"/>
      <c r="F34" s="3549"/>
      <c r="G34" s="3549"/>
      <c r="H34" s="3602" t="s">
        <v>37</v>
      </c>
      <c r="I34" s="3603"/>
      <c r="J34" s="3603"/>
      <c r="K34" s="3603"/>
      <c r="L34" s="3604"/>
      <c r="M34" s="410"/>
      <c r="N34" s="410"/>
      <c r="O34" s="410"/>
      <c r="P34" s="410"/>
      <c r="Q34" s="410"/>
      <c r="U34"/>
      <c r="V34"/>
      <c r="W34"/>
      <c r="X34"/>
      <c r="Y34"/>
      <c r="Z34"/>
      <c r="AA34"/>
      <c r="AB34"/>
    </row>
    <row r="35" spans="1:29" ht="12.75" customHeight="1">
      <c r="A35" s="410"/>
      <c r="B35" s="3907"/>
      <c r="C35" s="3550" t="str">
        <f>CONCATENATE("$0's, real ",dms_DollarReal)</f>
        <v>$0's, real December 2017</v>
      </c>
      <c r="D35" s="3551"/>
      <c r="E35" s="3551"/>
      <c r="F35" s="3551"/>
      <c r="G35" s="3551"/>
      <c r="H35" s="3551"/>
      <c r="I35" s="3551"/>
      <c r="J35" s="3551"/>
      <c r="K35" s="3551"/>
      <c r="L35" s="3552"/>
      <c r="M35" s="410"/>
      <c r="N35" s="410"/>
      <c r="O35" s="410"/>
      <c r="P35" s="410"/>
      <c r="Q35" s="410"/>
      <c r="U35"/>
      <c r="V35"/>
      <c r="W35"/>
      <c r="X35"/>
      <c r="Y35"/>
      <c r="Z35"/>
      <c r="AA35"/>
      <c r="AB35"/>
    </row>
    <row r="36" spans="1:29" ht="12.75" customHeight="1">
      <c r="A36" s="410"/>
      <c r="B36" s="3907"/>
      <c r="C36" s="3550" t="s">
        <v>74</v>
      </c>
      <c r="D36" s="3551"/>
      <c r="E36" s="3551"/>
      <c r="F36" s="3551"/>
      <c r="G36" s="3551"/>
      <c r="H36" s="3551"/>
      <c r="I36" s="3551"/>
      <c r="J36" s="3551"/>
      <c r="K36" s="3551"/>
      <c r="L36" s="3552"/>
      <c r="M36" s="410"/>
      <c r="N36" s="410"/>
      <c r="O36" s="410"/>
      <c r="P36" s="410"/>
      <c r="Q36" s="410"/>
      <c r="U36"/>
      <c r="V36"/>
      <c r="W36"/>
      <c r="X36"/>
      <c r="Y36"/>
      <c r="Z36"/>
      <c r="AA36"/>
      <c r="AB36"/>
    </row>
    <row r="37" spans="1:29" ht="12.75" customHeight="1" thickBot="1">
      <c r="A37" s="410"/>
      <c r="B37" s="3908"/>
      <c r="C37" s="391">
        <f t="array" ref="C37:G37">PRCP</f>
        <v>2008</v>
      </c>
      <c r="D37" s="390">
        <v>2009</v>
      </c>
      <c r="E37" s="390">
        <v>2010</v>
      </c>
      <c r="F37" s="390">
        <v>2011</v>
      </c>
      <c r="G37" s="390">
        <v>2012</v>
      </c>
      <c r="H37" s="392">
        <f>CRCP_y1</f>
        <v>2013</v>
      </c>
      <c r="I37" s="392">
        <f>CRCP_y2</f>
        <v>2014</v>
      </c>
      <c r="J37" s="392">
        <f>CRCP_y3</f>
        <v>2015</v>
      </c>
      <c r="K37" s="392">
        <f>CRCP_y4</f>
        <v>2016</v>
      </c>
      <c r="L37" s="603">
        <f>CRCP_y5</f>
        <v>2017</v>
      </c>
      <c r="M37" s="410"/>
      <c r="N37" s="410"/>
      <c r="O37" s="410"/>
      <c r="P37" s="410"/>
      <c r="Q37" s="410"/>
      <c r="U37"/>
      <c r="V37"/>
      <c r="W37"/>
      <c r="X37"/>
      <c r="Y37"/>
      <c r="Z37"/>
      <c r="AA37"/>
      <c r="AB37"/>
    </row>
    <row r="38" spans="1:29">
      <c r="A38" s="410"/>
      <c r="B38" s="1507" t="str">
        <f>B21</f>
        <v>Transmission pipelines</v>
      </c>
      <c r="C38" s="995"/>
      <c r="D38" s="996"/>
      <c r="E38" s="996"/>
      <c r="F38" s="996"/>
      <c r="G38" s="997"/>
      <c r="H38" s="1510"/>
      <c r="I38" s="996"/>
      <c r="J38" s="996"/>
      <c r="K38" s="996"/>
      <c r="L38" s="997"/>
      <c r="M38" s="410"/>
      <c r="N38" s="410"/>
      <c r="O38" s="410"/>
      <c r="P38" s="410"/>
      <c r="Q38" s="410"/>
      <c r="U38"/>
      <c r="V38"/>
      <c r="W38"/>
      <c r="X38"/>
      <c r="Y38"/>
      <c r="Z38"/>
      <c r="AA38"/>
      <c r="AB38"/>
    </row>
    <row r="39" spans="1:29">
      <c r="A39" s="410"/>
      <c r="B39" s="1508" t="str">
        <f t="shared" ref="B39:B48" si="0">B22</f>
        <v>Distribution pipelines</v>
      </c>
      <c r="C39" s="976"/>
      <c r="D39" s="971"/>
      <c r="E39" s="971"/>
      <c r="F39" s="971"/>
      <c r="G39" s="977"/>
      <c r="H39" s="815"/>
      <c r="I39" s="971"/>
      <c r="J39" s="971"/>
      <c r="K39" s="971"/>
      <c r="L39" s="977"/>
      <c r="M39" s="410"/>
      <c r="N39" s="410"/>
      <c r="O39" s="410"/>
      <c r="P39" s="410"/>
      <c r="Q39" s="410"/>
      <c r="U39"/>
      <c r="V39"/>
      <c r="W39"/>
      <c r="X39"/>
      <c r="Y39"/>
      <c r="Z39"/>
      <c r="AA39"/>
      <c r="AB39"/>
    </row>
    <row r="40" spans="1:29">
      <c r="A40" s="410"/>
      <c r="B40" s="1508" t="str">
        <f t="shared" si="0"/>
        <v>Service pipes</v>
      </c>
      <c r="C40" s="976"/>
      <c r="D40" s="971"/>
      <c r="E40" s="971"/>
      <c r="F40" s="971"/>
      <c r="G40" s="977"/>
      <c r="H40" s="815"/>
      <c r="I40" s="971"/>
      <c r="J40" s="971"/>
      <c r="K40" s="971"/>
      <c r="L40" s="977"/>
      <c r="M40" s="410"/>
      <c r="N40" s="410"/>
      <c r="O40" s="410"/>
      <c r="P40" s="410"/>
      <c r="Q40" s="410"/>
      <c r="U40"/>
      <c r="V40"/>
      <c r="W40"/>
      <c r="X40"/>
      <c r="Y40"/>
      <c r="Z40"/>
      <c r="AA40"/>
      <c r="AB40"/>
    </row>
    <row r="41" spans="1:29">
      <c r="A41" s="410"/>
      <c r="B41" s="1508" t="str">
        <f t="shared" si="0"/>
        <v>Cathodic protection</v>
      </c>
      <c r="C41" s="976"/>
      <c r="D41" s="971"/>
      <c r="E41" s="971"/>
      <c r="F41" s="971"/>
      <c r="G41" s="977"/>
      <c r="H41" s="815"/>
      <c r="I41" s="971"/>
      <c r="J41" s="971"/>
      <c r="K41" s="971"/>
      <c r="L41" s="977"/>
      <c r="M41" s="410"/>
      <c r="N41" s="410"/>
      <c r="O41" s="410"/>
      <c r="P41" s="410"/>
      <c r="Q41" s="410"/>
      <c r="U41"/>
      <c r="V41"/>
      <c r="W41"/>
      <c r="X41"/>
      <c r="Y41"/>
      <c r="Z41"/>
      <c r="AA41"/>
      <c r="AB41"/>
    </row>
    <row r="42" spans="1:29">
      <c r="A42" s="410"/>
      <c r="B42" s="1508" t="str">
        <f t="shared" si="0"/>
        <v>Supply regulators/Valve stations</v>
      </c>
      <c r="C42" s="976"/>
      <c r="D42" s="971"/>
      <c r="E42" s="971"/>
      <c r="F42" s="971"/>
      <c r="G42" s="977"/>
      <c r="H42" s="815"/>
      <c r="I42" s="971"/>
      <c r="J42" s="971"/>
      <c r="K42" s="971"/>
      <c r="L42" s="977"/>
      <c r="M42" s="410"/>
      <c r="N42" s="410"/>
      <c r="O42" s="410"/>
      <c r="P42" s="410"/>
      <c r="Q42" s="410"/>
      <c r="U42"/>
      <c r="V42"/>
      <c r="W42"/>
      <c r="X42"/>
      <c r="Y42"/>
      <c r="Z42"/>
      <c r="AA42"/>
      <c r="AB42"/>
    </row>
    <row r="43" spans="1:29">
      <c r="A43" s="410"/>
      <c r="B43" s="1508" t="str">
        <f t="shared" si="0"/>
        <v>Meters</v>
      </c>
      <c r="C43" s="976"/>
      <c r="D43" s="971"/>
      <c r="E43" s="971"/>
      <c r="F43" s="971"/>
      <c r="G43" s="977"/>
      <c r="H43" s="815"/>
      <c r="I43" s="971"/>
      <c r="J43" s="971"/>
      <c r="K43" s="971"/>
      <c r="L43" s="977"/>
      <c r="M43" s="410"/>
      <c r="N43" s="410"/>
      <c r="O43" s="410"/>
      <c r="P43" s="410"/>
      <c r="Q43" s="410"/>
      <c r="U43"/>
      <c r="V43"/>
      <c r="W43"/>
      <c r="X43"/>
      <c r="Y43"/>
      <c r="Z43"/>
      <c r="AA43"/>
      <c r="AB43"/>
    </row>
    <row r="44" spans="1:29" s="1427" customFormat="1">
      <c r="A44" s="1429"/>
      <c r="B44" s="3257" t="str">
        <f t="shared" si="0"/>
        <v>SCADA and remote control</v>
      </c>
      <c r="C44" s="3258"/>
      <c r="D44" s="3259"/>
      <c r="E44" s="3259"/>
      <c r="F44" s="3259"/>
      <c r="G44" s="3260"/>
      <c r="H44" s="3264"/>
      <c r="I44" s="3259"/>
      <c r="J44" s="3259"/>
      <c r="K44" s="3259"/>
      <c r="L44" s="3260"/>
      <c r="M44" s="1429"/>
      <c r="N44" s="1429"/>
      <c r="O44" s="1429"/>
      <c r="P44" s="1429"/>
      <c r="Q44" s="1429"/>
    </row>
    <row r="45" spans="1:29" s="1427" customFormat="1">
      <c r="A45" s="1429"/>
      <c r="B45" s="3257" t="str">
        <f t="shared" si="0"/>
        <v>Buildings</v>
      </c>
      <c r="C45" s="3258"/>
      <c r="D45" s="3259"/>
      <c r="E45" s="3259"/>
      <c r="F45" s="3259"/>
      <c r="G45" s="3260"/>
      <c r="H45" s="3264"/>
      <c r="I45" s="3259"/>
      <c r="J45" s="3259"/>
      <c r="K45" s="3259"/>
      <c r="L45" s="3260"/>
      <c r="M45" s="1429"/>
      <c r="N45" s="1429"/>
      <c r="O45" s="1429"/>
      <c r="P45" s="1429"/>
      <c r="Q45" s="1429"/>
    </row>
    <row r="46" spans="1:29" s="1427" customFormat="1">
      <c r="A46" s="1429"/>
      <c r="B46" s="3257" t="str">
        <f t="shared" si="0"/>
        <v>Other - IT</v>
      </c>
      <c r="C46" s="3258"/>
      <c r="D46" s="3259"/>
      <c r="E46" s="3259"/>
      <c r="F46" s="3259"/>
      <c r="G46" s="3260"/>
      <c r="H46" s="3264"/>
      <c r="I46" s="3259"/>
      <c r="J46" s="3259"/>
      <c r="K46" s="3259"/>
      <c r="L46" s="3260"/>
      <c r="M46" s="1429"/>
      <c r="N46" s="1429"/>
      <c r="O46" s="1429"/>
      <c r="P46" s="1429"/>
      <c r="Q46" s="1429"/>
    </row>
    <row r="47" spans="1:29" s="1427" customFormat="1">
      <c r="A47" s="1429"/>
      <c r="B47" s="3257" t="str">
        <f t="shared" si="0"/>
        <v>Other - Non IT</v>
      </c>
      <c r="C47" s="3258"/>
      <c r="D47" s="3259"/>
      <c r="E47" s="3259"/>
      <c r="F47" s="3259"/>
      <c r="G47" s="3260"/>
      <c r="H47" s="3264"/>
      <c r="I47" s="3259"/>
      <c r="J47" s="3259"/>
      <c r="K47" s="3259"/>
      <c r="L47" s="3260"/>
      <c r="M47" s="1429"/>
      <c r="N47" s="1429"/>
      <c r="O47" s="1429"/>
      <c r="P47" s="1429"/>
      <c r="Q47" s="1429"/>
    </row>
    <row r="48" spans="1:29" ht="13.5" thickBot="1">
      <c r="A48" s="410"/>
      <c r="B48" s="1509" t="str">
        <f t="shared" si="0"/>
        <v>Land</v>
      </c>
      <c r="C48" s="821"/>
      <c r="D48" s="805"/>
      <c r="E48" s="805"/>
      <c r="F48" s="805"/>
      <c r="G48" s="822"/>
      <c r="H48" s="1511"/>
      <c r="I48" s="805"/>
      <c r="J48" s="805"/>
      <c r="K48" s="805"/>
      <c r="L48" s="822"/>
      <c r="M48" s="410"/>
      <c r="N48" s="410"/>
      <c r="O48" s="410"/>
      <c r="P48" s="410"/>
      <c r="Q48" s="410"/>
      <c r="U48"/>
      <c r="V48"/>
      <c r="W48"/>
      <c r="X48"/>
      <c r="Y48"/>
      <c r="Z48"/>
      <c r="AA48"/>
      <c r="AB48"/>
    </row>
    <row r="49" spans="1:31">
      <c r="A49" s="410"/>
      <c r="M49" s="410"/>
      <c r="N49" s="410"/>
      <c r="O49" s="410"/>
      <c r="P49" s="410"/>
      <c r="Q49" s="410"/>
      <c r="U49"/>
      <c r="V49"/>
      <c r="W49"/>
      <c r="X49"/>
      <c r="Y49"/>
      <c r="Z49"/>
      <c r="AA49"/>
      <c r="AB49"/>
    </row>
    <row r="50" spans="1:31" ht="13.5" thickBot="1">
      <c r="A50" s="410"/>
      <c r="M50" s="410"/>
      <c r="N50" s="410"/>
      <c r="O50" s="410"/>
      <c r="P50" s="410"/>
      <c r="Q50" s="410"/>
    </row>
    <row r="51" spans="1:31" s="79" customFormat="1" ht="24.75" customHeight="1" thickBot="1">
      <c r="A51" s="308"/>
      <c r="B51" s="1576" t="s">
        <v>587</v>
      </c>
      <c r="C51" s="1602"/>
      <c r="D51" s="1602"/>
      <c r="E51" s="1602"/>
      <c r="F51" s="1577"/>
      <c r="G51" s="1602"/>
      <c r="H51" s="1602"/>
      <c r="I51" s="1602"/>
      <c r="J51" s="1577"/>
      <c r="K51" s="1602"/>
      <c r="L51" s="1602"/>
      <c r="M51" s="1577"/>
      <c r="N51" s="1602"/>
      <c r="O51" s="1602"/>
      <c r="P51" s="1602"/>
      <c r="Q51" s="1578"/>
      <c r="R51"/>
      <c r="S51"/>
      <c r="T51"/>
      <c r="U51" s="2246"/>
      <c r="V51" s="1602"/>
      <c r="W51" s="1602"/>
      <c r="X51" s="1577"/>
      <c r="Y51" s="1602"/>
      <c r="Z51" s="1602"/>
      <c r="AA51" s="1602"/>
      <c r="AB51" s="1578"/>
      <c r="AC51"/>
      <c r="AD51" s="66"/>
      <c r="AE51" s="66"/>
    </row>
    <row r="52" spans="1:31" s="73" customFormat="1" ht="16.5" customHeight="1">
      <c r="A52" s="809"/>
      <c r="B52" s="3909"/>
      <c r="C52" s="3601" t="s">
        <v>36</v>
      </c>
      <c r="D52" s="3549"/>
      <c r="E52" s="3549"/>
      <c r="F52" s="3549"/>
      <c r="G52" s="3549"/>
      <c r="H52" s="3602" t="s">
        <v>37</v>
      </c>
      <c r="I52" s="3603"/>
      <c r="J52" s="3603"/>
      <c r="K52" s="3603"/>
      <c r="L52" s="3603"/>
      <c r="M52" s="3543" t="s">
        <v>73</v>
      </c>
      <c r="N52" s="3543"/>
      <c r="O52" s="3543"/>
      <c r="P52" s="3543"/>
      <c r="Q52" s="3678"/>
      <c r="R52"/>
      <c r="S52"/>
      <c r="T52"/>
      <c r="U52" s="3601" t="s">
        <v>36</v>
      </c>
      <c r="V52" s="3549"/>
      <c r="W52" s="3549"/>
      <c r="X52" s="3549"/>
      <c r="Y52" s="3549"/>
      <c r="Z52" s="3602" t="s">
        <v>37</v>
      </c>
      <c r="AA52" s="3603"/>
      <c r="AB52" s="3604"/>
      <c r="AC52"/>
      <c r="AD52" s="66"/>
      <c r="AE52" s="66"/>
    </row>
    <row r="53" spans="1:31" ht="15" customHeight="1">
      <c r="A53" s="360"/>
      <c r="B53" s="3737"/>
      <c r="C53" s="3550" t="s">
        <v>579</v>
      </c>
      <c r="D53" s="3551"/>
      <c r="E53" s="3551"/>
      <c r="F53" s="3551"/>
      <c r="G53" s="3551"/>
      <c r="H53" s="3551"/>
      <c r="I53" s="3551"/>
      <c r="J53" s="3595"/>
      <c r="K53" s="3589" t="str">
        <f>CONCATENATE("$0's, real ",dms_DollarReal)</f>
        <v>$0's, real December 2017</v>
      </c>
      <c r="L53" s="3590"/>
      <c r="M53" s="3590"/>
      <c r="N53" s="3590"/>
      <c r="O53" s="3590"/>
      <c r="P53" s="3590"/>
      <c r="Q53" s="3591"/>
      <c r="U53" s="3550" t="str">
        <f>CONCATENATE("$0's, real ",dms_DollarReal)</f>
        <v>$0's, real December 2017</v>
      </c>
      <c r="V53" s="3551"/>
      <c r="W53" s="3551"/>
      <c r="X53" s="3551"/>
      <c r="Y53" s="3551"/>
      <c r="Z53" s="3551"/>
      <c r="AA53" s="3551"/>
      <c r="AB53" s="3552"/>
    </row>
    <row r="54" spans="1:31" s="73" customFormat="1" ht="16.5" customHeight="1">
      <c r="A54" s="809"/>
      <c r="B54" s="3737"/>
      <c r="C54" s="3550" t="s">
        <v>54</v>
      </c>
      <c r="D54" s="3551"/>
      <c r="E54" s="3551"/>
      <c r="F54" s="3551"/>
      <c r="G54" s="3551"/>
      <c r="H54" s="3551"/>
      <c r="I54" s="3551"/>
      <c r="J54" s="3595"/>
      <c r="K54" s="3589" t="s">
        <v>55</v>
      </c>
      <c r="L54" s="3590"/>
      <c r="M54" s="3590"/>
      <c r="N54" s="3590"/>
      <c r="O54" s="3590"/>
      <c r="P54" s="3590"/>
      <c r="Q54" s="3591"/>
      <c r="R54"/>
      <c r="S54"/>
      <c r="T54"/>
      <c r="U54" s="3550" t="s">
        <v>54</v>
      </c>
      <c r="V54" s="3551"/>
      <c r="W54" s="3551"/>
      <c r="X54" s="3551"/>
      <c r="Y54" s="3551"/>
      <c r="Z54" s="3551"/>
      <c r="AA54" s="3551"/>
      <c r="AB54" s="3552"/>
      <c r="AC54"/>
    </row>
    <row r="55" spans="1:31" ht="12.75" customHeight="1" thickBot="1">
      <c r="A55" s="410"/>
      <c r="B55" s="3910"/>
      <c r="C55" s="1789">
        <f t="array" ref="C55:G55">PRCP</f>
        <v>2008</v>
      </c>
      <c r="D55" s="390">
        <v>2009</v>
      </c>
      <c r="E55" s="390">
        <v>2010</v>
      </c>
      <c r="F55" s="390">
        <v>2011</v>
      </c>
      <c r="G55" s="390">
        <v>2012</v>
      </c>
      <c r="H55" s="392">
        <f>CRCP_y1</f>
        <v>2013</v>
      </c>
      <c r="I55" s="392">
        <f>CRCP_y2</f>
        <v>2014</v>
      </c>
      <c r="J55" s="392">
        <f>CRCP_y3</f>
        <v>2015</v>
      </c>
      <c r="K55" s="392">
        <f>CRCP_y4</f>
        <v>2016</v>
      </c>
      <c r="L55" s="392">
        <f>CRCP_y5</f>
        <v>2017</v>
      </c>
      <c r="M55" s="390" t="str">
        <f t="array" ref="M55:Q55">FRCP</f>
        <v>2018</v>
      </c>
      <c r="N55" s="390">
        <v>2019</v>
      </c>
      <c r="O55" s="390">
        <v>2020</v>
      </c>
      <c r="P55" s="390">
        <v>2021</v>
      </c>
      <c r="Q55" s="498">
        <v>2022</v>
      </c>
      <c r="U55" s="1789">
        <f t="array" ref="U55:Y55">PRCP</f>
        <v>2008</v>
      </c>
      <c r="V55" s="390">
        <v>2009</v>
      </c>
      <c r="W55" s="390">
        <v>2010</v>
      </c>
      <c r="X55" s="390">
        <v>2011</v>
      </c>
      <c r="Y55" s="390">
        <v>2012</v>
      </c>
      <c r="Z55" s="392">
        <f>CRCP_y1</f>
        <v>2013</v>
      </c>
      <c r="AA55" s="392">
        <f>CRCP_y2</f>
        <v>2014</v>
      </c>
      <c r="AB55" s="603">
        <f>CRCP_y3</f>
        <v>2015</v>
      </c>
    </row>
    <row r="56" spans="1:31">
      <c r="A56" s="410"/>
      <c r="B56" s="1507" t="str">
        <f>B21</f>
        <v>Transmission pipelines</v>
      </c>
      <c r="C56" s="816"/>
      <c r="D56" s="817"/>
      <c r="E56" s="817"/>
      <c r="F56" s="817"/>
      <c r="G56" s="1514"/>
      <c r="H56" s="816"/>
      <c r="I56" s="817"/>
      <c r="J56" s="817"/>
      <c r="K56" s="817"/>
      <c r="L56" s="818"/>
      <c r="M56" s="816"/>
      <c r="N56" s="817"/>
      <c r="O56" s="817"/>
      <c r="P56" s="817"/>
      <c r="Q56" s="818"/>
      <c r="U56" s="2251"/>
      <c r="V56" s="2247"/>
      <c r="W56" s="2247"/>
      <c r="X56" s="2247"/>
      <c r="Y56" s="2252"/>
      <c r="Z56" s="2251"/>
      <c r="AA56" s="2247"/>
      <c r="AB56" s="2252"/>
    </row>
    <row r="57" spans="1:31">
      <c r="A57" s="410"/>
      <c r="B57" s="1508" t="str">
        <f t="shared" ref="B57:B66" si="1">B22</f>
        <v>Distribution pipelines</v>
      </c>
      <c r="C57" s="819"/>
      <c r="D57" s="803"/>
      <c r="E57" s="803"/>
      <c r="F57" s="803"/>
      <c r="G57" s="1515"/>
      <c r="H57" s="819"/>
      <c r="I57" s="803"/>
      <c r="J57" s="803"/>
      <c r="K57" s="803"/>
      <c r="L57" s="820"/>
      <c r="M57" s="819"/>
      <c r="N57" s="803"/>
      <c r="O57" s="803"/>
      <c r="P57" s="803"/>
      <c r="Q57" s="820"/>
      <c r="U57" s="2248"/>
      <c r="V57" s="2249"/>
      <c r="W57" s="2249"/>
      <c r="X57" s="2249"/>
      <c r="Y57" s="2253"/>
      <c r="Z57" s="2248"/>
      <c r="AA57" s="2249"/>
      <c r="AB57" s="2253"/>
    </row>
    <row r="58" spans="1:31">
      <c r="A58" s="410"/>
      <c r="B58" s="1508" t="str">
        <f t="shared" si="1"/>
        <v>Service pipes</v>
      </c>
      <c r="C58" s="819"/>
      <c r="D58" s="803"/>
      <c r="E58" s="803"/>
      <c r="F58" s="803"/>
      <c r="G58" s="1515"/>
      <c r="H58" s="819"/>
      <c r="I58" s="803"/>
      <c r="J58" s="803"/>
      <c r="K58" s="803"/>
      <c r="L58" s="820"/>
      <c r="M58" s="819"/>
      <c r="N58" s="803"/>
      <c r="O58" s="803"/>
      <c r="P58" s="803"/>
      <c r="Q58" s="820"/>
      <c r="U58" s="2248"/>
      <c r="V58" s="2249"/>
      <c r="W58" s="2249"/>
      <c r="X58" s="2249"/>
      <c r="Y58" s="2253"/>
      <c r="Z58" s="2248"/>
      <c r="AA58" s="2249"/>
      <c r="AB58" s="2253"/>
    </row>
    <row r="59" spans="1:31">
      <c r="A59" s="410"/>
      <c r="B59" s="1508" t="str">
        <f t="shared" si="1"/>
        <v>Cathodic protection</v>
      </c>
      <c r="C59" s="819"/>
      <c r="D59" s="803"/>
      <c r="E59" s="803"/>
      <c r="F59" s="803"/>
      <c r="G59" s="1515"/>
      <c r="H59" s="819"/>
      <c r="I59" s="803"/>
      <c r="J59" s="803"/>
      <c r="K59" s="803"/>
      <c r="L59" s="820"/>
      <c r="M59" s="819"/>
      <c r="N59" s="803"/>
      <c r="O59" s="803"/>
      <c r="P59" s="803"/>
      <c r="Q59" s="820"/>
      <c r="U59" s="2248"/>
      <c r="V59" s="2249"/>
      <c r="W59" s="2249"/>
      <c r="X59" s="2249"/>
      <c r="Y59" s="2253"/>
      <c r="Z59" s="2248"/>
      <c r="AA59" s="2249"/>
      <c r="AB59" s="2253"/>
    </row>
    <row r="60" spans="1:31">
      <c r="A60" s="410"/>
      <c r="B60" s="1508" t="str">
        <f t="shared" si="1"/>
        <v>Supply regulators/Valve stations</v>
      </c>
      <c r="C60" s="819"/>
      <c r="D60" s="803"/>
      <c r="E60" s="803"/>
      <c r="F60" s="803"/>
      <c r="G60" s="1515"/>
      <c r="H60" s="819"/>
      <c r="I60" s="803"/>
      <c r="J60" s="803"/>
      <c r="K60" s="803"/>
      <c r="L60" s="820"/>
      <c r="M60" s="819"/>
      <c r="N60" s="803"/>
      <c r="O60" s="803"/>
      <c r="P60" s="803"/>
      <c r="Q60" s="820"/>
      <c r="U60" s="2248"/>
      <c r="V60" s="2249"/>
      <c r="W60" s="2249"/>
      <c r="X60" s="2249"/>
      <c r="Y60" s="2253"/>
      <c r="Z60" s="2248"/>
      <c r="AA60" s="2249"/>
      <c r="AB60" s="2253"/>
    </row>
    <row r="61" spans="1:31">
      <c r="A61" s="410"/>
      <c r="B61" s="1508" t="str">
        <f t="shared" si="1"/>
        <v>Meters</v>
      </c>
      <c r="C61" s="819"/>
      <c r="D61" s="803"/>
      <c r="E61" s="803"/>
      <c r="F61" s="803"/>
      <c r="G61" s="1515"/>
      <c r="H61" s="819"/>
      <c r="I61" s="803"/>
      <c r="J61" s="803"/>
      <c r="K61" s="803"/>
      <c r="L61" s="820"/>
      <c r="M61" s="819"/>
      <c r="N61" s="803"/>
      <c r="O61" s="803"/>
      <c r="P61" s="803"/>
      <c r="Q61" s="820"/>
      <c r="U61" s="2248"/>
      <c r="V61" s="2249"/>
      <c r="W61" s="2249"/>
      <c r="X61" s="2249"/>
      <c r="Y61" s="2253"/>
      <c r="Z61" s="2248"/>
      <c r="AA61" s="2249"/>
      <c r="AB61" s="2253"/>
    </row>
    <row r="62" spans="1:31" s="1427" customFormat="1">
      <c r="A62" s="1429"/>
      <c r="B62" s="3257" t="str">
        <f t="shared" si="1"/>
        <v>SCADA and remote control</v>
      </c>
      <c r="C62" s="3258"/>
      <c r="D62" s="3259"/>
      <c r="E62" s="3259"/>
      <c r="F62" s="3259"/>
      <c r="G62" s="3265"/>
      <c r="H62" s="3258"/>
      <c r="I62" s="3259"/>
      <c r="J62" s="3259"/>
      <c r="K62" s="3259"/>
      <c r="L62" s="3260"/>
      <c r="M62" s="3258"/>
      <c r="N62" s="3259"/>
      <c r="O62" s="3259"/>
      <c r="P62" s="3259"/>
      <c r="Q62" s="3260"/>
      <c r="U62" s="2308"/>
      <c r="V62" s="2309"/>
      <c r="W62" s="2309"/>
      <c r="X62" s="2309"/>
      <c r="Y62" s="2310"/>
      <c r="Z62" s="2308"/>
      <c r="AA62" s="2309"/>
      <c r="AB62" s="2310"/>
    </row>
    <row r="63" spans="1:31" s="1427" customFormat="1">
      <c r="A63" s="1429"/>
      <c r="B63" s="3257" t="str">
        <f t="shared" si="1"/>
        <v>Buildings</v>
      </c>
      <c r="C63" s="3258"/>
      <c r="D63" s="3259"/>
      <c r="E63" s="3259"/>
      <c r="F63" s="3259"/>
      <c r="G63" s="3265"/>
      <c r="H63" s="3258"/>
      <c r="I63" s="3259"/>
      <c r="J63" s="3259"/>
      <c r="K63" s="3259"/>
      <c r="L63" s="3260"/>
      <c r="M63" s="3258"/>
      <c r="N63" s="3259"/>
      <c r="O63" s="3259"/>
      <c r="P63" s="3259"/>
      <c r="Q63" s="3260"/>
      <c r="U63" s="2308"/>
      <c r="V63" s="2309"/>
      <c r="W63" s="2309"/>
      <c r="X63" s="2309"/>
      <c r="Y63" s="2310"/>
      <c r="Z63" s="2308"/>
      <c r="AA63" s="2309"/>
      <c r="AB63" s="2310"/>
    </row>
    <row r="64" spans="1:31" s="1427" customFormat="1">
      <c r="A64" s="1429"/>
      <c r="B64" s="3257" t="str">
        <f t="shared" si="1"/>
        <v>Other - IT</v>
      </c>
      <c r="C64" s="3258"/>
      <c r="D64" s="3259"/>
      <c r="E64" s="3259"/>
      <c r="F64" s="3259"/>
      <c r="G64" s="3265"/>
      <c r="H64" s="3258"/>
      <c r="I64" s="3259"/>
      <c r="J64" s="3259"/>
      <c r="K64" s="3259"/>
      <c r="L64" s="3260"/>
      <c r="M64" s="3258"/>
      <c r="N64" s="3259"/>
      <c r="O64" s="3259"/>
      <c r="P64" s="3259"/>
      <c r="Q64" s="3260"/>
      <c r="U64" s="2308"/>
      <c r="V64" s="2309"/>
      <c r="W64" s="2309"/>
      <c r="X64" s="2309"/>
      <c r="Y64" s="2310"/>
      <c r="Z64" s="2308"/>
      <c r="AA64" s="2309"/>
      <c r="AB64" s="2310"/>
    </row>
    <row r="65" spans="1:29" s="1427" customFormat="1">
      <c r="A65" s="1429"/>
      <c r="B65" s="3257" t="str">
        <f t="shared" si="1"/>
        <v>Other - Non IT</v>
      </c>
      <c r="C65" s="3258"/>
      <c r="D65" s="3259"/>
      <c r="E65" s="3259"/>
      <c r="F65" s="3259"/>
      <c r="G65" s="3265"/>
      <c r="H65" s="3258"/>
      <c r="I65" s="3259"/>
      <c r="J65" s="3259"/>
      <c r="K65" s="3259"/>
      <c r="L65" s="3260"/>
      <c r="M65" s="3258"/>
      <c r="N65" s="3259"/>
      <c r="O65" s="3259"/>
      <c r="P65" s="3259"/>
      <c r="Q65" s="3260"/>
      <c r="U65" s="2308"/>
      <c r="V65" s="2309"/>
      <c r="W65" s="2309"/>
      <c r="X65" s="2309"/>
      <c r="Y65" s="2310"/>
      <c r="Z65" s="2308"/>
      <c r="AA65" s="2309"/>
      <c r="AB65" s="2310"/>
    </row>
    <row r="66" spans="1:29" ht="13.5" thickBot="1">
      <c r="A66" s="410"/>
      <c r="B66" s="1509" t="str">
        <f t="shared" si="1"/>
        <v>Land</v>
      </c>
      <c r="C66" s="821"/>
      <c r="D66" s="805"/>
      <c r="E66" s="805"/>
      <c r="F66" s="805"/>
      <c r="G66" s="1516"/>
      <c r="H66" s="821"/>
      <c r="I66" s="805"/>
      <c r="J66" s="805"/>
      <c r="K66" s="805"/>
      <c r="L66" s="822"/>
      <c r="M66" s="821"/>
      <c r="N66" s="805"/>
      <c r="O66" s="805"/>
      <c r="P66" s="805"/>
      <c r="Q66" s="822"/>
      <c r="U66" s="2254"/>
      <c r="V66" s="2250"/>
      <c r="W66" s="2250"/>
      <c r="X66" s="2250"/>
      <c r="Y66" s="2255"/>
      <c r="Z66" s="2254"/>
      <c r="AA66" s="2250"/>
      <c r="AB66" s="2255"/>
    </row>
    <row r="67" spans="1:29" ht="44.25" customHeight="1" thickBot="1">
      <c r="A67" s="410"/>
      <c r="B67" s="71"/>
      <c r="C67" s="71"/>
      <c r="D67" s="71"/>
      <c r="E67" s="71"/>
      <c r="F67" s="71"/>
      <c r="G67" s="71"/>
      <c r="H67" s="71"/>
      <c r="I67" s="71"/>
      <c r="J67" s="71"/>
      <c r="K67" s="71"/>
      <c r="L67" s="71"/>
      <c r="M67" s="410"/>
      <c r="N67" s="410"/>
      <c r="O67" s="410"/>
      <c r="P67" s="410"/>
      <c r="Q67" s="410"/>
      <c r="U67" s="71"/>
      <c r="V67" s="71"/>
      <c r="W67" s="71"/>
      <c r="X67" s="71"/>
      <c r="Y67" s="71"/>
      <c r="Z67" s="71"/>
      <c r="AA67" s="71"/>
      <c r="AB67" s="71"/>
    </row>
    <row r="68" spans="1:29" s="79" customFormat="1" ht="24.75" customHeight="1" thickBot="1">
      <c r="A68" s="308"/>
      <c r="B68" s="1576" t="s">
        <v>383</v>
      </c>
      <c r="C68" s="1602"/>
      <c r="D68" s="1602"/>
      <c r="E68" s="1602"/>
      <c r="F68" s="1577"/>
      <c r="G68" s="1602"/>
      <c r="H68" s="1602"/>
      <c r="I68" s="1602"/>
      <c r="J68" s="1577"/>
      <c r="K68" s="1602"/>
      <c r="L68" s="1604"/>
      <c r="M68" s="308"/>
      <c r="N68" s="288"/>
      <c r="O68" s="288"/>
      <c r="P68" s="288"/>
      <c r="Q68" s="288"/>
      <c r="R68"/>
      <c r="S68"/>
      <c r="T68"/>
      <c r="U68"/>
      <c r="V68"/>
      <c r="W68"/>
      <c r="X68"/>
      <c r="Y68"/>
      <c r="Z68"/>
      <c r="AA68"/>
      <c r="AB68"/>
      <c r="AC68"/>
    </row>
    <row r="69" spans="1:29" ht="15" customHeight="1">
      <c r="A69" s="410"/>
      <c r="B69" s="3906"/>
      <c r="C69" s="3620" t="s">
        <v>36</v>
      </c>
      <c r="D69" s="3549"/>
      <c r="E69" s="3549"/>
      <c r="F69" s="3549"/>
      <c r="G69" s="3549"/>
      <c r="H69" s="3602" t="s">
        <v>37</v>
      </c>
      <c r="I69" s="3603"/>
      <c r="J69" s="3603"/>
      <c r="K69" s="3603"/>
      <c r="L69" s="3604"/>
      <c r="M69" s="410"/>
      <c r="N69" s="410"/>
      <c r="O69" s="410"/>
      <c r="P69" s="410"/>
      <c r="Q69" s="410"/>
      <c r="U69"/>
      <c r="V69"/>
      <c r="W69"/>
      <c r="X69"/>
      <c r="Y69"/>
      <c r="Z69"/>
      <c r="AA69"/>
      <c r="AB69"/>
    </row>
    <row r="70" spans="1:29" ht="15" customHeight="1">
      <c r="A70" s="410"/>
      <c r="B70" s="3907"/>
      <c r="C70" s="3550" t="str">
        <f>CONCATENATE("$0's, real ",dms_DollarReal)</f>
        <v>$0's, real December 2017</v>
      </c>
      <c r="D70" s="3551"/>
      <c r="E70" s="3551"/>
      <c r="F70" s="3551"/>
      <c r="G70" s="3551"/>
      <c r="H70" s="3551"/>
      <c r="I70" s="3551"/>
      <c r="J70" s="3551"/>
      <c r="K70" s="3551"/>
      <c r="L70" s="3552"/>
      <c r="M70" s="410"/>
      <c r="N70" s="410"/>
      <c r="O70" s="410"/>
      <c r="P70" s="410"/>
      <c r="Q70" s="410"/>
      <c r="U70"/>
      <c r="V70"/>
      <c r="W70"/>
      <c r="X70"/>
      <c r="Y70"/>
      <c r="Z70"/>
      <c r="AA70"/>
      <c r="AB70"/>
    </row>
    <row r="71" spans="1:29" ht="12.75" customHeight="1">
      <c r="A71" s="410"/>
      <c r="B71" s="3907"/>
      <c r="C71" s="3550" t="s">
        <v>74</v>
      </c>
      <c r="D71" s="3551"/>
      <c r="E71" s="3551"/>
      <c r="F71" s="3551"/>
      <c r="G71" s="3551"/>
      <c r="H71" s="3551"/>
      <c r="I71" s="3551"/>
      <c r="J71" s="3551"/>
      <c r="K71" s="3551"/>
      <c r="L71" s="3552"/>
      <c r="M71" s="410"/>
      <c r="N71" s="410"/>
      <c r="O71" s="410"/>
      <c r="P71" s="410"/>
      <c r="Q71" s="410"/>
      <c r="U71"/>
      <c r="V71"/>
      <c r="W71"/>
      <c r="X71"/>
      <c r="Y71"/>
      <c r="Z71"/>
      <c r="AA71"/>
      <c r="AB71"/>
    </row>
    <row r="72" spans="1:29" ht="12.75" customHeight="1" thickBot="1">
      <c r="A72" s="410"/>
      <c r="B72" s="3908"/>
      <c r="C72" s="391">
        <f t="array" ref="C72:G72">PRCP</f>
        <v>2008</v>
      </c>
      <c r="D72" s="390">
        <v>2009</v>
      </c>
      <c r="E72" s="390">
        <v>2010</v>
      </c>
      <c r="F72" s="390">
        <v>2011</v>
      </c>
      <c r="G72" s="390">
        <v>2012</v>
      </c>
      <c r="H72" s="392">
        <f>CRCP_y1</f>
        <v>2013</v>
      </c>
      <c r="I72" s="392">
        <f>CRCP_y2</f>
        <v>2014</v>
      </c>
      <c r="J72" s="392">
        <f>CRCP_y3</f>
        <v>2015</v>
      </c>
      <c r="K72" s="392">
        <f>CRCP_y4</f>
        <v>2016</v>
      </c>
      <c r="L72" s="603">
        <f>CRCP_y5</f>
        <v>2017</v>
      </c>
      <c r="M72" s="410"/>
      <c r="N72" s="410"/>
      <c r="O72" s="410"/>
      <c r="P72" s="410"/>
      <c r="Q72" s="410"/>
      <c r="U72"/>
      <c r="V72"/>
      <c r="W72"/>
      <c r="X72"/>
      <c r="Y72"/>
      <c r="Z72"/>
      <c r="AA72"/>
      <c r="AB72"/>
    </row>
    <row r="73" spans="1:29">
      <c r="A73" s="410"/>
      <c r="B73" s="813" t="str">
        <f>B21</f>
        <v>Transmission pipelines</v>
      </c>
      <c r="C73" s="995"/>
      <c r="D73" s="996"/>
      <c r="E73" s="996"/>
      <c r="F73" s="996"/>
      <c r="G73" s="1512"/>
      <c r="H73" s="1510"/>
      <c r="I73" s="996"/>
      <c r="J73" s="996"/>
      <c r="K73" s="996"/>
      <c r="L73" s="997"/>
      <c r="M73" s="410"/>
      <c r="N73" s="410"/>
      <c r="O73" s="410"/>
      <c r="P73" s="410"/>
      <c r="Q73" s="410"/>
      <c r="U73"/>
      <c r="V73"/>
      <c r="W73"/>
      <c r="X73"/>
      <c r="Y73"/>
      <c r="Z73"/>
      <c r="AA73"/>
      <c r="AB73"/>
    </row>
    <row r="74" spans="1:29">
      <c r="A74" s="410"/>
      <c r="B74" s="1568" t="str">
        <f t="shared" ref="B74:B83" si="2">B22</f>
        <v>Distribution pipelines</v>
      </c>
      <c r="C74" s="976"/>
      <c r="D74" s="971"/>
      <c r="E74" s="971"/>
      <c r="F74" s="971"/>
      <c r="G74" s="804"/>
      <c r="H74" s="815"/>
      <c r="I74" s="971"/>
      <c r="J74" s="971"/>
      <c r="K74" s="971"/>
      <c r="L74" s="977"/>
      <c r="M74" s="410"/>
      <c r="N74" s="410"/>
      <c r="O74" s="410"/>
      <c r="P74" s="410"/>
      <c r="Q74" s="410"/>
      <c r="U74"/>
      <c r="V74"/>
      <c r="W74"/>
      <c r="X74"/>
      <c r="Y74"/>
      <c r="Z74"/>
      <c r="AA74"/>
      <c r="AB74"/>
    </row>
    <row r="75" spans="1:29">
      <c r="A75" s="410"/>
      <c r="B75" s="1568" t="str">
        <f t="shared" si="2"/>
        <v>Service pipes</v>
      </c>
      <c r="C75" s="976"/>
      <c r="D75" s="971"/>
      <c r="E75" s="971"/>
      <c r="F75" s="971"/>
      <c r="G75" s="804"/>
      <c r="H75" s="815"/>
      <c r="I75" s="971"/>
      <c r="J75" s="971"/>
      <c r="K75" s="971"/>
      <c r="L75" s="977"/>
      <c r="M75" s="410"/>
      <c r="N75" s="410"/>
      <c r="O75" s="410"/>
      <c r="P75" s="410"/>
      <c r="Q75" s="410"/>
      <c r="U75"/>
      <c r="V75"/>
      <c r="W75"/>
      <c r="X75"/>
      <c r="Y75"/>
      <c r="Z75"/>
      <c r="AA75"/>
      <c r="AB75"/>
    </row>
    <row r="76" spans="1:29">
      <c r="A76" s="410"/>
      <c r="B76" s="1568" t="str">
        <f t="shared" si="2"/>
        <v>Cathodic protection</v>
      </c>
      <c r="C76" s="976"/>
      <c r="D76" s="971"/>
      <c r="E76" s="971"/>
      <c r="F76" s="971"/>
      <c r="G76" s="804"/>
      <c r="H76" s="815"/>
      <c r="I76" s="971"/>
      <c r="J76" s="971"/>
      <c r="K76" s="971"/>
      <c r="L76" s="977"/>
      <c r="M76" s="410"/>
      <c r="N76" s="410"/>
      <c r="O76" s="410"/>
      <c r="P76" s="410"/>
      <c r="Q76" s="410"/>
      <c r="U76"/>
      <c r="V76"/>
      <c r="W76"/>
      <c r="X76"/>
      <c r="Y76"/>
      <c r="Z76"/>
      <c r="AA76"/>
      <c r="AB76"/>
    </row>
    <row r="77" spans="1:29">
      <c r="A77" s="410"/>
      <c r="B77" s="1568" t="str">
        <f t="shared" si="2"/>
        <v>Supply regulators/Valve stations</v>
      </c>
      <c r="C77" s="976"/>
      <c r="D77" s="971"/>
      <c r="E77" s="971"/>
      <c r="F77" s="971"/>
      <c r="G77" s="804"/>
      <c r="H77" s="815"/>
      <c r="I77" s="971"/>
      <c r="J77" s="971"/>
      <c r="K77" s="971"/>
      <c r="L77" s="977"/>
      <c r="M77" s="410"/>
      <c r="N77" s="410"/>
      <c r="O77" s="410"/>
      <c r="P77" s="410"/>
      <c r="Q77" s="410"/>
      <c r="U77"/>
      <c r="V77"/>
      <c r="W77"/>
      <c r="X77"/>
      <c r="Y77"/>
      <c r="Z77"/>
      <c r="AA77"/>
      <c r="AB77"/>
    </row>
    <row r="78" spans="1:29">
      <c r="A78" s="410"/>
      <c r="B78" s="1568" t="str">
        <f t="shared" si="2"/>
        <v>Meters</v>
      </c>
      <c r="C78" s="976"/>
      <c r="D78" s="971"/>
      <c r="E78" s="971"/>
      <c r="F78" s="971"/>
      <c r="G78" s="804"/>
      <c r="H78" s="815"/>
      <c r="I78" s="971"/>
      <c r="J78" s="971"/>
      <c r="K78" s="971"/>
      <c r="L78" s="977"/>
      <c r="M78" s="410"/>
      <c r="N78" s="410"/>
      <c r="O78" s="410"/>
      <c r="P78" s="410"/>
      <c r="Q78" s="410"/>
      <c r="U78"/>
      <c r="V78"/>
      <c r="W78"/>
      <c r="X78"/>
      <c r="Y78"/>
      <c r="Z78"/>
      <c r="AA78"/>
      <c r="AB78"/>
    </row>
    <row r="79" spans="1:29" s="1427" customFormat="1">
      <c r="A79" s="1429"/>
      <c r="B79" s="913" t="str">
        <f t="shared" si="2"/>
        <v>SCADA and remote control</v>
      </c>
      <c r="C79" s="3258"/>
      <c r="D79" s="3259"/>
      <c r="E79" s="3259"/>
      <c r="F79" s="3259"/>
      <c r="G79" s="3266"/>
      <c r="H79" s="3264"/>
      <c r="I79" s="3259"/>
      <c r="J79" s="3259"/>
      <c r="K79" s="3259"/>
      <c r="L79" s="3260"/>
      <c r="M79" s="1429"/>
      <c r="N79" s="1429"/>
      <c r="O79" s="1429"/>
      <c r="P79" s="1429"/>
      <c r="Q79" s="1429"/>
    </row>
    <row r="80" spans="1:29" s="1427" customFormat="1">
      <c r="A80" s="1429"/>
      <c r="B80" s="913" t="str">
        <f t="shared" si="2"/>
        <v>Buildings</v>
      </c>
      <c r="C80" s="3258"/>
      <c r="D80" s="3259"/>
      <c r="E80" s="3259"/>
      <c r="F80" s="3259"/>
      <c r="G80" s="3266"/>
      <c r="H80" s="3264"/>
      <c r="I80" s="3259"/>
      <c r="J80" s="3259"/>
      <c r="K80" s="3259"/>
      <c r="L80" s="3260"/>
      <c r="M80" s="1429"/>
      <c r="N80" s="1429"/>
      <c r="O80" s="1429"/>
      <c r="P80" s="1429"/>
      <c r="Q80" s="1429"/>
    </row>
    <row r="81" spans="1:28" s="1427" customFormat="1">
      <c r="A81" s="1429"/>
      <c r="B81" s="913" t="str">
        <f t="shared" si="2"/>
        <v>Other - IT</v>
      </c>
      <c r="C81" s="3258"/>
      <c r="D81" s="3259"/>
      <c r="E81" s="3259"/>
      <c r="F81" s="3259"/>
      <c r="G81" s="3266"/>
      <c r="H81" s="3264"/>
      <c r="I81" s="3259"/>
      <c r="J81" s="3259"/>
      <c r="K81" s="3259"/>
      <c r="L81" s="3260"/>
      <c r="M81" s="1429"/>
      <c r="N81" s="1429"/>
      <c r="O81" s="1429"/>
      <c r="P81" s="1429"/>
      <c r="Q81" s="1429"/>
    </row>
    <row r="82" spans="1:28" s="1427" customFormat="1">
      <c r="A82" s="1429"/>
      <c r="B82" s="913" t="str">
        <f t="shared" si="2"/>
        <v>Other - Non IT</v>
      </c>
      <c r="C82" s="3258"/>
      <c r="D82" s="3259"/>
      <c r="E82" s="3259"/>
      <c r="F82" s="3259"/>
      <c r="G82" s="3266"/>
      <c r="H82" s="3264"/>
      <c r="I82" s="3259"/>
      <c r="J82" s="3259"/>
      <c r="K82" s="3259"/>
      <c r="L82" s="3260"/>
      <c r="M82" s="1429"/>
      <c r="N82" s="1429"/>
      <c r="O82" s="1429"/>
      <c r="P82" s="1429"/>
      <c r="Q82" s="1429"/>
    </row>
    <row r="83" spans="1:28" ht="13.5" thickBot="1">
      <c r="A83" s="410"/>
      <c r="B83" s="814" t="str">
        <f t="shared" si="2"/>
        <v>Land</v>
      </c>
      <c r="C83" s="821"/>
      <c r="D83" s="805"/>
      <c r="E83" s="805"/>
      <c r="F83" s="805"/>
      <c r="G83" s="1513"/>
      <c r="H83" s="1511"/>
      <c r="I83" s="805"/>
      <c r="J83" s="805"/>
      <c r="K83" s="805"/>
      <c r="L83" s="822"/>
      <c r="M83" s="410"/>
      <c r="N83" s="410"/>
      <c r="O83" s="410"/>
      <c r="P83" s="410"/>
      <c r="Q83" s="410"/>
      <c r="U83"/>
      <c r="V83"/>
      <c r="W83"/>
      <c r="X83"/>
      <c r="Y83"/>
      <c r="Z83"/>
      <c r="AA83"/>
      <c r="AB83"/>
    </row>
    <row r="117" spans="2:2" ht="15.75">
      <c r="B117" s="88" t="s">
        <v>176</v>
      </c>
    </row>
  </sheetData>
  <mergeCells count="35">
    <mergeCell ref="U54:AB54"/>
    <mergeCell ref="U52:Y52"/>
    <mergeCell ref="Z52:AB52"/>
    <mergeCell ref="U53:AB53"/>
    <mergeCell ref="U17:Y17"/>
    <mergeCell ref="Z17:AB17"/>
    <mergeCell ref="U18:AB18"/>
    <mergeCell ref="U19:AB19"/>
    <mergeCell ref="B12:I12"/>
    <mergeCell ref="K19:Q19"/>
    <mergeCell ref="C53:J53"/>
    <mergeCell ref="K53:Q53"/>
    <mergeCell ref="C54:J54"/>
    <mergeCell ref="K54:Q54"/>
    <mergeCell ref="M17:Q17"/>
    <mergeCell ref="B34:B37"/>
    <mergeCell ref="C34:G34"/>
    <mergeCell ref="H34:L34"/>
    <mergeCell ref="B17:B20"/>
    <mergeCell ref="C17:G17"/>
    <mergeCell ref="H17:L17"/>
    <mergeCell ref="C18:J18"/>
    <mergeCell ref="K18:Q18"/>
    <mergeCell ref="C19:J19"/>
    <mergeCell ref="M52:Q52"/>
    <mergeCell ref="C35:L35"/>
    <mergeCell ref="C36:L36"/>
    <mergeCell ref="B69:B72"/>
    <mergeCell ref="C69:G69"/>
    <mergeCell ref="H69:L69"/>
    <mergeCell ref="B52:B55"/>
    <mergeCell ref="C52:G52"/>
    <mergeCell ref="H52:L52"/>
    <mergeCell ref="C70:L70"/>
    <mergeCell ref="C71:L71"/>
  </mergeCells>
  <pageMargins left="0.74803149606299213" right="0.74803149606299213" top="0.98425196850393704" bottom="0.98425196850393704" header="0.51181102362204722" footer="0.51181102362204722"/>
  <pageSetup paperSize="9" scale="42" fitToHeight="3" orientation="landscape" r:id="rId1"/>
  <headerFooter alignWithMargins="0">
    <oddFooter>&amp;L&amp;D&amp;C&amp; Pro Forma: &amp;A
&amp;F&amp;R&amp;P o&amp;Of &amp;N</oddFooter>
  </headerFooter>
  <customProperties>
    <customPr name="_pios_id" r:id="rId2"/>
  </customProperties>
  <drawing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6" tint="0.59999389629810485"/>
    <pageSetUpPr autoPageBreaks="0"/>
  </sheetPr>
  <dimension ref="A1:AC97"/>
  <sheetViews>
    <sheetView showGridLines="0" zoomScale="85" zoomScaleNormal="85" workbookViewId="0"/>
  </sheetViews>
  <sheetFormatPr defaultColWidth="9.140625" defaultRowHeight="12.75" outlineLevelRow="2"/>
  <cols>
    <col min="1" max="1" width="15.42578125" style="96" customWidth="1"/>
    <col min="2" max="2" width="54.140625" style="96" customWidth="1"/>
    <col min="3" max="6" width="15.7109375" style="96" customWidth="1"/>
    <col min="7" max="7" width="23" style="96" customWidth="1"/>
    <col min="8" max="10" width="8.7109375"/>
    <col min="11" max="13" width="18.28515625" style="1427" customWidth="1"/>
    <col min="14" max="29" width="8.7109375" customWidth="1"/>
    <col min="30" max="16384" width="9.140625" style="96"/>
  </cols>
  <sheetData>
    <row r="1" spans="1:29" s="223" customFormat="1" ht="24"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c r="O1"/>
      <c r="P1"/>
      <c r="Q1"/>
      <c r="R1"/>
      <c r="S1"/>
      <c r="T1"/>
      <c r="U1"/>
      <c r="V1"/>
      <c r="W1"/>
      <c r="X1"/>
      <c r="Y1"/>
      <c r="Z1"/>
      <c r="AA1"/>
      <c r="AB1"/>
      <c r="AC1"/>
    </row>
    <row r="2" spans="1:29" s="223" customFormat="1" ht="24" customHeight="1">
      <c r="B2" s="3054" t="str">
        <f>INDEX(dms_TradingNameFull_List,MATCH(dms_TradingName,dms_TradingName_List))</f>
        <v>AusNet Gas Services</v>
      </c>
      <c r="C2" s="226"/>
      <c r="D2" s="226"/>
      <c r="E2" s="226"/>
      <c r="F2" s="226"/>
      <c r="G2" s="226"/>
      <c r="H2" s="1428"/>
      <c r="I2" s="1428"/>
      <c r="J2" s="1428"/>
      <c r="K2" s="1428"/>
      <c r="L2" s="1428"/>
      <c r="M2" s="1428"/>
      <c r="N2"/>
      <c r="O2"/>
      <c r="P2"/>
      <c r="Q2"/>
      <c r="R2"/>
      <c r="S2"/>
      <c r="T2"/>
      <c r="U2"/>
      <c r="V2"/>
      <c r="W2"/>
      <c r="X2"/>
      <c r="Y2"/>
      <c r="Z2"/>
      <c r="AA2"/>
      <c r="AB2"/>
      <c r="AC2"/>
    </row>
    <row r="3" spans="1:29" s="223" customFormat="1" ht="24" customHeight="1">
      <c r="B3" s="3054" t="str">
        <f ca="1">IF(SUM(dms_SingleYear_Model)&gt;0,CRY,CONCATENATE(FRCP_y1," to ",dms_MultiYear_FinalYear_Result))</f>
        <v>2018 to 2022</v>
      </c>
      <c r="C3" s="227"/>
      <c r="D3" s="227"/>
      <c r="E3" s="227"/>
      <c r="F3" s="227"/>
      <c r="G3" s="227"/>
      <c r="H3" s="1426"/>
      <c r="I3" s="1426"/>
      <c r="J3" s="1426"/>
      <c r="K3" s="1426"/>
      <c r="L3" s="1426"/>
      <c r="M3" s="1426"/>
      <c r="N3"/>
      <c r="O3"/>
      <c r="P3"/>
      <c r="Q3"/>
      <c r="R3"/>
      <c r="S3"/>
      <c r="T3"/>
      <c r="U3"/>
      <c r="V3"/>
      <c r="W3"/>
      <c r="X3"/>
      <c r="Y3"/>
      <c r="Z3"/>
      <c r="AA3"/>
      <c r="AB3"/>
      <c r="AC3"/>
    </row>
    <row r="4" spans="1:29" s="165" customFormat="1" ht="24" customHeight="1">
      <c r="B4" s="10" t="s">
        <v>386</v>
      </c>
      <c r="C4" s="12"/>
      <c r="D4" s="12"/>
      <c r="E4" s="12"/>
      <c r="F4" s="12"/>
      <c r="G4" s="12"/>
      <c r="H4" s="12"/>
      <c r="I4" s="12"/>
      <c r="J4" s="12"/>
      <c r="K4" s="12"/>
      <c r="L4" s="12"/>
      <c r="M4" s="12"/>
      <c r="N4"/>
      <c r="O4"/>
      <c r="P4"/>
      <c r="Q4"/>
      <c r="R4"/>
      <c r="S4"/>
      <c r="T4"/>
      <c r="U4"/>
      <c r="V4"/>
      <c r="W4"/>
      <c r="X4"/>
      <c r="Y4"/>
      <c r="Z4"/>
      <c r="AA4"/>
      <c r="AB4"/>
      <c r="AC4"/>
    </row>
    <row r="5" spans="1:29" customFormat="1" ht="12.75" customHeight="1"/>
    <row r="6" spans="1:29" customFormat="1"/>
    <row r="7" spans="1:29">
      <c r="A7" s="798"/>
      <c r="B7" s="105" t="s">
        <v>59</v>
      </c>
      <c r="C7" s="111"/>
      <c r="D7" s="111"/>
      <c r="E7" s="111"/>
      <c r="F7" s="111"/>
      <c r="G7" s="798"/>
      <c r="K7"/>
      <c r="L7"/>
      <c r="M7"/>
    </row>
    <row r="8" spans="1:29">
      <c r="A8" s="798"/>
      <c r="B8" s="106" t="s">
        <v>5</v>
      </c>
      <c r="C8" s="111"/>
      <c r="D8" s="111"/>
      <c r="E8" s="111"/>
      <c r="F8" s="111"/>
      <c r="G8" s="798"/>
      <c r="K8"/>
      <c r="L8"/>
      <c r="M8"/>
    </row>
    <row r="9" spans="1:29" s="78" customFormat="1" ht="30.75" customHeight="1">
      <c r="A9" s="308"/>
      <c r="B9" s="3829" t="s">
        <v>248</v>
      </c>
      <c r="C9" s="3829"/>
      <c r="D9" s="3829"/>
      <c r="E9" s="3829"/>
      <c r="F9" s="3829"/>
      <c r="G9" s="308"/>
      <c r="H9"/>
      <c r="I9"/>
      <c r="J9"/>
      <c r="K9"/>
      <c r="L9"/>
      <c r="M9"/>
      <c r="N9"/>
      <c r="O9"/>
      <c r="P9"/>
      <c r="Q9"/>
      <c r="R9"/>
      <c r="S9"/>
      <c r="T9"/>
      <c r="U9"/>
      <c r="V9"/>
      <c r="W9"/>
      <c r="X9"/>
      <c r="Y9"/>
      <c r="Z9"/>
      <c r="AA9"/>
      <c r="AB9"/>
      <c r="AC9"/>
    </row>
    <row r="10" spans="1:29" s="78" customFormat="1">
      <c r="A10" s="308"/>
      <c r="B10" s="113" t="s">
        <v>13</v>
      </c>
      <c r="C10" s="106"/>
      <c r="D10" s="106"/>
      <c r="E10" s="111"/>
      <c r="F10" s="111"/>
      <c r="G10" s="308"/>
      <c r="H10"/>
      <c r="I10"/>
      <c r="J10"/>
      <c r="K10"/>
      <c r="L10"/>
      <c r="M10"/>
      <c r="N10"/>
      <c r="O10"/>
      <c r="P10"/>
      <c r="Q10"/>
      <c r="R10"/>
      <c r="S10"/>
      <c r="T10"/>
      <c r="U10"/>
      <c r="V10"/>
      <c r="W10"/>
      <c r="X10"/>
      <c r="Y10"/>
      <c r="Z10"/>
      <c r="AA10"/>
      <c r="AB10"/>
      <c r="AC10"/>
    </row>
    <row r="11" spans="1:29">
      <c r="A11" s="798"/>
      <c r="B11" s="798"/>
      <c r="C11" s="798"/>
      <c r="D11" s="798"/>
      <c r="E11" s="798"/>
      <c r="F11" s="798"/>
      <c r="G11" s="798"/>
      <c r="K11"/>
      <c r="L11"/>
      <c r="M11"/>
    </row>
    <row r="12" spans="1:29" s="79" customFormat="1" ht="26.25" customHeight="1" thickBot="1">
      <c r="A12" s="544"/>
      <c r="B12" s="81"/>
      <c r="C12" s="544"/>
      <c r="D12" s="544"/>
      <c r="E12" s="544"/>
      <c r="F12" s="544"/>
      <c r="G12" s="544"/>
      <c r="H12"/>
      <c r="I12"/>
      <c r="J12"/>
      <c r="K12" s="544"/>
      <c r="L12" s="544"/>
      <c r="M12" s="544"/>
      <c r="N12"/>
      <c r="O12"/>
      <c r="P12"/>
      <c r="Q12"/>
      <c r="R12"/>
      <c r="S12"/>
      <c r="T12"/>
      <c r="U12"/>
      <c r="V12"/>
      <c r="W12"/>
      <c r="X12"/>
      <c r="Y12"/>
      <c r="Z12"/>
      <c r="AA12"/>
      <c r="AB12"/>
      <c r="AC12"/>
    </row>
    <row r="13" spans="1:29" s="138" customFormat="1" ht="18.75" thickBot="1">
      <c r="A13" s="1429"/>
      <c r="B13" s="856" t="s">
        <v>542</v>
      </c>
      <c r="C13" s="857"/>
      <c r="D13" s="857"/>
      <c r="E13" s="857"/>
      <c r="F13" s="857"/>
      <c r="G13" s="1603"/>
      <c r="H13" s="1608"/>
      <c r="I13" s="1609"/>
      <c r="J13" s="1609"/>
      <c r="K13" s="856" t="s">
        <v>681</v>
      </c>
      <c r="L13" s="857"/>
      <c r="M13" s="1603"/>
    </row>
    <row r="14" spans="1:29" s="138" customFormat="1" ht="18.75" thickBot="1">
      <c r="A14" s="1429"/>
      <c r="B14" s="1576" t="s">
        <v>543</v>
      </c>
      <c r="C14" s="1602"/>
      <c r="D14" s="1602"/>
      <c r="E14" s="1602"/>
      <c r="F14" s="1602"/>
      <c r="G14" s="1604"/>
      <c r="H14" s="1608"/>
      <c r="I14" s="1609"/>
      <c r="J14" s="1609"/>
      <c r="K14" s="2246"/>
      <c r="L14" s="1602"/>
      <c r="M14" s="1604"/>
    </row>
    <row r="15" spans="1:29" ht="15.75" customHeight="1">
      <c r="A15" s="798"/>
      <c r="B15" s="768"/>
      <c r="C15" s="3916" t="s">
        <v>37</v>
      </c>
      <c r="D15" s="3917"/>
      <c r="E15" s="3917"/>
      <c r="F15" s="3917"/>
      <c r="G15" s="3918"/>
      <c r="K15" s="3920" t="s">
        <v>37</v>
      </c>
      <c r="L15" s="3917"/>
      <c r="M15" s="3918"/>
    </row>
    <row r="16" spans="1:29" ht="15" customHeight="1">
      <c r="A16" s="798"/>
      <c r="B16" s="585"/>
      <c r="C16" s="3911" t="s">
        <v>579</v>
      </c>
      <c r="D16" s="3912"/>
      <c r="E16" s="3913"/>
      <c r="F16" s="3914" t="str">
        <f>CONCATENATE("$0's, real ",dms_DollarReal)</f>
        <v>$0's, real December 2017</v>
      </c>
      <c r="G16" s="3919"/>
      <c r="K16" s="3911" t="str">
        <f>CONCATENATE("$0's, real ",dms_DollarReal)</f>
        <v>$0's, real December 2017</v>
      </c>
      <c r="L16" s="3912"/>
      <c r="M16" s="3921"/>
    </row>
    <row r="17" spans="1:13" ht="12.75" customHeight="1">
      <c r="A17" s="798"/>
      <c r="B17" s="585"/>
      <c r="C17" s="3911" t="s">
        <v>54</v>
      </c>
      <c r="D17" s="3912"/>
      <c r="E17" s="3913"/>
      <c r="F17" s="3914" t="s">
        <v>55</v>
      </c>
      <c r="G17" s="3919"/>
      <c r="K17" s="3911" t="s">
        <v>54</v>
      </c>
      <c r="L17" s="3912"/>
      <c r="M17" s="3921"/>
    </row>
    <row r="18" spans="1:13" ht="15.75" outlineLevel="1" thickBot="1">
      <c r="A18" s="798"/>
      <c r="B18" s="586"/>
      <c r="C18" s="391">
        <f>CRCP_y1</f>
        <v>2013</v>
      </c>
      <c r="D18" s="390">
        <f>CRCP_y2</f>
        <v>2014</v>
      </c>
      <c r="E18" s="390">
        <f>CRCP_y3</f>
        <v>2015</v>
      </c>
      <c r="F18" s="390">
        <f>CRCP_y4</f>
        <v>2016</v>
      </c>
      <c r="G18" s="498">
        <f>CRCP_y5</f>
        <v>2017</v>
      </c>
      <c r="K18" s="1789">
        <f>CRCP_y1</f>
        <v>2013</v>
      </c>
      <c r="L18" s="390">
        <f>CRCP_y2</f>
        <v>2014</v>
      </c>
      <c r="M18" s="498">
        <f>CRCP_y3</f>
        <v>2015</v>
      </c>
    </row>
    <row r="19" spans="1:13" s="1427" customFormat="1" ht="30" customHeight="1">
      <c r="A19" s="1429"/>
      <c r="B19" s="1611" t="s">
        <v>388</v>
      </c>
      <c r="C19" s="1612"/>
      <c r="D19" s="1612"/>
      <c r="E19" s="1612"/>
      <c r="F19" s="1612"/>
      <c r="G19" s="1619"/>
      <c r="H19" s="1429"/>
      <c r="K19" s="1611"/>
      <c r="L19" s="1612"/>
      <c r="M19" s="1619"/>
    </row>
    <row r="20" spans="1:13" outlineLevel="2">
      <c r="A20" s="798"/>
      <c r="B20" s="850" t="s">
        <v>49</v>
      </c>
      <c r="C20" s="1613">
        <f t="shared" ref="C20:C26" si="0">SUM(C51,C59,C67,C75,C83,C91)</f>
        <v>0</v>
      </c>
      <c r="D20" s="1614">
        <f t="shared" ref="D20:G20" si="1">SUM(D51,D59,D67,D75,D83,D91)</f>
        <v>0</v>
      </c>
      <c r="E20" s="1614">
        <f t="shared" si="1"/>
        <v>0</v>
      </c>
      <c r="F20" s="1614">
        <f t="shared" si="1"/>
        <v>0</v>
      </c>
      <c r="G20" s="1620">
        <f t="shared" si="1"/>
        <v>0</v>
      </c>
      <c r="K20" s="1613">
        <f t="shared" ref="K20:M20" si="2">SUM(K51,K59,K67,K75,K83,K91)</f>
        <v>0</v>
      </c>
      <c r="L20" s="1614">
        <f t="shared" si="2"/>
        <v>0</v>
      </c>
      <c r="M20" s="1620">
        <f t="shared" si="2"/>
        <v>0</v>
      </c>
    </row>
    <row r="21" spans="1:13" ht="15" customHeight="1" outlineLevel="2">
      <c r="A21" s="798"/>
      <c r="B21" s="1615" t="s">
        <v>185</v>
      </c>
      <c r="C21" s="1616">
        <f t="shared" si="0"/>
        <v>0</v>
      </c>
      <c r="D21" s="782">
        <f t="shared" ref="D21:G21" si="3">SUM(D52,D60,D68,D76,D84,D92)</f>
        <v>0</v>
      </c>
      <c r="E21" s="782">
        <f t="shared" si="3"/>
        <v>0</v>
      </c>
      <c r="F21" s="782">
        <f t="shared" si="3"/>
        <v>0</v>
      </c>
      <c r="G21" s="1621">
        <f t="shared" si="3"/>
        <v>0</v>
      </c>
      <c r="K21" s="1616">
        <f t="shared" ref="K21:M21" si="4">SUM(K52,K60,K68,K76,K84,K92)</f>
        <v>0</v>
      </c>
      <c r="L21" s="782">
        <f t="shared" si="4"/>
        <v>0</v>
      </c>
      <c r="M21" s="1621">
        <f t="shared" si="4"/>
        <v>0</v>
      </c>
    </row>
    <row r="22" spans="1:13" ht="15" customHeight="1" outlineLevel="2">
      <c r="A22" s="798"/>
      <c r="B22" s="1615" t="s">
        <v>186</v>
      </c>
      <c r="C22" s="1616">
        <f t="shared" si="0"/>
        <v>0</v>
      </c>
      <c r="D22" s="782">
        <f t="shared" ref="D22:G22" si="5">SUM(D53,D61,D69,D77,D85,D93)</f>
        <v>0</v>
      </c>
      <c r="E22" s="782">
        <f t="shared" si="5"/>
        <v>0</v>
      </c>
      <c r="F22" s="782">
        <f t="shared" si="5"/>
        <v>0</v>
      </c>
      <c r="G22" s="1621">
        <f t="shared" si="5"/>
        <v>0</v>
      </c>
      <c r="K22" s="1616">
        <f t="shared" ref="K22:M22" si="6">SUM(K53,K61,K69,K77,K85,K93)</f>
        <v>0</v>
      </c>
      <c r="L22" s="782">
        <f t="shared" si="6"/>
        <v>0</v>
      </c>
      <c r="M22" s="1621">
        <f t="shared" si="6"/>
        <v>0</v>
      </c>
    </row>
    <row r="23" spans="1:13" ht="15" customHeight="1" outlineLevel="2">
      <c r="A23" s="798"/>
      <c r="B23" s="1615" t="s">
        <v>187</v>
      </c>
      <c r="C23" s="1616">
        <f t="shared" si="0"/>
        <v>0</v>
      </c>
      <c r="D23" s="782">
        <f t="shared" ref="D23:G23" si="7">SUM(D54,D62,D70,D78,D86,D94)</f>
        <v>0</v>
      </c>
      <c r="E23" s="782">
        <f t="shared" si="7"/>
        <v>0</v>
      </c>
      <c r="F23" s="782">
        <f t="shared" si="7"/>
        <v>0</v>
      </c>
      <c r="G23" s="1621">
        <f t="shared" si="7"/>
        <v>0</v>
      </c>
      <c r="K23" s="1616">
        <f t="shared" ref="K23:M23" si="8">SUM(K54,K62,K70,K78,K86,K94)</f>
        <v>0</v>
      </c>
      <c r="L23" s="782">
        <f t="shared" si="8"/>
        <v>0</v>
      </c>
      <c r="M23" s="1621">
        <f t="shared" si="8"/>
        <v>0</v>
      </c>
    </row>
    <row r="24" spans="1:13" ht="15" customHeight="1" outlineLevel="2">
      <c r="A24" s="798"/>
      <c r="B24" s="1615" t="s">
        <v>188</v>
      </c>
      <c r="C24" s="1616">
        <f t="shared" si="0"/>
        <v>0</v>
      </c>
      <c r="D24" s="782">
        <f t="shared" ref="D24:G24" si="9">SUM(D55,D63,D71,D79,D87,D95)</f>
        <v>0</v>
      </c>
      <c r="E24" s="782">
        <f t="shared" si="9"/>
        <v>0</v>
      </c>
      <c r="F24" s="782">
        <f t="shared" si="9"/>
        <v>0</v>
      </c>
      <c r="G24" s="1621">
        <f t="shared" si="9"/>
        <v>0</v>
      </c>
      <c r="K24" s="1616">
        <f t="shared" ref="K24:M24" si="10">SUM(K55,K63,K71,K79,K87,K95)</f>
        <v>0</v>
      </c>
      <c r="L24" s="782">
        <f t="shared" si="10"/>
        <v>0</v>
      </c>
      <c r="M24" s="1621">
        <f t="shared" si="10"/>
        <v>0</v>
      </c>
    </row>
    <row r="25" spans="1:13" outlineLevel="2">
      <c r="A25" s="798"/>
      <c r="B25" s="1615" t="s">
        <v>50</v>
      </c>
      <c r="C25" s="1616">
        <f t="shared" si="0"/>
        <v>0</v>
      </c>
      <c r="D25" s="782">
        <f t="shared" ref="D25:G25" si="11">SUM(D56,D64,D72,D80,D88,D96)</f>
        <v>0</v>
      </c>
      <c r="E25" s="782">
        <f t="shared" si="11"/>
        <v>0</v>
      </c>
      <c r="F25" s="782">
        <f t="shared" si="11"/>
        <v>0</v>
      </c>
      <c r="G25" s="1621">
        <f t="shared" si="11"/>
        <v>0</v>
      </c>
      <c r="K25" s="1616">
        <f t="shared" ref="K25:M25" si="12">SUM(K56,K64,K72,K80,K88,K96)</f>
        <v>0</v>
      </c>
      <c r="L25" s="782">
        <f t="shared" si="12"/>
        <v>0</v>
      </c>
      <c r="M25" s="1621">
        <f t="shared" si="12"/>
        <v>0</v>
      </c>
    </row>
    <row r="26" spans="1:13" outlineLevel="2">
      <c r="A26" s="798"/>
      <c r="B26" s="1568" t="s">
        <v>51</v>
      </c>
      <c r="C26" s="1616">
        <f t="shared" si="0"/>
        <v>0</v>
      </c>
      <c r="D26" s="782">
        <f t="shared" ref="D26:G26" si="13">SUM(D57,D65,D73,D81,D89,D97)</f>
        <v>0</v>
      </c>
      <c r="E26" s="782">
        <f t="shared" si="13"/>
        <v>0</v>
      </c>
      <c r="F26" s="782">
        <f t="shared" si="13"/>
        <v>0</v>
      </c>
      <c r="G26" s="1621">
        <f t="shared" si="13"/>
        <v>0</v>
      </c>
      <c r="K26" s="1616">
        <f t="shared" ref="K26:M26" si="14">SUM(K57,K65,K73,K81,K89,K97)</f>
        <v>0</v>
      </c>
      <c r="L26" s="782">
        <f t="shared" si="14"/>
        <v>0</v>
      </c>
      <c r="M26" s="1621">
        <f t="shared" si="14"/>
        <v>0</v>
      </c>
    </row>
    <row r="27" spans="1:13" ht="13.5" outlineLevel="1" thickBot="1">
      <c r="A27" s="798"/>
      <c r="B27" s="1583" t="s">
        <v>52</v>
      </c>
      <c r="C27" s="1617">
        <f>SUM(C21:C25)</f>
        <v>0</v>
      </c>
      <c r="D27" s="826">
        <f t="shared" ref="D27:G27" si="15">SUM(D21:D25)</f>
        <v>0</v>
      </c>
      <c r="E27" s="826">
        <f t="shared" si="15"/>
        <v>0</v>
      </c>
      <c r="F27" s="826">
        <f t="shared" si="15"/>
        <v>0</v>
      </c>
      <c r="G27" s="1622">
        <f t="shared" si="15"/>
        <v>0</v>
      </c>
      <c r="K27" s="2256">
        <f t="shared" ref="K27:M27" si="16">SUM(K21:K25)</f>
        <v>0</v>
      </c>
      <c r="L27" s="826">
        <f t="shared" si="16"/>
        <v>0</v>
      </c>
      <c r="M27" s="1622">
        <f t="shared" si="16"/>
        <v>0</v>
      </c>
    </row>
    <row r="28" spans="1:13" s="1427" customFormat="1" ht="30" customHeight="1">
      <c r="A28" s="1429"/>
      <c r="B28" s="1611" t="s">
        <v>544</v>
      </c>
      <c r="C28" s="1612"/>
      <c r="D28" s="1612"/>
      <c r="E28" s="1612"/>
      <c r="F28" s="1612"/>
      <c r="G28" s="1619"/>
      <c r="H28" s="1429"/>
      <c r="K28" s="1611"/>
      <c r="L28" s="1612"/>
      <c r="M28" s="1619"/>
    </row>
    <row r="29" spans="1:13" outlineLevel="1">
      <c r="A29" s="798"/>
      <c r="B29" s="1618" t="s">
        <v>389</v>
      </c>
      <c r="C29" s="1616">
        <f>SUM(C21,C23)</f>
        <v>0</v>
      </c>
      <c r="D29" s="782">
        <f t="shared" ref="D29:G29" si="17">SUM(D21,D23)</f>
        <v>0</v>
      </c>
      <c r="E29" s="782">
        <f t="shared" si="17"/>
        <v>0</v>
      </c>
      <c r="F29" s="782">
        <f t="shared" si="17"/>
        <v>0</v>
      </c>
      <c r="G29" s="1621">
        <f t="shared" si="17"/>
        <v>0</v>
      </c>
      <c r="K29" s="1616">
        <f t="shared" ref="K29:M29" si="18">SUM(K21,K23)</f>
        <v>0</v>
      </c>
      <c r="L29" s="782">
        <f t="shared" si="18"/>
        <v>0</v>
      </c>
      <c r="M29" s="1621">
        <f t="shared" si="18"/>
        <v>0</v>
      </c>
    </row>
    <row r="30" spans="1:13" ht="13.5" outlineLevel="1" thickBot="1">
      <c r="A30" s="798"/>
      <c r="B30" s="1071" t="s">
        <v>38</v>
      </c>
      <c r="C30" s="1616">
        <f t="shared" ref="C30:G30" si="19">SUM(C22,C24)</f>
        <v>0</v>
      </c>
      <c r="D30" s="782">
        <f t="shared" si="19"/>
        <v>0</v>
      </c>
      <c r="E30" s="782">
        <f t="shared" si="19"/>
        <v>0</v>
      </c>
      <c r="F30" s="782">
        <f t="shared" si="19"/>
        <v>0</v>
      </c>
      <c r="G30" s="1621">
        <f t="shared" si="19"/>
        <v>0</v>
      </c>
      <c r="K30" s="1616">
        <f t="shared" ref="K30:M30" si="20">SUM(K22,K24)</f>
        <v>0</v>
      </c>
      <c r="L30" s="782">
        <f t="shared" si="20"/>
        <v>0</v>
      </c>
      <c r="M30" s="1621">
        <f t="shared" si="20"/>
        <v>0</v>
      </c>
    </row>
    <row r="31" spans="1:13" s="1427" customFormat="1" ht="30" customHeight="1">
      <c r="A31" s="1429"/>
      <c r="B31" s="1611" t="s">
        <v>546</v>
      </c>
      <c r="C31" s="1612"/>
      <c r="D31" s="1612"/>
      <c r="E31" s="1612"/>
      <c r="F31" s="1612"/>
      <c r="G31" s="1619"/>
      <c r="H31" s="1429"/>
      <c r="K31" s="1611"/>
      <c r="L31" s="1612"/>
      <c r="M31" s="1619"/>
    </row>
    <row r="32" spans="1:13" outlineLevel="2">
      <c r="A32" s="798"/>
      <c r="B32" s="1628" t="str">
        <f>'17. Gross Capex '!B21</f>
        <v>Transmission pipelines</v>
      </c>
      <c r="C32" s="851"/>
      <c r="D32" s="852"/>
      <c r="E32" s="852"/>
      <c r="F32" s="852"/>
      <c r="G32" s="1623"/>
      <c r="K32" s="2257"/>
      <c r="L32" s="2258"/>
      <c r="M32" s="2270"/>
    </row>
    <row r="33" spans="1:29" outlineLevel="2">
      <c r="A33" s="798"/>
      <c r="B33" s="1625" t="str">
        <f>'17. Gross Capex '!B22</f>
        <v>Distribution pipelines</v>
      </c>
      <c r="C33" s="828"/>
      <c r="D33" s="824"/>
      <c r="E33" s="824"/>
      <c r="F33" s="824"/>
      <c r="G33" s="1624"/>
      <c r="K33" s="2259"/>
      <c r="L33" s="2260"/>
      <c r="M33" s="2269"/>
    </row>
    <row r="34" spans="1:29" ht="15" customHeight="1" outlineLevel="2">
      <c r="A34" s="798"/>
      <c r="B34" s="1625" t="str">
        <f>'17. Gross Capex '!B23</f>
        <v>Service pipes</v>
      </c>
      <c r="C34" s="828"/>
      <c r="D34" s="824"/>
      <c r="E34" s="824"/>
      <c r="F34" s="824"/>
      <c r="G34" s="1624"/>
      <c r="K34" s="2259"/>
      <c r="L34" s="2260"/>
      <c r="M34" s="2269"/>
    </row>
    <row r="35" spans="1:29" outlineLevel="2">
      <c r="A35" s="798"/>
      <c r="B35" s="1625" t="str">
        <f>'17. Gross Capex '!B24</f>
        <v>Cathodic protection</v>
      </c>
      <c r="C35" s="828"/>
      <c r="D35" s="824"/>
      <c r="E35" s="824"/>
      <c r="F35" s="824"/>
      <c r="G35" s="1624"/>
      <c r="K35" s="2259"/>
      <c r="L35" s="2260"/>
      <c r="M35" s="2269"/>
    </row>
    <row r="36" spans="1:29" outlineLevel="2">
      <c r="A36" s="798"/>
      <c r="B36" s="1625" t="str">
        <f>'17. Gross Capex '!B25</f>
        <v>Supply regulators/Valve stations</v>
      </c>
      <c r="C36" s="828"/>
      <c r="D36" s="824"/>
      <c r="E36" s="824"/>
      <c r="F36" s="824"/>
      <c r="G36" s="1624"/>
      <c r="K36" s="2259"/>
      <c r="L36" s="2260"/>
      <c r="M36" s="2269"/>
    </row>
    <row r="37" spans="1:29" outlineLevel="2">
      <c r="A37" s="798"/>
      <c r="B37" s="1625" t="str">
        <f>'17. Gross Capex '!B26</f>
        <v>Meters</v>
      </c>
      <c r="C37" s="828"/>
      <c r="D37" s="824"/>
      <c r="E37" s="824"/>
      <c r="F37" s="824"/>
      <c r="G37" s="1624"/>
      <c r="K37" s="2259"/>
      <c r="L37" s="2260"/>
      <c r="M37" s="2269"/>
    </row>
    <row r="38" spans="1:29" outlineLevel="2">
      <c r="A38" s="798"/>
      <c r="B38" s="1630" t="str">
        <f>'17. Gross Capex '!B27</f>
        <v>SCADA and remote control</v>
      </c>
      <c r="C38" s="1627"/>
      <c r="D38" s="1629"/>
      <c r="E38" s="1629"/>
      <c r="F38" s="1629"/>
      <c r="G38" s="1626"/>
      <c r="K38" s="2261"/>
      <c r="L38" s="2262"/>
      <c r="M38" s="2271"/>
    </row>
    <row r="39" spans="1:29" outlineLevel="2">
      <c r="A39" s="798"/>
      <c r="B39" s="1628" t="str">
        <f>'17. Gross Capex '!B28</f>
        <v>Buildings</v>
      </c>
      <c r="C39" s="851"/>
      <c r="D39" s="852"/>
      <c r="E39" s="852"/>
      <c r="F39" s="852"/>
      <c r="G39" s="1623"/>
      <c r="K39" s="2257"/>
      <c r="L39" s="2258"/>
      <c r="M39" s="2270"/>
    </row>
    <row r="40" spans="1:29" outlineLevel="2">
      <c r="A40" s="798"/>
      <c r="B40" s="1625" t="str">
        <f>'17. Gross Capex '!B29</f>
        <v>Other - IT</v>
      </c>
      <c r="C40" s="828"/>
      <c r="D40" s="824"/>
      <c r="E40" s="824"/>
      <c r="F40" s="824"/>
      <c r="G40" s="1624"/>
      <c r="K40" s="2259"/>
      <c r="L40" s="2260"/>
      <c r="M40" s="2269"/>
    </row>
    <row r="41" spans="1:29" outlineLevel="2">
      <c r="A41" s="798"/>
      <c r="B41" s="1625" t="str">
        <f>'17. Gross Capex '!B30</f>
        <v>Other - Non IT</v>
      </c>
      <c r="C41" s="828"/>
      <c r="D41" s="824"/>
      <c r="E41" s="824"/>
      <c r="F41" s="824"/>
      <c r="G41" s="1624"/>
      <c r="K41" s="2259"/>
      <c r="L41" s="2260"/>
      <c r="M41" s="2269"/>
    </row>
    <row r="42" spans="1:29" ht="13.5" outlineLevel="2" thickBot="1">
      <c r="A42" s="798"/>
      <c r="B42" s="1625" t="str">
        <f>'17. Gross Capex '!B31</f>
        <v>Land</v>
      </c>
      <c r="C42" s="828"/>
      <c r="D42" s="824"/>
      <c r="E42" s="824"/>
      <c r="F42" s="824"/>
      <c r="G42" s="1624"/>
      <c r="K42" s="2259"/>
      <c r="L42" s="2260"/>
      <c r="M42" s="2269"/>
    </row>
    <row r="43" spans="1:29" s="70" customFormat="1" ht="33.75" customHeight="1" outlineLevel="1" thickBot="1">
      <c r="A43" s="360"/>
      <c r="B43" s="1711" t="s">
        <v>125</v>
      </c>
      <c r="C43" s="748"/>
      <c r="D43" s="310"/>
      <c r="E43" s="310"/>
      <c r="F43" s="310"/>
      <c r="G43" s="458"/>
      <c r="H43"/>
      <c r="I43"/>
      <c r="J43"/>
      <c r="K43" s="2135"/>
      <c r="L43" s="2116"/>
      <c r="M43" s="2119"/>
      <c r="N43"/>
      <c r="O43"/>
      <c r="P43"/>
      <c r="Q43"/>
      <c r="R43"/>
      <c r="S43"/>
      <c r="T43"/>
      <c r="U43"/>
      <c r="V43"/>
      <c r="W43"/>
      <c r="X43"/>
      <c r="Y43"/>
      <c r="Z43"/>
      <c r="AA43"/>
      <c r="AB43"/>
      <c r="AC43"/>
    </row>
    <row r="44" spans="1:29" ht="42" customHeight="1" thickBot="1">
      <c r="A44" s="798"/>
      <c r="B44" s="861"/>
      <c r="C44" s="861"/>
      <c r="D44" s="861"/>
      <c r="E44" s="861"/>
      <c r="F44" s="861"/>
      <c r="G44" s="861"/>
      <c r="K44" s="861"/>
      <c r="L44" s="861"/>
      <c r="M44" s="861"/>
    </row>
    <row r="45" spans="1:29" s="97" customFormat="1" ht="18.75" thickBot="1">
      <c r="A45" s="798"/>
      <c r="B45" s="856" t="s">
        <v>387</v>
      </c>
      <c r="C45" s="857"/>
      <c r="D45" s="857"/>
      <c r="E45" s="857"/>
      <c r="F45" s="857"/>
      <c r="G45" s="857"/>
      <c r="H45"/>
      <c r="I45"/>
      <c r="J45"/>
      <c r="K45" s="2245"/>
      <c r="L45" s="857"/>
      <c r="M45" s="1603"/>
      <c r="N45"/>
      <c r="O45"/>
      <c r="P45"/>
      <c r="Q45"/>
      <c r="R45"/>
      <c r="S45"/>
      <c r="T45"/>
      <c r="U45"/>
      <c r="V45"/>
      <c r="W45"/>
      <c r="X45"/>
      <c r="Y45"/>
      <c r="Z45"/>
      <c r="AA45"/>
      <c r="AB45"/>
      <c r="AC45"/>
    </row>
    <row r="46" spans="1:29" ht="15.75" customHeight="1">
      <c r="A46" s="798"/>
      <c r="B46" s="768"/>
      <c r="C46" s="3916" t="s">
        <v>37</v>
      </c>
      <c r="D46" s="3917"/>
      <c r="E46" s="3917"/>
      <c r="F46" s="3917"/>
      <c r="G46" s="3917"/>
      <c r="K46" s="3920" t="s">
        <v>37</v>
      </c>
      <c r="L46" s="3917"/>
      <c r="M46" s="3918"/>
    </row>
    <row r="47" spans="1:29" ht="15" customHeight="1">
      <c r="A47" s="798"/>
      <c r="B47" s="585"/>
      <c r="C47" s="3911" t="s">
        <v>579</v>
      </c>
      <c r="D47" s="3912"/>
      <c r="E47" s="3913"/>
      <c r="F47" s="3914" t="str">
        <f>CONCATENATE("$0's, real ",dms_DollarReal)</f>
        <v>$0's, real December 2017</v>
      </c>
      <c r="G47" s="3915"/>
      <c r="K47" s="3911" t="str">
        <f>CONCATENATE("$0's, real ",dms_DollarReal)</f>
        <v>$0's, real December 2017</v>
      </c>
      <c r="L47" s="3912"/>
      <c r="M47" s="3921"/>
    </row>
    <row r="48" spans="1:29" ht="12.75" customHeight="1">
      <c r="A48" s="798"/>
      <c r="B48" s="585"/>
      <c r="C48" s="3911" t="s">
        <v>54</v>
      </c>
      <c r="D48" s="3912"/>
      <c r="E48" s="3913"/>
      <c r="F48" s="3914" t="s">
        <v>55</v>
      </c>
      <c r="G48" s="3915"/>
      <c r="K48" s="3911" t="s">
        <v>54</v>
      </c>
      <c r="L48" s="3912"/>
      <c r="M48" s="3921"/>
    </row>
    <row r="49" spans="1:29" ht="15.75" outlineLevel="1" thickBot="1">
      <c r="A49" s="798"/>
      <c r="B49" s="586"/>
      <c r="C49" s="391">
        <f>CRCP_y1</f>
        <v>2013</v>
      </c>
      <c r="D49" s="390">
        <f>CRCP_y2</f>
        <v>2014</v>
      </c>
      <c r="E49" s="390">
        <f>CRCP_y3</f>
        <v>2015</v>
      </c>
      <c r="F49" s="390">
        <f>CRCP_y4</f>
        <v>2016</v>
      </c>
      <c r="G49" s="390">
        <f>CRCP_y5</f>
        <v>2017</v>
      </c>
      <c r="K49" s="1789">
        <f>CRCP_y1</f>
        <v>2013</v>
      </c>
      <c r="L49" s="390">
        <f>CRCP_y2</f>
        <v>2014</v>
      </c>
      <c r="M49" s="498">
        <f>CRCP_y3</f>
        <v>2015</v>
      </c>
    </row>
    <row r="50" spans="1:29" s="97" customFormat="1" ht="24.75" customHeight="1" outlineLevel="1">
      <c r="A50" s="798"/>
      <c r="B50" s="853" t="s">
        <v>390</v>
      </c>
      <c r="C50" s="854"/>
      <c r="D50" s="855"/>
      <c r="E50" s="855"/>
      <c r="F50" s="855"/>
      <c r="G50" s="855"/>
      <c r="H50"/>
      <c r="I50"/>
      <c r="J50"/>
      <c r="K50" s="2263"/>
      <c r="L50" s="855"/>
      <c r="M50" s="2264"/>
      <c r="N50"/>
      <c r="O50"/>
      <c r="P50"/>
      <c r="Q50"/>
      <c r="R50"/>
      <c r="S50"/>
      <c r="T50"/>
      <c r="U50"/>
      <c r="V50"/>
      <c r="W50"/>
      <c r="X50"/>
      <c r="Y50"/>
      <c r="Z50"/>
      <c r="AA50"/>
      <c r="AB50"/>
      <c r="AC50"/>
    </row>
    <row r="51" spans="1:29" ht="12.75" customHeight="1" outlineLevel="2">
      <c r="A51" s="798"/>
      <c r="B51" s="806" t="s">
        <v>49</v>
      </c>
      <c r="C51" s="824"/>
      <c r="D51" s="849">
        <f>C57</f>
        <v>0</v>
      </c>
      <c r="E51" s="849">
        <f>C57</f>
        <v>0</v>
      </c>
      <c r="F51" s="849">
        <f>D57</f>
        <v>0</v>
      </c>
      <c r="G51" s="849">
        <f>F57</f>
        <v>0</v>
      </c>
      <c r="K51" s="2259"/>
      <c r="L51" s="2267">
        <f>K57</f>
        <v>0</v>
      </c>
      <c r="M51" s="2268">
        <f>K57</f>
        <v>0</v>
      </c>
    </row>
    <row r="52" spans="1:29" ht="15" customHeight="1" outlineLevel="2">
      <c r="A52" s="798"/>
      <c r="B52" s="825" t="s">
        <v>185</v>
      </c>
      <c r="C52" s="824"/>
      <c r="D52" s="824"/>
      <c r="E52" s="824"/>
      <c r="F52" s="824"/>
      <c r="G52" s="824"/>
      <c r="K52" s="2259"/>
      <c r="L52" s="2260"/>
      <c r="M52" s="2269"/>
    </row>
    <row r="53" spans="1:29" ht="15" customHeight="1" outlineLevel="2">
      <c r="A53" s="798"/>
      <c r="B53" s="825" t="s">
        <v>186</v>
      </c>
      <c r="C53" s="824"/>
      <c r="D53" s="824"/>
      <c r="E53" s="824"/>
      <c r="F53" s="824"/>
      <c r="G53" s="824"/>
      <c r="K53" s="2259"/>
      <c r="L53" s="2260"/>
      <c r="M53" s="2269"/>
    </row>
    <row r="54" spans="1:29" ht="15" customHeight="1" outlineLevel="2">
      <c r="A54" s="798"/>
      <c r="B54" s="825" t="s">
        <v>187</v>
      </c>
      <c r="C54" s="824"/>
      <c r="D54" s="824"/>
      <c r="E54" s="824"/>
      <c r="F54" s="824"/>
      <c r="G54" s="824"/>
      <c r="K54" s="2259"/>
      <c r="L54" s="2260"/>
      <c r="M54" s="2269"/>
    </row>
    <row r="55" spans="1:29" ht="15" customHeight="1" outlineLevel="2">
      <c r="A55" s="798"/>
      <c r="B55" s="825" t="s">
        <v>188</v>
      </c>
      <c r="C55" s="824"/>
      <c r="D55" s="824"/>
      <c r="E55" s="824"/>
      <c r="F55" s="824"/>
      <c r="G55" s="824"/>
      <c r="K55" s="2259"/>
      <c r="L55" s="2260"/>
      <c r="M55" s="2269"/>
    </row>
    <row r="56" spans="1:29" outlineLevel="2">
      <c r="A56" s="798"/>
      <c r="B56" s="825" t="s">
        <v>50</v>
      </c>
      <c r="C56" s="824"/>
      <c r="D56" s="824"/>
      <c r="E56" s="824"/>
      <c r="F56" s="824"/>
      <c r="G56" s="824"/>
      <c r="K56" s="2259"/>
      <c r="L56" s="2260"/>
      <c r="M56" s="2269"/>
    </row>
    <row r="57" spans="1:29" s="1019" customFormat="1" ht="13.5" outlineLevel="1" thickBot="1">
      <c r="A57" s="1018"/>
      <c r="B57" s="1859" t="s">
        <v>51</v>
      </c>
      <c r="C57" s="1860">
        <f t="shared" ref="C57:G57" si="21">C51+SUM(C52:C56)</f>
        <v>0</v>
      </c>
      <c r="D57" s="1860">
        <f t="shared" si="21"/>
        <v>0</v>
      </c>
      <c r="E57" s="1860">
        <f t="shared" si="21"/>
        <v>0</v>
      </c>
      <c r="F57" s="1860">
        <f t="shared" si="21"/>
        <v>0</v>
      </c>
      <c r="G57" s="1860">
        <f t="shared" si="21"/>
        <v>0</v>
      </c>
      <c r="K57" s="2265">
        <f t="shared" ref="K57:M57" si="22">K51+SUM(K52:K56)</f>
        <v>0</v>
      </c>
      <c r="L57" s="1860">
        <f t="shared" si="22"/>
        <v>0</v>
      </c>
      <c r="M57" s="2266">
        <f t="shared" si="22"/>
        <v>0</v>
      </c>
    </row>
    <row r="58" spans="1:29" s="97" customFormat="1" ht="24.75" customHeight="1" outlineLevel="1">
      <c r="A58" s="798"/>
      <c r="B58" s="853" t="s">
        <v>390</v>
      </c>
      <c r="C58" s="854"/>
      <c r="D58" s="855"/>
      <c r="E58" s="855"/>
      <c r="F58" s="855"/>
      <c r="G58" s="855"/>
      <c r="H58"/>
      <c r="I58"/>
      <c r="J58"/>
      <c r="K58" s="2263"/>
      <c r="L58" s="855"/>
      <c r="M58" s="2264"/>
      <c r="N58"/>
      <c r="O58"/>
      <c r="P58"/>
      <c r="Q58"/>
      <c r="R58"/>
      <c r="S58"/>
      <c r="T58"/>
      <c r="U58"/>
      <c r="V58"/>
      <c r="W58"/>
      <c r="X58"/>
      <c r="Y58"/>
      <c r="Z58"/>
      <c r="AA58"/>
      <c r="AB58"/>
      <c r="AC58"/>
    </row>
    <row r="59" spans="1:29" ht="12.75" customHeight="1" outlineLevel="2">
      <c r="A59" s="798"/>
      <c r="B59" s="806" t="s">
        <v>49</v>
      </c>
      <c r="C59" s="824"/>
      <c r="D59" s="849">
        <f>C65</f>
        <v>0</v>
      </c>
      <c r="E59" s="849">
        <f>C65</f>
        <v>0</v>
      </c>
      <c r="F59" s="849">
        <f>D65</f>
        <v>0</v>
      </c>
      <c r="G59" s="849">
        <f>F65</f>
        <v>0</v>
      </c>
      <c r="K59" s="2259"/>
      <c r="L59" s="2267">
        <f>K65</f>
        <v>0</v>
      </c>
      <c r="M59" s="2268">
        <f>K65</f>
        <v>0</v>
      </c>
    </row>
    <row r="60" spans="1:29" ht="15" customHeight="1" outlineLevel="2">
      <c r="A60" s="798"/>
      <c r="B60" s="825" t="s">
        <v>185</v>
      </c>
      <c r="C60" s="824"/>
      <c r="D60" s="824"/>
      <c r="E60" s="824"/>
      <c r="F60" s="824"/>
      <c r="G60" s="824"/>
      <c r="K60" s="2259"/>
      <c r="L60" s="2260"/>
      <c r="M60" s="2269"/>
    </row>
    <row r="61" spans="1:29" ht="15" customHeight="1" outlineLevel="2">
      <c r="A61" s="798"/>
      <c r="B61" s="825" t="s">
        <v>186</v>
      </c>
      <c r="C61" s="824"/>
      <c r="D61" s="824"/>
      <c r="E61" s="824"/>
      <c r="F61" s="824"/>
      <c r="G61" s="824"/>
      <c r="K61" s="2259"/>
      <c r="L61" s="2260"/>
      <c r="M61" s="2269"/>
    </row>
    <row r="62" spans="1:29" ht="15" customHeight="1" outlineLevel="2">
      <c r="A62" s="798"/>
      <c r="B62" s="825" t="s">
        <v>187</v>
      </c>
      <c r="C62" s="824"/>
      <c r="D62" s="824"/>
      <c r="E62" s="824"/>
      <c r="F62" s="824"/>
      <c r="G62" s="824"/>
      <c r="K62" s="2259"/>
      <c r="L62" s="2260"/>
      <c r="M62" s="2269"/>
    </row>
    <row r="63" spans="1:29" ht="15" customHeight="1" outlineLevel="2">
      <c r="A63" s="798"/>
      <c r="B63" s="825" t="s">
        <v>188</v>
      </c>
      <c r="C63" s="824"/>
      <c r="D63" s="824"/>
      <c r="E63" s="824"/>
      <c r="F63" s="824"/>
      <c r="G63" s="824"/>
      <c r="K63" s="2259"/>
      <c r="L63" s="2260"/>
      <c r="M63" s="2269"/>
    </row>
    <row r="64" spans="1:29" outlineLevel="2">
      <c r="A64" s="798"/>
      <c r="B64" s="825" t="s">
        <v>50</v>
      </c>
      <c r="C64" s="824"/>
      <c r="D64" s="824"/>
      <c r="E64" s="824"/>
      <c r="F64" s="824"/>
      <c r="G64" s="824"/>
      <c r="K64" s="2259"/>
      <c r="L64" s="2260"/>
      <c r="M64" s="2269"/>
    </row>
    <row r="65" spans="1:29" s="1019" customFormat="1" ht="13.5" outlineLevel="1" thickBot="1">
      <c r="A65" s="1018"/>
      <c r="B65" s="1859" t="s">
        <v>51</v>
      </c>
      <c r="C65" s="1860">
        <f t="shared" ref="C65:G65" si="23">C59+SUM(C60:C64)</f>
        <v>0</v>
      </c>
      <c r="D65" s="1860">
        <f t="shared" si="23"/>
        <v>0</v>
      </c>
      <c r="E65" s="1860">
        <f t="shared" si="23"/>
        <v>0</v>
      </c>
      <c r="F65" s="1860">
        <f t="shared" si="23"/>
        <v>0</v>
      </c>
      <c r="G65" s="1860">
        <f t="shared" si="23"/>
        <v>0</v>
      </c>
      <c r="K65" s="2265">
        <f t="shared" ref="K65:M65" si="24">K59+SUM(K60:K64)</f>
        <v>0</v>
      </c>
      <c r="L65" s="1860">
        <f t="shared" si="24"/>
        <v>0</v>
      </c>
      <c r="M65" s="2266">
        <f t="shared" si="24"/>
        <v>0</v>
      </c>
    </row>
    <row r="66" spans="1:29" s="97" customFormat="1" ht="24.75" customHeight="1" outlineLevel="1">
      <c r="A66" s="798"/>
      <c r="B66" s="853" t="s">
        <v>390</v>
      </c>
      <c r="C66" s="854"/>
      <c r="D66" s="855"/>
      <c r="E66" s="855"/>
      <c r="F66" s="855"/>
      <c r="G66" s="855"/>
      <c r="H66"/>
      <c r="I66"/>
      <c r="J66"/>
      <c r="K66" s="2263"/>
      <c r="L66" s="855"/>
      <c r="M66" s="2264"/>
      <c r="N66"/>
      <c r="O66"/>
      <c r="P66"/>
      <c r="Q66"/>
      <c r="R66"/>
      <c r="S66"/>
      <c r="T66"/>
      <c r="U66"/>
      <c r="V66"/>
      <c r="W66"/>
      <c r="X66"/>
      <c r="Y66"/>
      <c r="Z66"/>
      <c r="AA66"/>
      <c r="AB66"/>
      <c r="AC66"/>
    </row>
    <row r="67" spans="1:29" ht="12.75" customHeight="1" outlineLevel="2">
      <c r="A67" s="798"/>
      <c r="B67" s="806" t="s">
        <v>49</v>
      </c>
      <c r="C67" s="824"/>
      <c r="D67" s="849">
        <f>C73</f>
        <v>0</v>
      </c>
      <c r="E67" s="849">
        <f>C73</f>
        <v>0</v>
      </c>
      <c r="F67" s="849">
        <f>D73</f>
        <v>0</v>
      </c>
      <c r="G67" s="849">
        <f>F73</f>
        <v>0</v>
      </c>
      <c r="K67" s="2259"/>
      <c r="L67" s="2267">
        <f>K73</f>
        <v>0</v>
      </c>
      <c r="M67" s="2268">
        <f>K73</f>
        <v>0</v>
      </c>
    </row>
    <row r="68" spans="1:29" ht="15" customHeight="1" outlineLevel="2">
      <c r="A68" s="798"/>
      <c r="B68" s="825" t="s">
        <v>185</v>
      </c>
      <c r="C68" s="824"/>
      <c r="D68" s="824"/>
      <c r="E68" s="824"/>
      <c r="F68" s="824"/>
      <c r="G68" s="824"/>
      <c r="K68" s="2259"/>
      <c r="L68" s="2260"/>
      <c r="M68" s="2269"/>
    </row>
    <row r="69" spans="1:29" ht="15" customHeight="1" outlineLevel="2">
      <c r="A69" s="798"/>
      <c r="B69" s="825" t="s">
        <v>186</v>
      </c>
      <c r="C69" s="824"/>
      <c r="D69" s="824"/>
      <c r="E69" s="824"/>
      <c r="F69" s="824"/>
      <c r="G69" s="824"/>
      <c r="K69" s="2259"/>
      <c r="L69" s="2260"/>
      <c r="M69" s="2269"/>
    </row>
    <row r="70" spans="1:29" ht="15" customHeight="1" outlineLevel="2">
      <c r="A70" s="798"/>
      <c r="B70" s="825" t="s">
        <v>187</v>
      </c>
      <c r="C70" s="824"/>
      <c r="D70" s="824"/>
      <c r="E70" s="824"/>
      <c r="F70" s="824"/>
      <c r="G70" s="824"/>
      <c r="K70" s="2259"/>
      <c r="L70" s="2260"/>
      <c r="M70" s="2269"/>
    </row>
    <row r="71" spans="1:29" ht="15" customHeight="1" outlineLevel="2">
      <c r="A71" s="798"/>
      <c r="B71" s="825" t="s">
        <v>188</v>
      </c>
      <c r="C71" s="824"/>
      <c r="D71" s="824"/>
      <c r="E71" s="824"/>
      <c r="F71" s="824"/>
      <c r="G71" s="824"/>
      <c r="K71" s="2259"/>
      <c r="L71" s="2260"/>
      <c r="M71" s="2269"/>
    </row>
    <row r="72" spans="1:29" outlineLevel="2">
      <c r="A72" s="798"/>
      <c r="B72" s="825" t="s">
        <v>50</v>
      </c>
      <c r="C72" s="824"/>
      <c r="D72" s="824"/>
      <c r="E72" s="824"/>
      <c r="F72" s="824"/>
      <c r="G72" s="824"/>
      <c r="K72" s="2259"/>
      <c r="L72" s="2260"/>
      <c r="M72" s="2269"/>
    </row>
    <row r="73" spans="1:29" s="1019" customFormat="1" ht="13.5" outlineLevel="1" thickBot="1">
      <c r="A73" s="1018"/>
      <c r="B73" s="1859" t="s">
        <v>51</v>
      </c>
      <c r="C73" s="1860">
        <f t="shared" ref="C73:G73" si="25">C67+SUM(C68:C72)</f>
        <v>0</v>
      </c>
      <c r="D73" s="1860">
        <f t="shared" si="25"/>
        <v>0</v>
      </c>
      <c r="E73" s="1860">
        <f t="shared" si="25"/>
        <v>0</v>
      </c>
      <c r="F73" s="1860">
        <f t="shared" si="25"/>
        <v>0</v>
      </c>
      <c r="G73" s="1860">
        <f t="shared" si="25"/>
        <v>0</v>
      </c>
      <c r="K73" s="2265">
        <f t="shared" ref="K73:M73" si="26">K67+SUM(K68:K72)</f>
        <v>0</v>
      </c>
      <c r="L73" s="1860">
        <f t="shared" si="26"/>
        <v>0</v>
      </c>
      <c r="M73" s="2266">
        <f t="shared" si="26"/>
        <v>0</v>
      </c>
    </row>
    <row r="74" spans="1:29" s="97" customFormat="1" ht="24.75" customHeight="1" outlineLevel="1">
      <c r="A74" s="798"/>
      <c r="B74" s="853" t="s">
        <v>390</v>
      </c>
      <c r="C74" s="854"/>
      <c r="D74" s="855"/>
      <c r="E74" s="855"/>
      <c r="F74" s="855"/>
      <c r="G74" s="855"/>
      <c r="H74"/>
      <c r="I74"/>
      <c r="J74"/>
      <c r="K74" s="2263"/>
      <c r="L74" s="855"/>
      <c r="M74" s="2264"/>
      <c r="N74"/>
      <c r="O74"/>
      <c r="P74"/>
      <c r="Q74"/>
      <c r="R74"/>
      <c r="S74"/>
      <c r="T74"/>
      <c r="U74"/>
      <c r="V74"/>
      <c r="W74"/>
      <c r="X74"/>
      <c r="Y74"/>
      <c r="Z74"/>
      <c r="AA74"/>
      <c r="AB74"/>
      <c r="AC74"/>
    </row>
    <row r="75" spans="1:29" ht="12.75" customHeight="1" outlineLevel="2">
      <c r="A75" s="798"/>
      <c r="B75" s="806" t="s">
        <v>49</v>
      </c>
      <c r="C75" s="824"/>
      <c r="D75" s="849">
        <f>C81</f>
        <v>0</v>
      </c>
      <c r="E75" s="849">
        <f>C81</f>
        <v>0</v>
      </c>
      <c r="F75" s="849">
        <f>D81</f>
        <v>0</v>
      </c>
      <c r="G75" s="849">
        <f>F81</f>
        <v>0</v>
      </c>
      <c r="K75" s="2259"/>
      <c r="L75" s="2267">
        <f>K81</f>
        <v>0</v>
      </c>
      <c r="M75" s="2268">
        <f>K81</f>
        <v>0</v>
      </c>
    </row>
    <row r="76" spans="1:29" ht="15" customHeight="1" outlineLevel="2">
      <c r="A76" s="798"/>
      <c r="B76" s="825" t="s">
        <v>185</v>
      </c>
      <c r="C76" s="824"/>
      <c r="D76" s="824"/>
      <c r="E76" s="824"/>
      <c r="F76" s="824"/>
      <c r="G76" s="824"/>
      <c r="K76" s="2259"/>
      <c r="L76" s="2260"/>
      <c r="M76" s="2269"/>
    </row>
    <row r="77" spans="1:29" ht="15" customHeight="1" outlineLevel="2">
      <c r="A77" s="798"/>
      <c r="B77" s="825" t="s">
        <v>186</v>
      </c>
      <c r="C77" s="824"/>
      <c r="D77" s="824"/>
      <c r="E77" s="824"/>
      <c r="F77" s="824"/>
      <c r="G77" s="824"/>
      <c r="K77" s="2259"/>
      <c r="L77" s="2260"/>
      <c r="M77" s="2269"/>
    </row>
    <row r="78" spans="1:29" ht="15" customHeight="1" outlineLevel="2">
      <c r="A78" s="798"/>
      <c r="B78" s="825" t="s">
        <v>187</v>
      </c>
      <c r="C78" s="824"/>
      <c r="D78" s="824"/>
      <c r="E78" s="824"/>
      <c r="F78" s="824"/>
      <c r="G78" s="824"/>
      <c r="K78" s="2259"/>
      <c r="L78" s="2260"/>
      <c r="M78" s="2269"/>
    </row>
    <row r="79" spans="1:29" ht="15" customHeight="1" outlineLevel="2">
      <c r="A79" s="798"/>
      <c r="B79" s="825" t="s">
        <v>188</v>
      </c>
      <c r="C79" s="824"/>
      <c r="D79" s="824"/>
      <c r="E79" s="824"/>
      <c r="F79" s="824"/>
      <c r="G79" s="824"/>
      <c r="K79" s="2259"/>
      <c r="L79" s="2260"/>
      <c r="M79" s="2269"/>
    </row>
    <row r="80" spans="1:29" outlineLevel="2">
      <c r="A80" s="798"/>
      <c r="B80" s="825" t="s">
        <v>50</v>
      </c>
      <c r="C80" s="824"/>
      <c r="D80" s="824"/>
      <c r="E80" s="824"/>
      <c r="F80" s="824"/>
      <c r="G80" s="824"/>
      <c r="K80" s="2259"/>
      <c r="L80" s="2260"/>
      <c r="M80" s="2269"/>
    </row>
    <row r="81" spans="1:29" s="1019" customFormat="1" ht="13.5" outlineLevel="1" thickBot="1">
      <c r="A81" s="1018"/>
      <c r="B81" s="1859" t="s">
        <v>51</v>
      </c>
      <c r="C81" s="1860">
        <f t="shared" ref="C81:G81" si="27">C75+SUM(C76:C80)</f>
        <v>0</v>
      </c>
      <c r="D81" s="1860">
        <f t="shared" si="27"/>
        <v>0</v>
      </c>
      <c r="E81" s="1860">
        <f t="shared" si="27"/>
        <v>0</v>
      </c>
      <c r="F81" s="1860">
        <f t="shared" si="27"/>
        <v>0</v>
      </c>
      <c r="G81" s="1860">
        <f t="shared" si="27"/>
        <v>0</v>
      </c>
      <c r="K81" s="2265">
        <f t="shared" ref="K81:M81" si="28">K75+SUM(K76:K80)</f>
        <v>0</v>
      </c>
      <c r="L81" s="1860">
        <f t="shared" si="28"/>
        <v>0</v>
      </c>
      <c r="M81" s="2266">
        <f t="shared" si="28"/>
        <v>0</v>
      </c>
    </row>
    <row r="82" spans="1:29" s="97" customFormat="1" ht="24.75" customHeight="1" outlineLevel="1">
      <c r="A82" s="798"/>
      <c r="B82" s="853" t="s">
        <v>390</v>
      </c>
      <c r="C82" s="854"/>
      <c r="D82" s="855"/>
      <c r="E82" s="855"/>
      <c r="F82" s="855"/>
      <c r="G82" s="855"/>
      <c r="H82"/>
      <c r="I82"/>
      <c r="J82"/>
      <c r="K82" s="2263"/>
      <c r="L82" s="855"/>
      <c r="M82" s="2264"/>
      <c r="N82"/>
      <c r="O82"/>
      <c r="P82"/>
      <c r="Q82"/>
      <c r="R82"/>
      <c r="S82"/>
      <c r="T82"/>
      <c r="U82"/>
      <c r="V82"/>
      <c r="W82"/>
      <c r="X82"/>
      <c r="Y82"/>
      <c r="Z82"/>
      <c r="AA82"/>
      <c r="AB82"/>
      <c r="AC82"/>
    </row>
    <row r="83" spans="1:29" ht="12.75" customHeight="1" outlineLevel="2">
      <c r="A83" s="798"/>
      <c r="B83" s="806" t="s">
        <v>49</v>
      </c>
      <c r="C83" s="824"/>
      <c r="D83" s="849">
        <f>C89</f>
        <v>0</v>
      </c>
      <c r="E83" s="849">
        <f>C89</f>
        <v>0</v>
      </c>
      <c r="F83" s="849">
        <f>D89</f>
        <v>0</v>
      </c>
      <c r="G83" s="849">
        <f>F89</f>
        <v>0</v>
      </c>
      <c r="K83" s="2259"/>
      <c r="L83" s="2267">
        <f>K89</f>
        <v>0</v>
      </c>
      <c r="M83" s="2268">
        <f>K89</f>
        <v>0</v>
      </c>
    </row>
    <row r="84" spans="1:29" ht="15" customHeight="1" outlineLevel="2">
      <c r="A84" s="798"/>
      <c r="B84" s="825" t="s">
        <v>185</v>
      </c>
      <c r="C84" s="824"/>
      <c r="D84" s="824"/>
      <c r="E84" s="824"/>
      <c r="F84" s="824"/>
      <c r="G84" s="824"/>
      <c r="K84" s="2259"/>
      <c r="L84" s="2260"/>
      <c r="M84" s="2269"/>
    </row>
    <row r="85" spans="1:29" ht="15" customHeight="1" outlineLevel="2">
      <c r="A85" s="798"/>
      <c r="B85" s="825" t="s">
        <v>186</v>
      </c>
      <c r="C85" s="824"/>
      <c r="D85" s="824"/>
      <c r="E85" s="824"/>
      <c r="F85" s="824"/>
      <c r="G85" s="824"/>
      <c r="K85" s="2259"/>
      <c r="L85" s="2260"/>
      <c r="M85" s="2269"/>
    </row>
    <row r="86" spans="1:29" ht="15" customHeight="1" outlineLevel="2">
      <c r="A86" s="798"/>
      <c r="B86" s="825" t="s">
        <v>187</v>
      </c>
      <c r="C86" s="824"/>
      <c r="D86" s="824"/>
      <c r="E86" s="824"/>
      <c r="F86" s="824"/>
      <c r="G86" s="824"/>
      <c r="K86" s="2259"/>
      <c r="L86" s="2260"/>
      <c r="M86" s="2269"/>
    </row>
    <row r="87" spans="1:29" ht="15" customHeight="1" outlineLevel="2">
      <c r="A87" s="798"/>
      <c r="B87" s="825" t="s">
        <v>188</v>
      </c>
      <c r="C87" s="824"/>
      <c r="D87" s="824"/>
      <c r="E87" s="824"/>
      <c r="F87" s="824"/>
      <c r="G87" s="824"/>
      <c r="K87" s="2259"/>
      <c r="L87" s="2260"/>
      <c r="M87" s="2269"/>
    </row>
    <row r="88" spans="1:29" outlineLevel="2">
      <c r="A88" s="798"/>
      <c r="B88" s="825" t="s">
        <v>50</v>
      </c>
      <c r="C88" s="824"/>
      <c r="D88" s="824"/>
      <c r="E88" s="824"/>
      <c r="F88" s="824"/>
      <c r="G88" s="824"/>
      <c r="K88" s="2259"/>
      <c r="L88" s="2260"/>
      <c r="M88" s="2269"/>
    </row>
    <row r="89" spans="1:29" s="1019" customFormat="1" ht="13.5" outlineLevel="1" thickBot="1">
      <c r="A89" s="1018"/>
      <c r="B89" s="1859" t="s">
        <v>51</v>
      </c>
      <c r="C89" s="1860">
        <f t="shared" ref="C89:G89" si="29">C83+SUM(C84:C88)</f>
        <v>0</v>
      </c>
      <c r="D89" s="1860">
        <f t="shared" si="29"/>
        <v>0</v>
      </c>
      <c r="E89" s="1860">
        <f t="shared" si="29"/>
        <v>0</v>
      </c>
      <c r="F89" s="1860">
        <f t="shared" si="29"/>
        <v>0</v>
      </c>
      <c r="G89" s="1860">
        <f t="shared" si="29"/>
        <v>0</v>
      </c>
      <c r="K89" s="2265">
        <f t="shared" ref="K89:M89" si="30">K83+SUM(K84:K88)</f>
        <v>0</v>
      </c>
      <c r="L89" s="1860">
        <f t="shared" si="30"/>
        <v>0</v>
      </c>
      <c r="M89" s="2266">
        <f t="shared" si="30"/>
        <v>0</v>
      </c>
    </row>
    <row r="90" spans="1:29" s="97" customFormat="1" ht="24.75" customHeight="1" outlineLevel="1">
      <c r="A90" s="798"/>
      <c r="B90" s="853" t="s">
        <v>390</v>
      </c>
      <c r="C90" s="854"/>
      <c r="D90" s="855"/>
      <c r="E90" s="855"/>
      <c r="F90" s="855"/>
      <c r="G90" s="855"/>
      <c r="H90"/>
      <c r="I90"/>
      <c r="J90"/>
      <c r="K90" s="2263"/>
      <c r="L90" s="855"/>
      <c r="M90" s="2264"/>
      <c r="N90"/>
      <c r="O90"/>
      <c r="P90"/>
      <c r="Q90"/>
      <c r="R90"/>
      <c r="S90"/>
      <c r="T90"/>
      <c r="U90"/>
      <c r="V90"/>
      <c r="W90"/>
      <c r="X90"/>
      <c r="Y90"/>
      <c r="Z90"/>
      <c r="AA90"/>
      <c r="AB90"/>
      <c r="AC90"/>
    </row>
    <row r="91" spans="1:29" ht="12.75" customHeight="1" outlineLevel="2">
      <c r="A91" s="798"/>
      <c r="B91" s="806" t="s">
        <v>49</v>
      </c>
      <c r="C91" s="824"/>
      <c r="D91" s="849">
        <f>C97</f>
        <v>0</v>
      </c>
      <c r="E91" s="849">
        <f>C97</f>
        <v>0</v>
      </c>
      <c r="F91" s="849">
        <f>D97</f>
        <v>0</v>
      </c>
      <c r="G91" s="849">
        <f>F97</f>
        <v>0</v>
      </c>
      <c r="K91" s="2259"/>
      <c r="L91" s="2267">
        <f>K97</f>
        <v>0</v>
      </c>
      <c r="M91" s="2268">
        <f>K97</f>
        <v>0</v>
      </c>
    </row>
    <row r="92" spans="1:29" ht="15" customHeight="1" outlineLevel="2">
      <c r="A92" s="798"/>
      <c r="B92" s="825" t="s">
        <v>185</v>
      </c>
      <c r="C92" s="824"/>
      <c r="D92" s="824"/>
      <c r="E92" s="824"/>
      <c r="F92" s="824"/>
      <c r="G92" s="824"/>
      <c r="K92" s="2259"/>
      <c r="L92" s="2260"/>
      <c r="M92" s="2269"/>
    </row>
    <row r="93" spans="1:29" ht="15" customHeight="1" outlineLevel="2">
      <c r="A93" s="798"/>
      <c r="B93" s="825" t="s">
        <v>186</v>
      </c>
      <c r="C93" s="824"/>
      <c r="D93" s="824"/>
      <c r="E93" s="824"/>
      <c r="F93" s="824"/>
      <c r="G93" s="824"/>
      <c r="K93" s="2259"/>
      <c r="L93" s="2260"/>
      <c r="M93" s="2269"/>
    </row>
    <row r="94" spans="1:29" ht="15" customHeight="1" outlineLevel="2">
      <c r="A94" s="798"/>
      <c r="B94" s="825" t="s">
        <v>187</v>
      </c>
      <c r="C94" s="824"/>
      <c r="D94" s="824"/>
      <c r="E94" s="824"/>
      <c r="F94" s="824"/>
      <c r="G94" s="824"/>
      <c r="K94" s="2259"/>
      <c r="L94" s="2260"/>
      <c r="M94" s="2269"/>
    </row>
    <row r="95" spans="1:29" ht="15" customHeight="1" outlineLevel="2">
      <c r="A95" s="798"/>
      <c r="B95" s="825" t="s">
        <v>188</v>
      </c>
      <c r="C95" s="824"/>
      <c r="D95" s="824"/>
      <c r="E95" s="824"/>
      <c r="F95" s="824"/>
      <c r="G95" s="824"/>
      <c r="K95" s="2259"/>
      <c r="L95" s="2260"/>
      <c r="M95" s="2269"/>
    </row>
    <row r="96" spans="1:29" outlineLevel="2">
      <c r="A96" s="798"/>
      <c r="B96" s="825" t="s">
        <v>50</v>
      </c>
      <c r="C96" s="824"/>
      <c r="D96" s="824"/>
      <c r="E96" s="824"/>
      <c r="F96" s="824"/>
      <c r="G96" s="824"/>
      <c r="K96" s="2259"/>
      <c r="L96" s="2260"/>
      <c r="M96" s="2269"/>
    </row>
    <row r="97" spans="1:13" s="1019" customFormat="1" ht="13.5" outlineLevel="1" thickBot="1">
      <c r="A97" s="1018"/>
      <c r="B97" s="1859" t="s">
        <v>51</v>
      </c>
      <c r="C97" s="1860">
        <f t="shared" ref="C97:G97" si="31">C91+SUM(C92:C96)</f>
        <v>0</v>
      </c>
      <c r="D97" s="1860">
        <f t="shared" si="31"/>
        <v>0</v>
      </c>
      <c r="E97" s="1860">
        <f t="shared" si="31"/>
        <v>0</v>
      </c>
      <c r="F97" s="1860">
        <f t="shared" si="31"/>
        <v>0</v>
      </c>
      <c r="G97" s="1860">
        <f t="shared" si="31"/>
        <v>0</v>
      </c>
      <c r="K97" s="2265">
        <f t="shared" ref="K97:M97" si="32">K91+SUM(K92:K96)</f>
        <v>0</v>
      </c>
      <c r="L97" s="1860">
        <f t="shared" si="32"/>
        <v>0</v>
      </c>
      <c r="M97" s="2266">
        <f t="shared" si="32"/>
        <v>0</v>
      </c>
    </row>
  </sheetData>
  <mergeCells count="17">
    <mergeCell ref="K46:M46"/>
    <mergeCell ref="K47:M47"/>
    <mergeCell ref="K48:M48"/>
    <mergeCell ref="K15:M15"/>
    <mergeCell ref="K16:M16"/>
    <mergeCell ref="K17:M17"/>
    <mergeCell ref="C47:E47"/>
    <mergeCell ref="F47:G47"/>
    <mergeCell ref="C48:E48"/>
    <mergeCell ref="F48:G48"/>
    <mergeCell ref="B9:F9"/>
    <mergeCell ref="C15:G15"/>
    <mergeCell ref="C46:G46"/>
    <mergeCell ref="F16:G16"/>
    <mergeCell ref="F17:G17"/>
    <mergeCell ref="C16:E16"/>
    <mergeCell ref="C17:E17"/>
  </mergeCells>
  <pageMargins left="0.75" right="0.75" top="1" bottom="1" header="0.5" footer="0.5"/>
  <pageSetup paperSize="9" orientation="portrait" r:id="rId1"/>
  <headerFooter alignWithMargins="0"/>
  <customProperties>
    <customPr name="_pios_id" r:id="rId2"/>
  </customProperti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pageSetUpPr fitToPage="1"/>
  </sheetPr>
  <dimension ref="A1:V60"/>
  <sheetViews>
    <sheetView showGridLines="0" topLeftCell="A19" zoomScaleNormal="100" workbookViewId="0"/>
  </sheetViews>
  <sheetFormatPr defaultColWidth="9.140625" defaultRowHeight="12.75"/>
  <cols>
    <col min="1" max="1" width="41.7109375" style="25" customWidth="1"/>
    <col min="2" max="2" width="8.7109375" style="25" customWidth="1"/>
    <col min="3" max="3" width="5.28515625" style="25" customWidth="1"/>
    <col min="4" max="4" width="19.7109375" style="25" customWidth="1"/>
    <col min="5" max="5" width="15.7109375" style="25" customWidth="1"/>
    <col min="6" max="6" width="5.7109375" style="25" customWidth="1"/>
    <col min="7" max="7" width="15.7109375" style="25" customWidth="1"/>
    <col min="8" max="8" width="20.28515625" style="25" customWidth="1"/>
    <col min="9" max="9" width="15.7109375" style="25" customWidth="1"/>
    <col min="10" max="10" width="5.7109375" style="25" customWidth="1"/>
    <col min="11" max="11" width="15.7109375" style="25" customWidth="1"/>
    <col min="12" max="12" width="19.5703125" style="25" customWidth="1"/>
    <col min="13" max="13" width="8.140625" style="25" customWidth="1"/>
    <col min="14" max="14" width="8.7109375" style="25" customWidth="1"/>
    <col min="15" max="21" width="10.7109375" style="25" customWidth="1"/>
    <col min="22" max="22" width="11.28515625" style="25" customWidth="1"/>
    <col min="23" max="16384" width="9.140625" style="25"/>
  </cols>
  <sheetData>
    <row r="1" spans="1:22">
      <c r="A1" s="1114" t="s">
        <v>75</v>
      </c>
      <c r="B1" s="1114"/>
      <c r="C1" s="1114"/>
      <c r="D1" s="1114"/>
      <c r="E1" s="1114"/>
      <c r="F1" s="1114"/>
      <c r="G1" s="1115"/>
      <c r="H1" s="1115"/>
      <c r="I1" s="1115"/>
      <c r="J1" s="1115"/>
      <c r="K1" s="1115"/>
      <c r="L1" s="1115"/>
      <c r="M1" s="1115"/>
      <c r="N1" s="1115"/>
      <c r="O1" s="1115"/>
      <c r="P1" s="1115"/>
      <c r="Q1" s="27"/>
      <c r="R1" s="27"/>
      <c r="S1" s="27"/>
      <c r="T1" s="27"/>
      <c r="U1" s="27"/>
      <c r="V1" s="27"/>
    </row>
    <row r="2" spans="1:22" ht="13.5" thickBot="1">
      <c r="A2" s="1114"/>
      <c r="B2" s="1114"/>
      <c r="C2" s="1114"/>
      <c r="D2" s="1114"/>
      <c r="E2" s="1114"/>
      <c r="F2" s="1114"/>
      <c r="G2" s="1115"/>
      <c r="H2" s="1115"/>
      <c r="I2" s="1115"/>
      <c r="J2" s="1115"/>
      <c r="K2" s="1115"/>
      <c r="L2" s="1115"/>
      <c r="M2" s="1115"/>
      <c r="N2" s="1115"/>
      <c r="O2" s="1115"/>
      <c r="P2" s="1115"/>
      <c r="Q2" s="27"/>
      <c r="R2" s="27"/>
      <c r="S2" s="27"/>
      <c r="T2" s="27"/>
      <c r="U2" s="27"/>
      <c r="V2" s="27"/>
    </row>
    <row r="3" spans="1:22" ht="11.25" customHeight="1" thickTop="1">
      <c r="A3" s="1114"/>
      <c r="B3" s="28"/>
      <c r="C3" s="29"/>
      <c r="D3" s="29"/>
      <c r="E3" s="29"/>
      <c r="F3" s="29"/>
      <c r="G3" s="29"/>
      <c r="H3" s="29"/>
      <c r="I3" s="29"/>
      <c r="J3" s="29"/>
      <c r="K3" s="29"/>
      <c r="L3" s="29"/>
      <c r="M3" s="29"/>
      <c r="N3" s="30"/>
      <c r="O3" s="1115"/>
      <c r="P3" s="1115"/>
      <c r="Q3" s="27"/>
      <c r="R3" s="27"/>
      <c r="S3" s="27"/>
      <c r="T3" s="27"/>
      <c r="U3" s="27"/>
      <c r="V3" s="27"/>
    </row>
    <row r="4" spans="1:22" ht="26.25">
      <c r="A4" s="1114"/>
      <c r="B4" s="31"/>
      <c r="C4" s="829"/>
      <c r="D4" s="829"/>
      <c r="E4" s="829"/>
      <c r="F4" s="829"/>
      <c r="G4" s="829"/>
      <c r="H4" s="829" t="s">
        <v>78</v>
      </c>
      <c r="I4" s="829"/>
      <c r="J4" s="829"/>
      <c r="K4" s="829"/>
      <c r="L4" s="829"/>
      <c r="M4" s="32"/>
      <c r="N4" s="33"/>
      <c r="O4" s="1116"/>
      <c r="P4" s="1116"/>
      <c r="Q4" s="34"/>
      <c r="R4" s="34"/>
      <c r="S4" s="34"/>
      <c r="T4" s="34"/>
      <c r="U4" s="34"/>
      <c r="V4" s="35"/>
    </row>
    <row r="5" spans="1:22" ht="26.25">
      <c r="A5" s="1114"/>
      <c r="B5" s="31"/>
      <c r="C5" s="829"/>
      <c r="D5" s="829"/>
      <c r="E5" s="829"/>
      <c r="F5" s="829"/>
      <c r="G5" s="829"/>
      <c r="H5" s="829" t="s">
        <v>76</v>
      </c>
      <c r="I5" s="829"/>
      <c r="J5" s="829"/>
      <c r="K5" s="829"/>
      <c r="L5" s="829"/>
      <c r="M5" s="36"/>
      <c r="N5" s="37"/>
      <c r="O5" s="1117"/>
      <c r="P5" s="1117"/>
      <c r="Q5" s="38"/>
      <c r="R5" s="38"/>
      <c r="S5" s="38"/>
      <c r="T5" s="38"/>
      <c r="U5" s="38"/>
      <c r="V5" s="39"/>
    </row>
    <row r="6" spans="1:22" ht="23.25">
      <c r="A6" s="1114"/>
      <c r="B6" s="31"/>
      <c r="C6" s="830"/>
      <c r="D6" s="830"/>
      <c r="E6" s="830"/>
      <c r="F6" s="830"/>
      <c r="G6" s="830"/>
      <c r="H6" s="830"/>
      <c r="I6" s="830"/>
      <c r="J6" s="830"/>
      <c r="K6" s="830"/>
      <c r="L6" s="830"/>
      <c r="M6" s="830"/>
      <c r="N6" s="831"/>
      <c r="O6" s="1118"/>
      <c r="P6" s="1118"/>
      <c r="Q6" s="832"/>
      <c r="R6" s="832"/>
      <c r="S6" s="832"/>
      <c r="T6" s="832"/>
      <c r="U6" s="832"/>
      <c r="V6" s="832"/>
    </row>
    <row r="7" spans="1:22" s="1427" customFormat="1" ht="23.25">
      <c r="A7" s="1429"/>
      <c r="B7" s="31"/>
      <c r="C7" s="830"/>
      <c r="D7" s="830"/>
      <c r="E7" s="830"/>
      <c r="F7" s="830"/>
      <c r="G7" s="830"/>
      <c r="H7" s="833" t="str">
        <f>CONCATENATE("For ",dms_TradingName)</f>
        <v>For AusNet (Gas)</v>
      </c>
      <c r="I7" s="830"/>
      <c r="J7" s="830"/>
      <c r="K7" s="830"/>
      <c r="L7" s="830"/>
      <c r="M7" s="830"/>
      <c r="N7" s="831"/>
      <c r="O7" s="1118"/>
      <c r="P7" s="1118"/>
      <c r="Q7" s="832"/>
      <c r="R7" s="832"/>
      <c r="S7" s="832"/>
      <c r="T7" s="832"/>
      <c r="U7" s="832"/>
      <c r="V7" s="832"/>
    </row>
    <row r="8" spans="1:22" ht="23.25">
      <c r="A8" s="1114"/>
      <c r="B8" s="31"/>
      <c r="C8" s="40"/>
      <c r="D8" s="40"/>
      <c r="E8" s="40"/>
      <c r="F8" s="40"/>
      <c r="G8" s="40"/>
      <c r="H8" s="833" t="s">
        <v>77</v>
      </c>
      <c r="I8" s="40"/>
      <c r="J8" s="40"/>
      <c r="K8" s="40"/>
      <c r="L8" s="40"/>
      <c r="M8" s="40"/>
      <c r="N8" s="41"/>
      <c r="O8" s="1119"/>
      <c r="P8" s="1119"/>
      <c r="Q8" s="42"/>
      <c r="R8" s="42"/>
      <c r="S8" s="42"/>
      <c r="T8" s="42"/>
      <c r="U8" s="42"/>
      <c r="V8" s="42"/>
    </row>
    <row r="9" spans="1:22" ht="20.25">
      <c r="A9" s="1114"/>
      <c r="B9" s="834"/>
      <c r="C9" s="835"/>
      <c r="D9" s="43"/>
      <c r="E9" s="836"/>
      <c r="F9" s="43"/>
      <c r="G9" s="40"/>
      <c r="H9" s="837" t="str">
        <f>CONCATENATE(FRCP_y1," to ",FRCP_y5)</f>
        <v>2018 to 2022</v>
      </c>
      <c r="I9" s="40"/>
      <c r="J9" s="40"/>
      <c r="K9" s="43"/>
      <c r="L9" s="43"/>
      <c r="M9" s="43"/>
      <c r="N9" s="44"/>
      <c r="O9" s="1120"/>
      <c r="P9" s="1120"/>
      <c r="Q9" s="838"/>
      <c r="R9" s="838"/>
      <c r="S9" s="838"/>
      <c r="T9" s="838"/>
      <c r="U9" s="838"/>
      <c r="V9" s="838"/>
    </row>
    <row r="10" spans="1:22" ht="49.5" customHeight="1">
      <c r="A10" s="3293"/>
      <c r="B10" s="31"/>
      <c r="C10" s="45"/>
      <c r="D10" s="45"/>
      <c r="E10" s="45"/>
      <c r="F10" s="45"/>
      <c r="G10" s="45"/>
      <c r="H10" s="839" t="s">
        <v>588</v>
      </c>
      <c r="I10" s="45"/>
      <c r="J10" s="45"/>
      <c r="K10" s="45"/>
      <c r="L10" s="45"/>
      <c r="M10" s="46"/>
      <c r="N10" s="47"/>
      <c r="O10" s="1121"/>
      <c r="P10" s="1121"/>
      <c r="Q10" s="48"/>
      <c r="R10" s="48"/>
      <c r="S10" s="48"/>
      <c r="T10" s="48"/>
      <c r="U10" s="48"/>
      <c r="V10" s="49"/>
    </row>
    <row r="11" spans="1:22">
      <c r="A11" s="3295"/>
      <c r="B11" s="51"/>
      <c r="C11" s="54"/>
      <c r="D11" s="54"/>
      <c r="E11" s="54"/>
      <c r="F11" s="54"/>
      <c r="G11" s="54"/>
      <c r="H11" s="54"/>
      <c r="I11" s="54"/>
      <c r="J11" s="54"/>
      <c r="K11" s="54"/>
      <c r="L11" s="54"/>
      <c r="M11" s="54"/>
      <c r="N11" s="57"/>
      <c r="O11" s="1115"/>
      <c r="P11" s="1115"/>
      <c r="Q11" s="27"/>
      <c r="R11" s="27"/>
      <c r="S11" s="27"/>
      <c r="T11" s="27"/>
      <c r="U11" s="27"/>
      <c r="V11" s="50"/>
    </row>
    <row r="12" spans="1:22">
      <c r="A12" s="3295"/>
      <c r="B12" s="51"/>
      <c r="C12" s="54"/>
      <c r="D12" s="54"/>
      <c r="E12" s="54"/>
      <c r="F12" s="54"/>
      <c r="G12" s="54"/>
      <c r="H12" s="54"/>
      <c r="I12" s="54"/>
      <c r="J12" s="54"/>
      <c r="K12" s="54"/>
      <c r="L12" s="54"/>
      <c r="M12" s="54"/>
      <c r="N12" s="57"/>
      <c r="O12" s="1115"/>
      <c r="P12" s="1115"/>
      <c r="Q12" s="27"/>
      <c r="R12" s="27"/>
      <c r="S12" s="27"/>
      <c r="T12" s="27"/>
      <c r="U12" s="27"/>
      <c r="V12" s="50"/>
    </row>
    <row r="13" spans="1:22" ht="12.75" customHeight="1">
      <c r="A13" s="3295"/>
      <c r="B13" s="52"/>
      <c r="C13" s="54"/>
      <c r="D13" s="54"/>
      <c r="E13" s="54"/>
      <c r="F13" s="54"/>
      <c r="G13" s="54"/>
      <c r="H13" s="54"/>
      <c r="I13" s="54"/>
      <c r="J13" s="54"/>
      <c r="K13" s="54"/>
      <c r="L13" s="54"/>
      <c r="M13" s="54"/>
      <c r="N13" s="57"/>
      <c r="O13" s="1115"/>
      <c r="P13" s="1115"/>
      <c r="Q13" s="27"/>
      <c r="R13" s="27"/>
      <c r="S13" s="27"/>
      <c r="T13" s="27"/>
      <c r="U13" s="27"/>
      <c r="V13" s="50"/>
    </row>
    <row r="14" spans="1:22">
      <c r="A14" s="3295"/>
      <c r="B14" s="51"/>
      <c r="C14" s="54"/>
      <c r="D14" s="54"/>
      <c r="E14" s="54"/>
      <c r="F14" s="54"/>
      <c r="G14" s="54"/>
      <c r="H14" s="54"/>
      <c r="I14" s="54"/>
      <c r="J14" s="54"/>
      <c r="K14" s="54"/>
      <c r="L14" s="54"/>
      <c r="M14" s="54"/>
      <c r="N14" s="57"/>
      <c r="O14" s="1115"/>
      <c r="P14" s="1115"/>
      <c r="Q14" s="27"/>
      <c r="R14" s="27"/>
      <c r="S14" s="27"/>
      <c r="T14" s="27"/>
      <c r="U14" s="27"/>
      <c r="V14" s="50"/>
    </row>
    <row r="15" spans="1:22">
      <c r="A15" s="3295"/>
      <c r="B15" s="51"/>
      <c r="C15" s="54"/>
      <c r="D15" s="54"/>
      <c r="E15" s="54"/>
      <c r="F15" s="54"/>
      <c r="G15" s="54"/>
      <c r="H15" s="54"/>
      <c r="I15" s="54"/>
      <c r="J15" s="54"/>
      <c r="K15" s="54"/>
      <c r="L15" s="54"/>
      <c r="M15" s="54"/>
      <c r="N15" s="57"/>
      <c r="O15" s="1115"/>
      <c r="P15" s="1115"/>
      <c r="Q15" s="27"/>
      <c r="R15" s="27"/>
      <c r="S15" s="27"/>
      <c r="T15" s="27"/>
      <c r="U15" s="27"/>
      <c r="V15" s="50"/>
    </row>
    <row r="16" spans="1:22">
      <c r="A16" s="3295"/>
      <c r="B16" s="51"/>
      <c r="C16" s="54"/>
      <c r="D16" s="54"/>
      <c r="E16" s="54"/>
      <c r="F16" s="54"/>
      <c r="G16" s="54"/>
      <c r="H16" s="54"/>
      <c r="I16" s="54"/>
      <c r="J16" s="54"/>
      <c r="K16" s="54"/>
      <c r="L16" s="54"/>
      <c r="M16" s="54"/>
      <c r="N16" s="57"/>
      <c r="O16" s="1115"/>
      <c r="P16" s="1115"/>
      <c r="Q16" s="27"/>
      <c r="R16" s="27"/>
      <c r="S16" s="27"/>
      <c r="T16" s="27"/>
      <c r="U16" s="27"/>
      <c r="V16" s="50"/>
    </row>
    <row r="17" spans="1:22">
      <c r="A17" s="3295"/>
      <c r="B17" s="51"/>
      <c r="C17" s="54"/>
      <c r="D17" s="54"/>
      <c r="E17" s="54"/>
      <c r="F17" s="54"/>
      <c r="G17" s="54"/>
      <c r="H17" s="54"/>
      <c r="I17" s="54"/>
      <c r="J17" s="54"/>
      <c r="K17" s="54"/>
      <c r="L17" s="54"/>
      <c r="M17" s="54"/>
      <c r="N17" s="57"/>
      <c r="O17" s="1115"/>
      <c r="P17" s="1115"/>
      <c r="Q17" s="27"/>
      <c r="R17" s="27"/>
      <c r="S17" s="27"/>
      <c r="T17" s="27"/>
      <c r="U17" s="27"/>
      <c r="V17" s="50"/>
    </row>
    <row r="18" spans="1:22" ht="12.75" customHeight="1">
      <c r="A18" s="3295"/>
      <c r="B18" s="51"/>
      <c r="C18" s="54"/>
      <c r="D18" s="54"/>
      <c r="E18" s="54"/>
      <c r="F18" s="54"/>
      <c r="G18" s="54"/>
      <c r="H18" s="54"/>
      <c r="I18" s="54"/>
      <c r="J18" s="54"/>
      <c r="K18" s="54"/>
      <c r="L18" s="54"/>
      <c r="M18" s="54"/>
      <c r="N18" s="57"/>
      <c r="O18" s="1115"/>
      <c r="P18" s="1115"/>
      <c r="Q18" s="27"/>
      <c r="R18" s="27"/>
      <c r="S18" s="27"/>
      <c r="T18" s="27"/>
      <c r="U18" s="27"/>
      <c r="V18" s="50"/>
    </row>
    <row r="19" spans="1:22">
      <c r="A19" s="3295"/>
      <c r="B19" s="51"/>
      <c r="C19" s="54"/>
      <c r="D19" s="54"/>
      <c r="E19" s="54"/>
      <c r="F19" s="54"/>
      <c r="G19" s="54"/>
      <c r="H19" s="54"/>
      <c r="I19" s="54"/>
      <c r="J19" s="54"/>
      <c r="K19" s="54"/>
      <c r="L19" s="54"/>
      <c r="M19" s="54"/>
      <c r="N19" s="57"/>
      <c r="O19" s="1115"/>
      <c r="P19" s="1115"/>
      <c r="Q19" s="27"/>
      <c r="R19" s="27"/>
      <c r="S19" s="27"/>
      <c r="T19" s="27"/>
      <c r="U19" s="27"/>
      <c r="V19" s="50"/>
    </row>
    <row r="20" spans="1:22">
      <c r="A20" s="3295"/>
      <c r="B20" s="51"/>
      <c r="C20" s="54"/>
      <c r="D20" s="54"/>
      <c r="E20" s="54"/>
      <c r="F20" s="54"/>
      <c r="G20" s="54"/>
      <c r="H20" s="54"/>
      <c r="I20" s="54"/>
      <c r="J20" s="54"/>
      <c r="K20" s="54"/>
      <c r="L20" s="54"/>
      <c r="M20" s="54"/>
      <c r="N20" s="57"/>
      <c r="O20" s="1115"/>
      <c r="P20" s="1115"/>
      <c r="Q20" s="27"/>
      <c r="R20" s="27"/>
      <c r="S20" s="27"/>
      <c r="T20" s="27"/>
      <c r="U20" s="27"/>
      <c r="V20" s="50"/>
    </row>
    <row r="21" spans="1:22">
      <c r="A21" s="3295"/>
      <c r="B21" s="51"/>
      <c r="C21" s="54"/>
      <c r="D21" s="54"/>
      <c r="E21" s="54"/>
      <c r="F21" s="54"/>
      <c r="G21" s="54"/>
      <c r="H21" s="54"/>
      <c r="I21" s="54"/>
      <c r="J21" s="54"/>
      <c r="K21" s="54"/>
      <c r="L21" s="54"/>
      <c r="M21" s="54"/>
      <c r="N21" s="57"/>
      <c r="O21" s="1115"/>
      <c r="P21" s="1115"/>
      <c r="Q21" s="27"/>
      <c r="R21" s="27"/>
      <c r="S21" s="27"/>
      <c r="T21" s="27"/>
      <c r="U21" s="27"/>
      <c r="V21" s="50"/>
    </row>
    <row r="22" spans="1:22">
      <c r="A22" s="3295"/>
      <c r="B22" s="51"/>
      <c r="C22" s="54"/>
      <c r="D22" s="54"/>
      <c r="E22" s="54"/>
      <c r="F22" s="54"/>
      <c r="G22" s="54"/>
      <c r="H22" s="54"/>
      <c r="I22" s="54"/>
      <c r="J22" s="54"/>
      <c r="K22" s="54"/>
      <c r="L22" s="54"/>
      <c r="M22" s="54"/>
      <c r="N22" s="57"/>
      <c r="O22" s="1115"/>
      <c r="P22" s="1115"/>
      <c r="Q22" s="27"/>
      <c r="R22" s="27"/>
      <c r="S22" s="27"/>
      <c r="T22" s="27"/>
      <c r="U22" s="27"/>
      <c r="V22" s="50"/>
    </row>
    <row r="23" spans="1:22">
      <c r="A23" s="3295"/>
      <c r="B23" s="51"/>
      <c r="C23" s="54"/>
      <c r="D23" s="54"/>
      <c r="E23" s="54"/>
      <c r="F23" s="54"/>
      <c r="G23" s="54"/>
      <c r="H23" s="54"/>
      <c r="I23" s="54"/>
      <c r="J23" s="54"/>
      <c r="K23" s="54"/>
      <c r="L23" s="54"/>
      <c r="M23" s="54"/>
      <c r="N23" s="57"/>
      <c r="O23" s="1115"/>
      <c r="P23" s="1115"/>
      <c r="Q23" s="27"/>
      <c r="R23" s="27"/>
      <c r="S23" s="27"/>
      <c r="T23" s="27"/>
      <c r="U23" s="27"/>
      <c r="V23" s="50"/>
    </row>
    <row r="24" spans="1:22">
      <c r="A24" s="3295"/>
      <c r="B24" s="51"/>
      <c r="C24" s="54"/>
      <c r="D24" s="54"/>
      <c r="E24" s="54"/>
      <c r="F24" s="54"/>
      <c r="G24" s="54"/>
      <c r="H24" s="54"/>
      <c r="I24" s="54"/>
      <c r="J24" s="54"/>
      <c r="K24" s="54"/>
      <c r="L24" s="54"/>
      <c r="M24" s="54"/>
      <c r="N24" s="57"/>
      <c r="O24" s="1115"/>
      <c r="P24" s="1115"/>
      <c r="Q24" s="27"/>
      <c r="R24" s="27"/>
      <c r="S24" s="27"/>
      <c r="T24" s="27"/>
      <c r="U24" s="27"/>
      <c r="V24" s="50"/>
    </row>
    <row r="25" spans="1:22">
      <c r="A25" s="3295"/>
      <c r="B25" s="51"/>
      <c r="C25" s="54"/>
      <c r="D25" s="54"/>
      <c r="E25" s="54"/>
      <c r="F25" s="54"/>
      <c r="G25" s="54"/>
      <c r="H25" s="54"/>
      <c r="I25" s="54"/>
      <c r="J25" s="54"/>
      <c r="K25" s="54"/>
      <c r="L25" s="54"/>
      <c r="M25" s="54"/>
      <c r="N25" s="57"/>
      <c r="O25" s="1115"/>
      <c r="P25" s="1115"/>
      <c r="Q25" s="27"/>
      <c r="R25" s="27"/>
      <c r="S25" s="27"/>
      <c r="T25" s="27"/>
      <c r="U25" s="27"/>
      <c r="V25" s="50"/>
    </row>
    <row r="26" spans="1:22">
      <c r="A26" s="3295"/>
      <c r="B26" s="51"/>
      <c r="C26" s="54"/>
      <c r="D26" s="54"/>
      <c r="E26" s="54"/>
      <c r="F26" s="54"/>
      <c r="G26" s="54"/>
      <c r="H26" s="54"/>
      <c r="I26" s="54"/>
      <c r="J26" s="54"/>
      <c r="K26" s="54"/>
      <c r="L26" s="54"/>
      <c r="M26" s="54"/>
      <c r="N26" s="57"/>
      <c r="O26" s="1115"/>
      <c r="P26" s="1115"/>
      <c r="Q26" s="27"/>
      <c r="R26" s="27"/>
      <c r="S26" s="27"/>
      <c r="T26" s="27"/>
      <c r="U26" s="27"/>
      <c r="V26" s="50"/>
    </row>
    <row r="27" spans="1:22">
      <c r="A27" s="3295"/>
      <c r="B27" s="51"/>
      <c r="C27" s="54"/>
      <c r="D27" s="54"/>
      <c r="E27" s="54"/>
      <c r="F27" s="54"/>
      <c r="G27" s="54"/>
      <c r="H27" s="54"/>
      <c r="I27" s="54"/>
      <c r="J27" s="54"/>
      <c r="K27" s="54"/>
      <c r="L27" s="54"/>
      <c r="M27" s="54"/>
      <c r="N27" s="57"/>
      <c r="O27" s="1115"/>
      <c r="P27" s="1115"/>
      <c r="Q27" s="27"/>
      <c r="R27" s="27"/>
      <c r="S27" s="27"/>
      <c r="T27" s="27"/>
      <c r="U27" s="27"/>
      <c r="V27" s="50"/>
    </row>
    <row r="28" spans="1:22">
      <c r="A28" s="3295"/>
      <c r="B28" s="51"/>
      <c r="C28" s="54"/>
      <c r="D28" s="54"/>
      <c r="E28" s="54"/>
      <c r="F28" s="54"/>
      <c r="G28" s="54"/>
      <c r="H28" s="54"/>
      <c r="I28" s="54"/>
      <c r="J28" s="54"/>
      <c r="K28" s="54"/>
      <c r="L28" s="54"/>
      <c r="M28" s="54"/>
      <c r="N28" s="57"/>
      <c r="O28" s="1115"/>
      <c r="P28" s="1115"/>
      <c r="Q28" s="27"/>
      <c r="R28" s="27"/>
      <c r="S28" s="27"/>
      <c r="T28" s="27"/>
      <c r="U28" s="27"/>
      <c r="V28" s="50"/>
    </row>
    <row r="29" spans="1:22">
      <c r="A29" s="3295"/>
      <c r="B29" s="51"/>
      <c r="C29" s="54"/>
      <c r="D29" s="54"/>
      <c r="E29" s="54"/>
      <c r="F29" s="54"/>
      <c r="G29" s="54"/>
      <c r="H29" s="54"/>
      <c r="I29" s="54"/>
      <c r="J29" s="54"/>
      <c r="K29" s="54"/>
      <c r="L29" s="54"/>
      <c r="M29" s="54"/>
      <c r="N29" s="57"/>
      <c r="O29" s="1115"/>
      <c r="P29" s="1115"/>
      <c r="Q29" s="27"/>
      <c r="R29" s="27"/>
      <c r="S29" s="27"/>
      <c r="T29" s="27"/>
      <c r="U29" s="27"/>
      <c r="V29" s="50"/>
    </row>
    <row r="30" spans="1:22" ht="12.75" customHeight="1">
      <c r="A30" s="3295"/>
      <c r="B30" s="51"/>
      <c r="C30" s="54"/>
      <c r="D30" s="54"/>
      <c r="E30" s="54"/>
      <c r="F30" s="54"/>
      <c r="G30" s="54"/>
      <c r="H30" s="54"/>
      <c r="I30" s="54"/>
      <c r="J30" s="54"/>
      <c r="K30" s="54"/>
      <c r="L30" s="54"/>
      <c r="M30" s="54"/>
      <c r="N30" s="57"/>
      <c r="O30" s="1115"/>
      <c r="P30" s="1115"/>
      <c r="Q30" s="27"/>
      <c r="R30" s="27"/>
      <c r="S30" s="27"/>
      <c r="T30" s="27"/>
      <c r="U30" s="27"/>
      <c r="V30" s="50"/>
    </row>
    <row r="31" spans="1:22">
      <c r="A31" s="3295"/>
      <c r="B31" s="51"/>
      <c r="C31" s="54"/>
      <c r="D31" s="54"/>
      <c r="E31" s="54"/>
      <c r="F31" s="54"/>
      <c r="G31" s="54"/>
      <c r="H31" s="54"/>
      <c r="I31" s="54"/>
      <c r="J31" s="54"/>
      <c r="K31" s="54"/>
      <c r="L31" s="54"/>
      <c r="M31" s="54"/>
      <c r="N31" s="57"/>
      <c r="O31" s="1115"/>
      <c r="P31" s="1115"/>
      <c r="Q31" s="27"/>
      <c r="R31" s="27"/>
      <c r="S31" s="27"/>
      <c r="T31" s="27"/>
      <c r="U31" s="27"/>
      <c r="V31" s="50"/>
    </row>
    <row r="32" spans="1:22">
      <c r="A32" s="3295"/>
      <c r="B32" s="51"/>
      <c r="C32" s="54"/>
      <c r="D32" s="54"/>
      <c r="E32" s="54"/>
      <c r="F32" s="54"/>
      <c r="G32" s="54"/>
      <c r="H32" s="54"/>
      <c r="I32" s="54"/>
      <c r="J32" s="54"/>
      <c r="K32" s="54"/>
      <c r="L32" s="54"/>
      <c r="M32" s="54"/>
      <c r="N32" s="57"/>
      <c r="O32" s="1115"/>
      <c r="P32" s="1115"/>
      <c r="Q32" s="27"/>
      <c r="R32" s="27"/>
      <c r="S32" s="27"/>
      <c r="T32" s="27"/>
      <c r="U32" s="27"/>
      <c r="V32" s="50"/>
    </row>
    <row r="33" spans="1:22">
      <c r="A33" s="3295"/>
      <c r="B33" s="51"/>
      <c r="C33" s="54"/>
      <c r="D33" s="54"/>
      <c r="E33" s="54"/>
      <c r="F33" s="54"/>
      <c r="G33" s="54"/>
      <c r="H33" s="54"/>
      <c r="I33" s="54"/>
      <c r="J33" s="54"/>
      <c r="K33" s="54"/>
      <c r="L33" s="54"/>
      <c r="M33" s="54"/>
      <c r="N33" s="57"/>
      <c r="O33" s="1115"/>
      <c r="P33" s="1115"/>
      <c r="Q33" s="27"/>
      <c r="R33" s="27"/>
      <c r="S33" s="27"/>
      <c r="T33" s="27"/>
      <c r="U33" s="27"/>
      <c r="V33" s="50"/>
    </row>
    <row r="34" spans="1:22" ht="12.75" customHeight="1">
      <c r="A34" s="3295"/>
      <c r="B34" s="51"/>
      <c r="C34" s="54"/>
      <c r="D34" s="54"/>
      <c r="E34" s="54"/>
      <c r="F34" s="54"/>
      <c r="G34" s="54"/>
      <c r="H34" s="54"/>
      <c r="I34" s="54"/>
      <c r="J34" s="54"/>
      <c r="K34" s="54"/>
      <c r="L34" s="54"/>
      <c r="M34" s="54"/>
      <c r="N34" s="57"/>
      <c r="O34" s="1115"/>
      <c r="P34" s="1115"/>
      <c r="Q34" s="27"/>
      <c r="R34" s="27"/>
      <c r="S34" s="27"/>
      <c r="T34" s="27"/>
      <c r="U34" s="27"/>
      <c r="V34" s="50"/>
    </row>
    <row r="35" spans="1:22">
      <c r="A35" s="3295"/>
      <c r="B35" s="51"/>
      <c r="C35" s="54"/>
      <c r="D35" s="54"/>
      <c r="E35" s="54"/>
      <c r="F35" s="54"/>
      <c r="G35" s="54"/>
      <c r="H35" s="54"/>
      <c r="I35" s="54"/>
      <c r="J35" s="54"/>
      <c r="K35" s="54"/>
      <c r="L35" s="54"/>
      <c r="M35" s="54"/>
      <c r="N35" s="57"/>
      <c r="O35" s="1115"/>
      <c r="P35" s="1115"/>
      <c r="Q35" s="27"/>
      <c r="R35" s="27"/>
      <c r="S35" s="27"/>
      <c r="T35" s="27"/>
      <c r="U35" s="27"/>
      <c r="V35" s="50"/>
    </row>
    <row r="36" spans="1:22">
      <c r="A36" s="3295"/>
      <c r="B36" s="51"/>
      <c r="C36" s="54"/>
      <c r="D36" s="54"/>
      <c r="E36" s="54"/>
      <c r="F36" s="54"/>
      <c r="G36" s="54"/>
      <c r="H36" s="54"/>
      <c r="I36" s="54"/>
      <c r="J36" s="54"/>
      <c r="K36" s="54"/>
      <c r="L36" s="54"/>
      <c r="M36" s="54"/>
      <c r="N36" s="57"/>
      <c r="O36" s="1115"/>
      <c r="P36" s="1115"/>
      <c r="Q36" s="27"/>
      <c r="R36" s="27"/>
      <c r="S36" s="27"/>
      <c r="T36" s="27"/>
      <c r="U36" s="27"/>
      <c r="V36" s="50"/>
    </row>
    <row r="37" spans="1:22">
      <c r="A37" s="3295"/>
      <c r="B37" s="51"/>
      <c r="C37" s="58"/>
      <c r="D37" s="58"/>
      <c r="E37" s="58"/>
      <c r="F37" s="58"/>
      <c r="G37" s="58"/>
      <c r="H37" s="58"/>
      <c r="I37" s="58"/>
      <c r="J37" s="58"/>
      <c r="K37" s="58"/>
      <c r="L37" s="58"/>
      <c r="M37" s="58"/>
      <c r="N37" s="57"/>
      <c r="O37" s="1115"/>
      <c r="P37" s="1115"/>
      <c r="Q37" s="27"/>
      <c r="R37" s="27"/>
      <c r="S37" s="27"/>
      <c r="T37" s="27"/>
      <c r="U37" s="27"/>
      <c r="V37" s="50"/>
    </row>
    <row r="38" spans="1:22">
      <c r="A38" s="3295"/>
      <c r="B38" s="51"/>
      <c r="C38" s="59"/>
      <c r="D38" s="59"/>
      <c r="E38" s="59"/>
      <c r="F38" s="59"/>
      <c r="G38" s="59"/>
      <c r="H38" s="59"/>
      <c r="I38" s="59"/>
      <c r="J38" s="54"/>
      <c r="K38" s="54"/>
      <c r="L38" s="54"/>
      <c r="M38" s="54"/>
      <c r="N38" s="57"/>
      <c r="O38" s="1115"/>
      <c r="P38" s="1115"/>
      <c r="Q38" s="27"/>
      <c r="R38" s="27"/>
      <c r="S38" s="27"/>
      <c r="T38" s="27"/>
      <c r="U38" s="27"/>
      <c r="V38" s="50"/>
    </row>
    <row r="39" spans="1:22">
      <c r="A39" s="3295"/>
      <c r="B39" s="51"/>
      <c r="C39" s="60"/>
      <c r="D39" s="60"/>
      <c r="E39" s="60"/>
      <c r="F39" s="60"/>
      <c r="G39" s="60"/>
      <c r="H39" s="60"/>
      <c r="I39" s="61"/>
      <c r="J39" s="58"/>
      <c r="K39" s="54"/>
      <c r="L39" s="54"/>
      <c r="M39" s="54"/>
      <c r="N39" s="57"/>
      <c r="O39" s="1115"/>
      <c r="P39" s="1115"/>
      <c r="Q39" s="27"/>
      <c r="R39" s="27"/>
      <c r="S39" s="27"/>
      <c r="T39" s="27"/>
      <c r="U39" s="27"/>
      <c r="V39" s="50"/>
    </row>
    <row r="40" spans="1:22">
      <c r="A40" s="3295"/>
      <c r="B40" s="51"/>
      <c r="C40" s="60"/>
      <c r="D40" s="60"/>
      <c r="E40" s="60"/>
      <c r="F40" s="60"/>
      <c r="G40" s="60"/>
      <c r="H40" s="60"/>
      <c r="I40" s="61"/>
      <c r="J40" s="58"/>
      <c r="K40" s="54"/>
      <c r="L40" s="54"/>
      <c r="M40" s="54"/>
      <c r="N40" s="57"/>
      <c r="O40" s="1115"/>
      <c r="P40" s="1115"/>
      <c r="Q40" s="27"/>
      <c r="R40" s="27"/>
      <c r="S40" s="27"/>
      <c r="T40" s="27"/>
      <c r="U40" s="27"/>
      <c r="V40" s="50"/>
    </row>
    <row r="41" spans="1:22">
      <c r="A41" s="3295"/>
      <c r="B41" s="51"/>
      <c r="C41" s="62"/>
      <c r="D41" s="62"/>
      <c r="E41" s="62"/>
      <c r="F41" s="62"/>
      <c r="G41" s="62"/>
      <c r="H41" s="62"/>
      <c r="I41" s="62"/>
      <c r="J41" s="58"/>
      <c r="K41" s="54"/>
      <c r="L41" s="54"/>
      <c r="M41" s="54"/>
      <c r="N41" s="57"/>
      <c r="O41" s="1115"/>
      <c r="P41" s="1115"/>
      <c r="Q41" s="27"/>
      <c r="R41" s="27"/>
      <c r="S41" s="27"/>
      <c r="T41" s="27"/>
      <c r="U41" s="27"/>
      <c r="V41" s="50"/>
    </row>
    <row r="42" spans="1:22">
      <c r="A42" s="3295"/>
      <c r="B42" s="51"/>
      <c r="C42" s="62"/>
      <c r="D42" s="62"/>
      <c r="E42" s="62"/>
      <c r="F42" s="62"/>
      <c r="G42" s="62"/>
      <c r="H42" s="62"/>
      <c r="I42" s="62"/>
      <c r="J42" s="58"/>
      <c r="K42" s="54"/>
      <c r="L42" s="54"/>
      <c r="M42" s="54"/>
      <c r="N42" s="57"/>
      <c r="O42" s="1115"/>
      <c r="P42" s="1115"/>
      <c r="Q42" s="27"/>
      <c r="R42" s="27"/>
      <c r="S42" s="27"/>
      <c r="T42" s="27"/>
      <c r="U42" s="27"/>
      <c r="V42" s="50"/>
    </row>
    <row r="43" spans="1:22">
      <c r="A43" s="3295"/>
      <c r="B43" s="51"/>
      <c r="C43" s="62"/>
      <c r="D43" s="62"/>
      <c r="E43" s="62"/>
      <c r="F43" s="62"/>
      <c r="G43" s="62"/>
      <c r="H43" s="62"/>
      <c r="I43" s="62"/>
      <c r="J43" s="58"/>
      <c r="K43" s="54"/>
      <c r="L43" s="54"/>
      <c r="M43" s="54"/>
      <c r="N43" s="57"/>
      <c r="O43" s="1115"/>
      <c r="P43" s="1115"/>
      <c r="Q43" s="27"/>
      <c r="R43" s="27"/>
      <c r="S43" s="27"/>
      <c r="T43" s="27"/>
      <c r="U43" s="27"/>
      <c r="V43" s="50"/>
    </row>
    <row r="44" spans="1:22">
      <c r="A44" s="3295"/>
      <c r="B44" s="51"/>
      <c r="C44" s="62"/>
      <c r="D44" s="62"/>
      <c r="E44" s="62"/>
      <c r="F44" s="62"/>
      <c r="G44" s="62"/>
      <c r="H44" s="62"/>
      <c r="I44" s="62"/>
      <c r="J44" s="58"/>
      <c r="K44" s="63"/>
      <c r="L44" s="63"/>
      <c r="M44" s="63"/>
      <c r="N44" s="57"/>
      <c r="O44" s="1122"/>
      <c r="P44" s="1122"/>
      <c r="Q44" s="50"/>
      <c r="R44" s="50"/>
      <c r="S44" s="50"/>
      <c r="T44" s="50"/>
      <c r="U44" s="50"/>
      <c r="V44" s="50"/>
    </row>
    <row r="45" spans="1:22">
      <c r="A45" s="3294"/>
      <c r="B45" s="51"/>
      <c r="C45" s="64"/>
      <c r="D45" s="64"/>
      <c r="E45" s="64"/>
      <c r="F45" s="64"/>
      <c r="G45" s="64"/>
      <c r="H45" s="64"/>
      <c r="I45" s="64"/>
      <c r="J45" s="58"/>
      <c r="K45" s="54"/>
      <c r="L45" s="54"/>
      <c r="M45" s="54"/>
      <c r="N45" s="57"/>
      <c r="O45" s="1115"/>
      <c r="P45" s="1115"/>
      <c r="Q45" s="27"/>
      <c r="R45" s="27"/>
      <c r="S45" s="27"/>
      <c r="T45" s="27"/>
      <c r="U45" s="27"/>
      <c r="V45" s="27"/>
    </row>
    <row r="46" spans="1:22" ht="13.5" thickBot="1">
      <c r="A46" s="1114"/>
      <c r="B46" s="53"/>
      <c r="C46" s="55"/>
      <c r="D46" s="55"/>
      <c r="E46" s="55"/>
      <c r="F46" s="55"/>
      <c r="G46" s="55"/>
      <c r="H46" s="55"/>
      <c r="I46" s="55"/>
      <c r="J46" s="55"/>
      <c r="K46" s="55"/>
      <c r="L46" s="55"/>
      <c r="M46" s="55"/>
      <c r="N46" s="56"/>
      <c r="O46" s="1115"/>
      <c r="P46" s="1115"/>
      <c r="Q46" s="27"/>
      <c r="R46" s="27"/>
      <c r="S46" s="26"/>
    </row>
    <row r="47" spans="1:22" ht="13.5" thickTop="1">
      <c r="A47" s="1114"/>
      <c r="B47" s="288"/>
      <c r="C47" s="288"/>
      <c r="D47" s="288"/>
      <c r="E47" s="288"/>
      <c r="F47" s="288"/>
      <c r="G47" s="288"/>
      <c r="H47" s="288"/>
      <c r="I47" s="288"/>
      <c r="J47" s="1114"/>
      <c r="K47" s="1115"/>
      <c r="L47" s="1115"/>
      <c r="M47" s="1114"/>
      <c r="N47" s="1114"/>
      <c r="O47" s="1114"/>
      <c r="P47" s="1114"/>
    </row>
    <row r="48" spans="1:22">
      <c r="A48" s="1114"/>
      <c r="B48" s="288"/>
      <c r="C48" s="288"/>
      <c r="D48" s="288"/>
      <c r="E48" s="288"/>
      <c r="F48" s="288"/>
      <c r="G48" s="288"/>
      <c r="H48" s="288"/>
      <c r="I48" s="288"/>
      <c r="J48" s="1114"/>
      <c r="K48" s="1115"/>
      <c r="L48" s="1115"/>
      <c r="M48" s="1114"/>
      <c r="N48" s="1114"/>
      <c r="O48" s="1114"/>
      <c r="P48" s="1114"/>
    </row>
    <row r="49" spans="1:16">
      <c r="A49" s="1114"/>
      <c r="B49" s="288"/>
      <c r="C49" s="288"/>
      <c r="D49" s="288"/>
      <c r="E49" s="288"/>
      <c r="F49" s="288"/>
      <c r="G49" s="288"/>
      <c r="H49" s="288"/>
      <c r="I49" s="288"/>
      <c r="J49" s="1114"/>
      <c r="K49" s="1115"/>
      <c r="L49" s="1115"/>
      <c r="M49" s="1114"/>
      <c r="N49" s="1114"/>
      <c r="O49" s="1114"/>
      <c r="P49" s="1114"/>
    </row>
    <row r="50" spans="1:16">
      <c r="A50" s="1114"/>
      <c r="B50" s="288"/>
      <c r="C50" s="288"/>
      <c r="D50" s="288"/>
      <c r="E50" s="288"/>
      <c r="F50" s="288"/>
      <c r="G50" s="288"/>
      <c r="H50" s="288"/>
      <c r="I50" s="288"/>
      <c r="J50" s="1114"/>
      <c r="K50" s="1115"/>
      <c r="L50" s="1115"/>
      <c r="M50" s="1114"/>
      <c r="N50" s="1114"/>
      <c r="O50" s="1114"/>
      <c r="P50" s="1114"/>
    </row>
    <row r="51" spans="1:16">
      <c r="B51"/>
      <c r="C51"/>
      <c r="D51"/>
      <c r="E51"/>
      <c r="F51"/>
      <c r="G51"/>
      <c r="H51"/>
      <c r="I51"/>
      <c r="K51" s="27"/>
      <c r="L51" s="27"/>
    </row>
    <row r="52" spans="1:16">
      <c r="B52"/>
      <c r="C52"/>
      <c r="D52"/>
      <c r="E52"/>
      <c r="F52"/>
      <c r="G52"/>
      <c r="H52"/>
      <c r="I52"/>
      <c r="K52" s="27"/>
      <c r="L52" s="27"/>
    </row>
    <row r="53" spans="1:16">
      <c r="B53"/>
      <c r="C53"/>
      <c r="D53"/>
      <c r="E53"/>
      <c r="F53"/>
      <c r="G53"/>
      <c r="H53"/>
      <c r="I53"/>
      <c r="K53" s="27"/>
      <c r="L53" s="27"/>
    </row>
    <row r="54" spans="1:16">
      <c r="B54"/>
      <c r="C54"/>
      <c r="D54"/>
      <c r="E54"/>
      <c r="F54"/>
      <c r="G54"/>
      <c r="H54"/>
      <c r="I54"/>
      <c r="K54" s="27"/>
      <c r="L54" s="27"/>
    </row>
    <row r="55" spans="1:16">
      <c r="B55"/>
      <c r="C55"/>
      <c r="D55"/>
      <c r="E55"/>
      <c r="F55"/>
      <c r="G55"/>
      <c r="H55"/>
      <c r="I55"/>
      <c r="J55"/>
      <c r="K55" s="27"/>
      <c r="L55" s="27"/>
    </row>
    <row r="56" spans="1:16">
      <c r="B56"/>
      <c r="C56"/>
      <c r="D56"/>
      <c r="E56"/>
      <c r="F56"/>
      <c r="G56"/>
      <c r="H56"/>
      <c r="I56"/>
      <c r="J56"/>
    </row>
    <row r="57" spans="1:16">
      <c r="B57"/>
      <c r="C57"/>
      <c r="D57"/>
      <c r="E57"/>
      <c r="F57"/>
      <c r="G57"/>
      <c r="H57"/>
      <c r="I57"/>
      <c r="J57"/>
    </row>
    <row r="58" spans="1:16">
      <c r="B58"/>
      <c r="C58"/>
      <c r="D58"/>
      <c r="E58"/>
      <c r="F58"/>
      <c r="G58"/>
      <c r="H58"/>
      <c r="I58"/>
      <c r="J58"/>
    </row>
    <row r="59" spans="1:16">
      <c r="B59"/>
      <c r="C59"/>
      <c r="D59"/>
      <c r="E59"/>
      <c r="F59"/>
      <c r="G59"/>
      <c r="H59"/>
      <c r="I59"/>
      <c r="J59"/>
    </row>
    <row r="60" spans="1:16">
      <c r="B60"/>
      <c r="C60"/>
      <c r="D60"/>
      <c r="E60"/>
      <c r="F60"/>
      <c r="G60"/>
      <c r="H60"/>
      <c r="I60"/>
      <c r="J60"/>
    </row>
  </sheetData>
  <phoneticPr fontId="8" type="noConversion"/>
  <pageMargins left="0.74803149606299213" right="0.74803149606299213" top="0.98425196850393704" bottom="0.98425196850393704" header="0.51181102362204722" footer="0.51181102362204722"/>
  <pageSetup paperSize="9" scale="66" orientation="landscape" r:id="rId1"/>
  <headerFooter alignWithMargins="0">
    <oddFooter>&amp;L&amp;D&amp;C&amp; Pro Forma: &amp;A
&amp;F&amp;R&amp;P o&amp;Of &amp;N</oddFoot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pageSetUpPr autoPageBreaks="0"/>
  </sheetPr>
  <dimension ref="A1:AE87"/>
  <sheetViews>
    <sheetView showGridLines="0" topLeftCell="B1" zoomScale="85" zoomScaleNormal="85" workbookViewId="0"/>
  </sheetViews>
  <sheetFormatPr defaultRowHeight="12.75"/>
  <cols>
    <col min="1" max="1" width="17.7109375" style="66" hidden="1" customWidth="1"/>
    <col min="2" max="2" width="16.140625" customWidth="1"/>
    <col min="3" max="3" width="56.140625" customWidth="1"/>
    <col min="4" max="4" width="21.28515625" customWidth="1"/>
    <col min="5" max="5" width="25" customWidth="1"/>
    <col min="6" max="10" width="18.7109375" customWidth="1"/>
    <col min="11" max="11" width="15.42578125" customWidth="1"/>
    <col min="12" max="12" width="22.85546875" customWidth="1"/>
  </cols>
  <sheetData>
    <row r="1" spans="1:31" s="223" customFormat="1" ht="24" customHeight="1">
      <c r="C1" s="3050" t="str">
        <f>IF(dms_DataQuality="backcast",INDEX(dms_Worksheet_List,MATCH(dms_Model,dms_Model_List))&amp;" BACKCAST",INDEX(dms_Worksheet_List,MATCH(dms_Model,dms_Model_List)))</f>
        <v>REGULATORY REPORTING STATEMENT</v>
      </c>
      <c r="D1" s="546"/>
      <c r="E1" s="546"/>
      <c r="F1" s="546"/>
      <c r="G1" s="546"/>
      <c r="H1" s="546"/>
      <c r="I1" s="546"/>
      <c r="J1" s="546"/>
      <c r="K1" s="546"/>
      <c r="L1" s="546"/>
      <c r="M1"/>
      <c r="N1"/>
      <c r="O1"/>
      <c r="P1"/>
      <c r="Q1"/>
      <c r="R1"/>
      <c r="S1"/>
      <c r="T1"/>
      <c r="U1"/>
      <c r="V1"/>
      <c r="W1"/>
      <c r="X1"/>
      <c r="Y1"/>
      <c r="Z1"/>
      <c r="AA1"/>
      <c r="AB1"/>
      <c r="AC1"/>
      <c r="AD1"/>
      <c r="AE1"/>
    </row>
    <row r="2" spans="1:31" s="223" customFormat="1" ht="24" customHeight="1">
      <c r="C2" s="3054" t="str">
        <f>INDEX(dms_TradingNameFull_List,MATCH(dms_TradingName,dms_TradingName_List))</f>
        <v>AusNet Gas Services</v>
      </c>
      <c r="D2" s="226"/>
      <c r="E2" s="226"/>
      <c r="F2" s="226"/>
      <c r="G2" s="226"/>
      <c r="H2" s="226"/>
      <c r="I2" s="226"/>
      <c r="J2" s="226"/>
      <c r="K2" s="226"/>
      <c r="L2" s="226"/>
      <c r="M2"/>
      <c r="N2"/>
      <c r="O2"/>
      <c r="P2"/>
      <c r="Q2"/>
      <c r="R2"/>
      <c r="S2"/>
      <c r="T2"/>
      <c r="U2"/>
      <c r="V2"/>
      <c r="W2"/>
      <c r="X2"/>
      <c r="Y2"/>
      <c r="Z2"/>
      <c r="AA2"/>
      <c r="AB2"/>
      <c r="AC2"/>
      <c r="AD2"/>
      <c r="AE2"/>
    </row>
    <row r="3" spans="1:31" s="223" customFormat="1" ht="24" customHeight="1">
      <c r="C3" s="3054" t="str">
        <f ca="1">IF(SUM(dms_SingleYear_Model)&gt;0,CRY,CONCATENATE(FRCP_y1," to ",dms_MultiYear_FinalYear_Result))</f>
        <v>2018 to 2022</v>
      </c>
      <c r="D3" s="227"/>
      <c r="E3" s="227"/>
      <c r="F3" s="227"/>
      <c r="G3" s="227"/>
      <c r="H3" s="227"/>
      <c r="I3" s="227"/>
      <c r="J3" s="227"/>
      <c r="K3" s="227"/>
      <c r="L3" s="227"/>
      <c r="M3"/>
      <c r="N3"/>
      <c r="O3"/>
      <c r="P3"/>
      <c r="Q3"/>
      <c r="R3"/>
      <c r="S3"/>
      <c r="T3"/>
      <c r="U3"/>
      <c r="V3"/>
      <c r="W3"/>
      <c r="X3"/>
      <c r="Y3"/>
      <c r="Z3"/>
      <c r="AA3"/>
      <c r="AB3"/>
      <c r="AC3"/>
      <c r="AD3"/>
      <c r="AE3"/>
    </row>
    <row r="4" spans="1:31" s="165" customFormat="1" ht="24" customHeight="1">
      <c r="B4"/>
      <c r="C4" s="12" t="s">
        <v>394</v>
      </c>
      <c r="D4" s="12"/>
      <c r="E4" s="12"/>
      <c r="F4" s="12"/>
      <c r="G4" s="12"/>
      <c r="H4" s="12"/>
      <c r="I4" s="12"/>
      <c r="J4" s="12"/>
      <c r="K4" s="12"/>
      <c r="L4" s="12"/>
      <c r="M4"/>
      <c r="N4"/>
      <c r="O4"/>
      <c r="P4"/>
      <c r="Q4"/>
      <c r="R4"/>
      <c r="S4"/>
      <c r="T4"/>
      <c r="U4"/>
      <c r="V4"/>
      <c r="W4"/>
      <c r="X4"/>
      <c r="Y4"/>
      <c r="Z4"/>
      <c r="AA4"/>
      <c r="AB4"/>
      <c r="AC4"/>
      <c r="AD4"/>
      <c r="AE4"/>
    </row>
    <row r="5" spans="1:31">
      <c r="A5" s="288"/>
      <c r="B5" s="288"/>
      <c r="C5" s="288"/>
      <c r="D5" s="288"/>
      <c r="E5" s="288"/>
      <c r="F5" s="288"/>
      <c r="G5" s="288"/>
      <c r="H5" s="288"/>
      <c r="I5" s="288"/>
      <c r="J5" s="288"/>
      <c r="K5" s="288"/>
      <c r="L5" s="288"/>
    </row>
    <row r="6" spans="1:31" s="66" customFormat="1" ht="12.75" customHeight="1">
      <c r="A6" s="288"/>
      <c r="B6" s="288"/>
      <c r="C6" s="288"/>
      <c r="D6" s="288"/>
      <c r="E6" s="288"/>
      <c r="F6" s="288"/>
      <c r="G6" s="288"/>
      <c r="H6" s="288"/>
      <c r="I6" s="288"/>
      <c r="J6" s="288"/>
      <c r="K6" s="288"/>
      <c r="L6" s="288"/>
      <c r="M6"/>
      <c r="N6"/>
      <c r="O6"/>
      <c r="P6"/>
      <c r="Q6"/>
      <c r="R6"/>
      <c r="S6"/>
      <c r="T6"/>
      <c r="U6"/>
      <c r="V6"/>
      <c r="W6"/>
      <c r="X6"/>
      <c r="Y6"/>
      <c r="Z6"/>
      <c r="AA6"/>
      <c r="AB6"/>
      <c r="AC6"/>
      <c r="AD6"/>
      <c r="AE6"/>
    </row>
    <row r="7" spans="1:31" s="66" customFormat="1" ht="12.75" customHeight="1">
      <c r="A7" s="288"/>
      <c r="B7" s="288"/>
      <c r="C7" s="86" t="s">
        <v>59</v>
      </c>
      <c r="D7" s="86"/>
      <c r="E7" s="86"/>
      <c r="F7" s="86"/>
      <c r="G7" s="153"/>
      <c r="H7" s="153"/>
      <c r="I7" s="288"/>
      <c r="J7" s="288"/>
      <c r="K7" s="288"/>
      <c r="L7" s="288"/>
      <c r="M7"/>
      <c r="N7"/>
      <c r="O7"/>
      <c r="P7"/>
      <c r="Q7"/>
      <c r="R7"/>
      <c r="S7"/>
      <c r="T7"/>
      <c r="U7"/>
      <c r="V7"/>
      <c r="W7"/>
      <c r="X7"/>
      <c r="Y7"/>
      <c r="Z7"/>
      <c r="AA7"/>
      <c r="AB7"/>
      <c r="AC7"/>
      <c r="AD7"/>
      <c r="AE7"/>
    </row>
    <row r="8" spans="1:31" s="66" customFormat="1" ht="30.75" customHeight="1">
      <c r="A8" s="288"/>
      <c r="B8" s="288"/>
      <c r="C8" s="3948" t="s">
        <v>232</v>
      </c>
      <c r="D8" s="3949"/>
      <c r="E8" s="3949"/>
      <c r="F8" s="3949"/>
      <c r="G8" s="3949"/>
      <c r="H8" s="3949"/>
      <c r="I8" s="288"/>
      <c r="J8" s="288"/>
      <c r="K8" s="288"/>
      <c r="L8" s="288"/>
      <c r="M8"/>
      <c r="N8"/>
      <c r="O8"/>
      <c r="P8"/>
      <c r="Q8"/>
      <c r="R8"/>
      <c r="S8"/>
      <c r="T8"/>
      <c r="U8"/>
      <c r="V8"/>
      <c r="W8"/>
      <c r="X8"/>
      <c r="Y8"/>
      <c r="Z8"/>
      <c r="AA8"/>
      <c r="AB8"/>
      <c r="AC8"/>
      <c r="AD8"/>
      <c r="AE8"/>
    </row>
    <row r="9" spans="1:31" s="66" customFormat="1" ht="12.75" customHeight="1">
      <c r="A9" s="288"/>
      <c r="B9" s="288"/>
      <c r="C9" s="113"/>
      <c r="D9" s="86"/>
      <c r="E9" s="86"/>
      <c r="F9" s="86"/>
      <c r="G9" s="153"/>
      <c r="H9" s="153"/>
      <c r="I9" s="288"/>
      <c r="J9" s="288"/>
      <c r="K9" s="288"/>
      <c r="L9" s="288"/>
      <c r="M9"/>
      <c r="N9"/>
      <c r="O9"/>
      <c r="P9"/>
      <c r="Q9"/>
      <c r="R9"/>
      <c r="S9"/>
      <c r="T9"/>
      <c r="U9"/>
      <c r="V9"/>
      <c r="W9"/>
      <c r="X9"/>
      <c r="Y9"/>
      <c r="Z9"/>
      <c r="AA9"/>
      <c r="AB9"/>
      <c r="AC9"/>
      <c r="AD9"/>
      <c r="AE9"/>
    </row>
    <row r="10" spans="1:31" s="66" customFormat="1" ht="12.75" customHeight="1">
      <c r="A10" s="288"/>
      <c r="B10" s="288"/>
      <c r="C10" s="152" t="s">
        <v>2</v>
      </c>
      <c r="D10" s="152"/>
      <c r="E10" s="86"/>
      <c r="F10" s="86"/>
      <c r="G10" s="153"/>
      <c r="H10" s="153"/>
      <c r="I10" s="288"/>
      <c r="J10" s="288"/>
      <c r="K10" s="288"/>
      <c r="L10" s="288"/>
      <c r="M10"/>
      <c r="N10"/>
      <c r="O10"/>
      <c r="P10"/>
      <c r="Q10"/>
      <c r="R10"/>
      <c r="S10"/>
      <c r="T10"/>
      <c r="U10"/>
      <c r="V10"/>
      <c r="W10"/>
      <c r="X10"/>
      <c r="Y10"/>
      <c r="Z10"/>
      <c r="AA10"/>
      <c r="AB10"/>
      <c r="AC10"/>
      <c r="AD10"/>
      <c r="AE10"/>
    </row>
    <row r="11" spans="1:31" s="66" customFormat="1" ht="12.75" customHeight="1">
      <c r="A11" s="288"/>
      <c r="B11" s="288"/>
      <c r="C11" s="152"/>
      <c r="D11" s="152"/>
      <c r="E11" s="86"/>
      <c r="F11" s="86"/>
      <c r="G11" s="153"/>
      <c r="H11" s="153"/>
      <c r="I11" s="288"/>
      <c r="J11" s="288"/>
      <c r="K11" s="288"/>
      <c r="L11" s="288"/>
      <c r="M11"/>
      <c r="N11"/>
      <c r="O11"/>
      <c r="P11"/>
      <c r="Q11"/>
      <c r="R11"/>
      <c r="S11"/>
      <c r="T11"/>
      <c r="U11"/>
      <c r="V11"/>
      <c r="W11"/>
      <c r="X11"/>
      <c r="Y11"/>
      <c r="Z11"/>
      <c r="AA11"/>
      <c r="AB11"/>
      <c r="AC11"/>
      <c r="AD11"/>
      <c r="AE11"/>
    </row>
    <row r="12" spans="1:31" s="66" customFormat="1" ht="12.75" customHeight="1">
      <c r="A12" s="288"/>
      <c r="B12" s="288"/>
      <c r="C12" s="113" t="s">
        <v>240</v>
      </c>
      <c r="D12" s="113"/>
      <c r="E12" s="86"/>
      <c r="F12" s="86"/>
      <c r="G12" s="153"/>
      <c r="H12" s="153"/>
      <c r="I12" s="288"/>
      <c r="J12" s="288"/>
      <c r="K12" s="288"/>
      <c r="L12" s="288"/>
      <c r="M12"/>
      <c r="N12"/>
      <c r="O12"/>
      <c r="P12"/>
      <c r="Q12"/>
      <c r="R12"/>
      <c r="S12"/>
      <c r="T12"/>
      <c r="U12"/>
      <c r="V12"/>
      <c r="W12"/>
      <c r="X12"/>
      <c r="Y12"/>
      <c r="Z12"/>
      <c r="AA12"/>
      <c r="AB12"/>
      <c r="AC12"/>
      <c r="AD12"/>
      <c r="AE12"/>
    </row>
    <row r="13" spans="1:31" s="66" customFormat="1" ht="12.75" customHeight="1">
      <c r="A13" s="288"/>
      <c r="B13" s="288"/>
      <c r="C13" s="113"/>
      <c r="D13" s="113"/>
      <c r="E13" s="86"/>
      <c r="F13" s="86"/>
      <c r="G13" s="153"/>
      <c r="H13" s="153"/>
      <c r="I13" s="288"/>
      <c r="J13" s="288"/>
      <c r="K13" s="288"/>
      <c r="L13" s="288"/>
      <c r="M13"/>
      <c r="N13"/>
      <c r="O13"/>
      <c r="P13"/>
      <c r="Q13"/>
      <c r="R13"/>
      <c r="S13"/>
      <c r="T13"/>
      <c r="U13"/>
      <c r="V13"/>
      <c r="W13"/>
      <c r="X13"/>
      <c r="Y13"/>
      <c r="Z13"/>
      <c r="AA13"/>
      <c r="AB13"/>
      <c r="AC13"/>
      <c r="AD13"/>
      <c r="AE13"/>
    </row>
    <row r="14" spans="1:31" s="66" customFormat="1" ht="12.75" customHeight="1">
      <c r="A14" s="288"/>
      <c r="B14" s="288"/>
      <c r="C14" s="604"/>
      <c r="D14" s="604"/>
      <c r="E14" s="1469"/>
      <c r="F14" s="1469"/>
      <c r="G14" s="288"/>
      <c r="H14" s="288"/>
      <c r="I14" s="288"/>
      <c r="J14" s="288"/>
      <c r="K14" s="288"/>
      <c r="L14" s="288"/>
      <c r="M14"/>
      <c r="N14"/>
      <c r="O14"/>
      <c r="P14"/>
      <c r="Q14"/>
      <c r="R14"/>
      <c r="S14"/>
      <c r="T14"/>
      <c r="U14"/>
      <c r="V14"/>
      <c r="W14"/>
      <c r="X14"/>
      <c r="Y14"/>
      <c r="Z14"/>
      <c r="AA14"/>
      <c r="AB14"/>
      <c r="AC14"/>
      <c r="AD14"/>
      <c r="AE14"/>
    </row>
    <row r="15" spans="1:31" s="66" customFormat="1" ht="12.75" customHeight="1">
      <c r="A15" s="288"/>
      <c r="B15" s="288"/>
      <c r="C15" s="604"/>
      <c r="D15" s="604"/>
      <c r="E15" s="1469"/>
      <c r="F15" s="1469"/>
      <c r="G15" s="288"/>
      <c r="H15" s="288"/>
      <c r="I15" s="288"/>
      <c r="J15" s="288"/>
      <c r="K15" s="288"/>
      <c r="L15" s="288"/>
      <c r="M15"/>
      <c r="N15"/>
      <c r="O15"/>
      <c r="P15"/>
      <c r="Q15"/>
      <c r="R15"/>
      <c r="S15"/>
      <c r="T15"/>
      <c r="U15"/>
      <c r="V15"/>
      <c r="W15"/>
      <c r="X15"/>
      <c r="Y15"/>
      <c r="Z15"/>
      <c r="AA15"/>
      <c r="AB15"/>
      <c r="AC15"/>
      <c r="AD15"/>
      <c r="AE15"/>
    </row>
    <row r="16" spans="1:31" s="66" customFormat="1" ht="12.75" customHeight="1">
      <c r="A16" s="288"/>
      <c r="B16" s="288"/>
      <c r="C16" s="288"/>
      <c r="D16" s="288"/>
      <c r="E16" s="288"/>
      <c r="F16" s="288"/>
      <c r="G16" s="288"/>
      <c r="H16" s="288"/>
      <c r="I16" s="288"/>
      <c r="J16" s="288"/>
      <c r="K16" s="288"/>
      <c r="L16" s="288"/>
      <c r="M16"/>
      <c r="N16"/>
      <c r="O16"/>
      <c r="P16"/>
      <c r="Q16"/>
      <c r="R16"/>
      <c r="S16"/>
      <c r="T16"/>
      <c r="U16"/>
      <c r="V16"/>
      <c r="W16"/>
      <c r="X16"/>
      <c r="Y16"/>
      <c r="Z16"/>
      <c r="AA16"/>
      <c r="AB16"/>
      <c r="AC16"/>
      <c r="AD16"/>
      <c r="AE16"/>
    </row>
    <row r="17" spans="1:31" s="97" customFormat="1" ht="18">
      <c r="A17" s="798"/>
      <c r="B17" s="798"/>
      <c r="C17" s="956" t="s">
        <v>235</v>
      </c>
      <c r="D17" s="957"/>
      <c r="E17" s="957"/>
      <c r="F17" s="957"/>
      <c r="G17" s="957"/>
      <c r="H17" s="957"/>
      <c r="I17" s="957"/>
      <c r="J17" s="957"/>
      <c r="K17" s="957"/>
      <c r="L17" s="957"/>
      <c r="M17"/>
      <c r="N17"/>
      <c r="O17"/>
      <c r="P17"/>
      <c r="Q17"/>
      <c r="R17"/>
      <c r="S17"/>
      <c r="T17"/>
      <c r="U17"/>
      <c r="V17"/>
      <c r="W17"/>
      <c r="X17"/>
      <c r="Y17"/>
      <c r="Z17"/>
      <c r="AA17"/>
      <c r="AB17"/>
      <c r="AC17"/>
      <c r="AD17"/>
      <c r="AE17"/>
    </row>
    <row r="18" spans="1:31" s="201" customFormat="1" ht="13.5" thickBot="1">
      <c r="A18" s="862"/>
      <c r="B18" s="862"/>
      <c r="C18" s="862"/>
      <c r="D18" s="862"/>
      <c r="E18" s="862"/>
      <c r="F18" s="862"/>
      <c r="G18" s="862"/>
      <c r="H18" s="862"/>
      <c r="I18" s="862"/>
      <c r="J18" s="862"/>
      <c r="K18" s="862"/>
      <c r="L18" s="862"/>
    </row>
    <row r="19" spans="1:31" s="1433" customFormat="1" ht="15.75" thickBot="1">
      <c r="A19" s="1115"/>
      <c r="B19" s="1115"/>
      <c r="C19" s="923" t="s">
        <v>403</v>
      </c>
      <c r="D19" s="924"/>
      <c r="E19" s="925"/>
      <c r="F19" s="1115"/>
      <c r="G19" s="1115"/>
      <c r="H19" s="1115"/>
      <c r="I19" s="1115"/>
      <c r="J19" s="1115"/>
      <c r="K19" s="1115"/>
      <c r="L19" s="1115"/>
    </row>
    <row r="20" spans="1:31" s="1433" customFormat="1" ht="27" customHeight="1" thickBot="1">
      <c r="A20" s="1115"/>
      <c r="B20" s="1115"/>
      <c r="C20" s="926" t="s">
        <v>743</v>
      </c>
      <c r="D20" s="927" t="s">
        <v>744</v>
      </c>
      <c r="E20" s="929" t="s">
        <v>745</v>
      </c>
      <c r="F20" s="1115"/>
      <c r="G20" s="1115"/>
      <c r="H20" s="1115"/>
      <c r="I20" s="1115"/>
      <c r="J20" s="1115"/>
      <c r="K20" s="1115"/>
      <c r="L20" s="1115"/>
    </row>
    <row r="21" spans="1:31" ht="40.5" customHeight="1" thickBot="1">
      <c r="A21" s="288"/>
      <c r="B21" s="288"/>
      <c r="C21" s="844" t="s">
        <v>231</v>
      </c>
      <c r="D21" s="938"/>
      <c r="E21" s="938"/>
      <c r="F21" s="644"/>
      <c r="G21" s="644"/>
      <c r="H21" s="644"/>
      <c r="I21" s="644"/>
      <c r="J21" s="288"/>
      <c r="K21" s="288"/>
      <c r="L21" s="288"/>
    </row>
    <row r="22" spans="1:31" s="1427" customFormat="1" ht="23.25" customHeight="1" thickBot="1">
      <c r="A22" s="1429"/>
      <c r="B22" s="1429"/>
      <c r="C22" s="936" t="s">
        <v>125</v>
      </c>
      <c r="D22" s="154"/>
      <c r="E22" s="154"/>
      <c r="F22" s="1115"/>
      <c r="G22" s="1115"/>
      <c r="H22" s="1115"/>
      <c r="I22" s="1115"/>
      <c r="J22" s="1429"/>
      <c r="K22" s="1429"/>
      <c r="L22" s="1429"/>
    </row>
    <row r="23" spans="1:31" ht="15.75" thickBot="1">
      <c r="A23" s="288"/>
      <c r="B23" s="288"/>
      <c r="C23" s="922"/>
      <c r="D23" s="143"/>
      <c r="E23" s="143"/>
      <c r="F23" s="644"/>
      <c r="G23" s="644"/>
      <c r="H23" s="644"/>
      <c r="I23" s="644"/>
      <c r="J23" s="288"/>
      <c r="K23" s="288"/>
      <c r="L23" s="288"/>
    </row>
    <row r="24" spans="1:31" s="96" customFormat="1" ht="20.25" customHeight="1" thickBot="1">
      <c r="A24" s="798"/>
      <c r="B24" s="798"/>
      <c r="C24" s="923" t="s">
        <v>746</v>
      </c>
      <c r="D24" s="924"/>
      <c r="E24" s="925"/>
      <c r="F24" s="288"/>
      <c r="G24" s="288"/>
      <c r="H24" s="288"/>
      <c r="I24" s="288"/>
      <c r="J24" s="798"/>
      <c r="K24" s="798"/>
      <c r="L24" s="798"/>
      <c r="M24"/>
      <c r="N24"/>
      <c r="O24"/>
      <c r="P24"/>
      <c r="Q24"/>
      <c r="R24"/>
      <c r="S24"/>
      <c r="T24"/>
      <c r="U24"/>
      <c r="V24"/>
      <c r="W24"/>
      <c r="X24"/>
      <c r="Y24"/>
      <c r="Z24"/>
      <c r="AA24"/>
      <c r="AB24"/>
      <c r="AC24"/>
      <c r="AD24"/>
      <c r="AE24"/>
    </row>
    <row r="25" spans="1:31" ht="31.5" customHeight="1">
      <c r="A25" s="288"/>
      <c r="B25" s="288"/>
      <c r="C25" s="926" t="s">
        <v>222</v>
      </c>
      <c r="D25" s="927" t="s">
        <v>223</v>
      </c>
      <c r="E25" s="929" t="str">
        <f>CONCATENATE("Annual bill amount 
($",CRCP_y5,")")</f>
        <v>Annual bill amount 
($2017)</v>
      </c>
      <c r="F25" s="644"/>
      <c r="G25" s="644"/>
      <c r="H25" s="644"/>
      <c r="I25" s="644"/>
      <c r="J25" s="288"/>
      <c r="K25" s="288"/>
      <c r="L25" s="288"/>
    </row>
    <row r="26" spans="1:31" s="66" customFormat="1">
      <c r="A26" s="288"/>
      <c r="B26" s="288"/>
      <c r="C26" s="932" t="s">
        <v>236</v>
      </c>
      <c r="D26" s="928"/>
      <c r="E26" s="930"/>
      <c r="F26" s="644"/>
      <c r="G26" s="644"/>
      <c r="H26" s="644"/>
      <c r="I26" s="644"/>
      <c r="J26" s="288"/>
      <c r="K26" s="288"/>
      <c r="L26" s="288"/>
      <c r="M26"/>
      <c r="N26"/>
      <c r="O26"/>
      <c r="P26"/>
      <c r="Q26"/>
      <c r="R26"/>
      <c r="S26"/>
      <c r="T26"/>
      <c r="U26"/>
      <c r="V26"/>
      <c r="W26"/>
      <c r="X26"/>
      <c r="Y26"/>
      <c r="Z26"/>
      <c r="AA26"/>
      <c r="AB26"/>
      <c r="AC26"/>
      <c r="AD26"/>
      <c r="AE26"/>
    </row>
    <row r="27" spans="1:31" s="66" customFormat="1">
      <c r="A27" s="288"/>
      <c r="B27" s="288"/>
      <c r="C27" s="932" t="s">
        <v>224</v>
      </c>
      <c r="D27" s="928"/>
      <c r="E27" s="931"/>
      <c r="F27" s="644"/>
      <c r="G27" s="644"/>
      <c r="H27" s="644"/>
      <c r="I27" s="644"/>
      <c r="J27" s="288"/>
      <c r="K27" s="288"/>
      <c r="L27" s="288"/>
      <c r="M27"/>
      <c r="N27"/>
      <c r="O27"/>
      <c r="P27"/>
      <c r="Q27"/>
      <c r="R27"/>
      <c r="S27"/>
      <c r="T27"/>
      <c r="U27"/>
      <c r="V27"/>
      <c r="W27"/>
      <c r="X27"/>
      <c r="Y27"/>
      <c r="Z27"/>
      <c r="AA27"/>
      <c r="AB27"/>
      <c r="AC27"/>
      <c r="AD27"/>
      <c r="AE27"/>
    </row>
    <row r="28" spans="1:31" s="66" customFormat="1">
      <c r="A28" s="288"/>
      <c r="B28" s="288"/>
      <c r="C28" s="932" t="s">
        <v>224</v>
      </c>
      <c r="D28" s="928"/>
      <c r="E28" s="931"/>
      <c r="F28" s="644"/>
      <c r="G28" s="644"/>
      <c r="H28" s="644"/>
      <c r="I28" s="644"/>
      <c r="J28" s="288"/>
      <c r="K28" s="288"/>
      <c r="L28" s="288"/>
      <c r="M28"/>
      <c r="N28"/>
      <c r="O28"/>
      <c r="P28"/>
      <c r="Q28"/>
      <c r="R28"/>
      <c r="S28"/>
      <c r="T28"/>
      <c r="U28"/>
      <c r="V28"/>
      <c r="W28"/>
      <c r="X28"/>
      <c r="Y28"/>
      <c r="Z28"/>
      <c r="AA28"/>
      <c r="AB28"/>
      <c r="AC28"/>
      <c r="AD28"/>
      <c r="AE28"/>
    </row>
    <row r="29" spans="1:31" s="66" customFormat="1">
      <c r="A29" s="288"/>
      <c r="B29" s="288"/>
      <c r="C29" s="932" t="s">
        <v>224</v>
      </c>
      <c r="D29" s="928"/>
      <c r="E29" s="931"/>
      <c r="F29" s="644"/>
      <c r="G29" s="644"/>
      <c r="H29" s="644"/>
      <c r="I29" s="644"/>
      <c r="J29" s="288"/>
      <c r="K29" s="288"/>
      <c r="L29" s="288"/>
      <c r="M29"/>
      <c r="N29"/>
      <c r="O29"/>
      <c r="P29"/>
      <c r="Q29"/>
      <c r="R29"/>
      <c r="S29"/>
      <c r="T29"/>
      <c r="U29"/>
      <c r="V29"/>
      <c r="W29"/>
      <c r="X29"/>
      <c r="Y29"/>
      <c r="Z29"/>
      <c r="AA29"/>
      <c r="AB29"/>
      <c r="AC29"/>
      <c r="AD29"/>
      <c r="AE29"/>
    </row>
    <row r="30" spans="1:31" s="66" customFormat="1" ht="13.5" thickBot="1">
      <c r="A30" s="288"/>
      <c r="B30" s="288"/>
      <c r="C30" s="933" t="s">
        <v>224</v>
      </c>
      <c r="D30" s="934"/>
      <c r="E30" s="935"/>
      <c r="F30" s="644"/>
      <c r="G30" s="644"/>
      <c r="H30" s="644"/>
      <c r="I30" s="644"/>
      <c r="J30" s="288"/>
      <c r="K30" s="288"/>
      <c r="L30" s="288"/>
      <c r="M30"/>
      <c r="N30"/>
      <c r="O30"/>
      <c r="P30"/>
      <c r="Q30"/>
      <c r="R30"/>
      <c r="S30"/>
      <c r="T30"/>
      <c r="U30"/>
      <c r="V30"/>
      <c r="W30"/>
      <c r="X30"/>
      <c r="Y30"/>
      <c r="Z30"/>
      <c r="AA30"/>
      <c r="AB30"/>
      <c r="AC30"/>
      <c r="AD30"/>
      <c r="AE30"/>
    </row>
    <row r="31" spans="1:31" s="66" customFormat="1" ht="23.25" customHeight="1" thickBot="1">
      <c r="A31" s="288"/>
      <c r="B31" s="288"/>
      <c r="C31" s="936" t="s">
        <v>125</v>
      </c>
      <c r="D31" s="937"/>
      <c r="E31" s="938"/>
      <c r="F31" s="644"/>
      <c r="G31" s="644"/>
      <c r="H31" s="644"/>
      <c r="I31" s="644"/>
      <c r="J31" s="288"/>
      <c r="K31" s="288"/>
      <c r="L31" s="288"/>
      <c r="M31"/>
      <c r="N31"/>
      <c r="O31"/>
      <c r="P31"/>
      <c r="Q31"/>
      <c r="R31"/>
      <c r="S31"/>
      <c r="T31"/>
      <c r="U31"/>
      <c r="V31"/>
      <c r="W31"/>
      <c r="X31"/>
      <c r="Y31"/>
      <c r="Z31"/>
      <c r="AA31"/>
      <c r="AB31"/>
      <c r="AC31"/>
      <c r="AD31"/>
      <c r="AE31"/>
    </row>
    <row r="32" spans="1:31" ht="36" customHeight="1" thickBot="1">
      <c r="A32" s="288"/>
      <c r="B32" s="288"/>
      <c r="C32" s="143"/>
      <c r="D32" s="143"/>
      <c r="E32" s="143"/>
      <c r="F32" s="644"/>
      <c r="G32" s="644"/>
      <c r="H32" s="644"/>
      <c r="I32" s="644"/>
      <c r="J32" s="288"/>
      <c r="K32" s="288"/>
      <c r="L32" s="288"/>
    </row>
    <row r="33" spans="1:31" s="96" customFormat="1" ht="20.25" customHeight="1" thickBot="1">
      <c r="A33" s="798"/>
      <c r="B33" s="798"/>
      <c r="C33" s="923" t="s">
        <v>747</v>
      </c>
      <c r="D33" s="924"/>
      <c r="E33" s="925"/>
      <c r="F33" s="288"/>
      <c r="G33" s="288"/>
      <c r="H33" s="288"/>
      <c r="I33" s="288"/>
      <c r="J33" s="798"/>
      <c r="K33" s="798"/>
      <c r="L33" s="798"/>
      <c r="M33"/>
      <c r="N33"/>
      <c r="O33"/>
      <c r="P33"/>
      <c r="Q33"/>
      <c r="R33"/>
      <c r="S33"/>
      <c r="T33"/>
      <c r="U33"/>
      <c r="V33"/>
      <c r="W33"/>
      <c r="X33"/>
      <c r="Y33"/>
      <c r="Z33"/>
      <c r="AA33"/>
      <c r="AB33"/>
      <c r="AC33"/>
      <c r="AD33"/>
      <c r="AE33"/>
    </row>
    <row r="34" spans="1:31" s="66" customFormat="1" ht="31.5" customHeight="1">
      <c r="A34" s="288"/>
      <c r="B34" s="288"/>
      <c r="C34" s="926" t="s">
        <v>222</v>
      </c>
      <c r="D34" s="927" t="s">
        <v>223</v>
      </c>
      <c r="E34" s="929" t="str">
        <f>CONCATENATE("Annual bill amount 
($",CRCP_y5,")")</f>
        <v>Annual bill amount 
($2017)</v>
      </c>
      <c r="F34" s="644"/>
      <c r="G34" s="644"/>
      <c r="H34" s="644"/>
      <c r="I34" s="644"/>
      <c r="J34" s="288"/>
      <c r="K34" s="288"/>
      <c r="L34" s="288"/>
      <c r="M34"/>
      <c r="N34"/>
      <c r="O34"/>
      <c r="P34"/>
      <c r="Q34"/>
      <c r="R34"/>
      <c r="S34"/>
      <c r="T34"/>
      <c r="U34"/>
      <c r="V34"/>
      <c r="W34"/>
      <c r="X34"/>
      <c r="Y34"/>
      <c r="Z34"/>
      <c r="AA34"/>
      <c r="AB34"/>
      <c r="AC34"/>
      <c r="AD34"/>
      <c r="AE34"/>
    </row>
    <row r="35" spans="1:31" s="66" customFormat="1">
      <c r="A35" s="288"/>
      <c r="B35" s="288"/>
      <c r="C35" s="932" t="s">
        <v>237</v>
      </c>
      <c r="D35" s="928"/>
      <c r="E35" s="931"/>
      <c r="F35" s="644"/>
      <c r="G35" s="644"/>
      <c r="H35" s="644"/>
      <c r="I35" s="644"/>
      <c r="J35" s="288"/>
      <c r="K35" s="288"/>
      <c r="L35" s="288"/>
      <c r="M35"/>
      <c r="N35"/>
      <c r="O35"/>
      <c r="P35"/>
      <c r="Q35"/>
      <c r="R35"/>
      <c r="S35"/>
      <c r="T35"/>
      <c r="U35"/>
      <c r="V35"/>
      <c r="W35"/>
      <c r="X35"/>
      <c r="Y35"/>
      <c r="Z35"/>
      <c r="AA35"/>
      <c r="AB35"/>
      <c r="AC35"/>
      <c r="AD35"/>
      <c r="AE35"/>
    </row>
    <row r="36" spans="1:31" s="66" customFormat="1">
      <c r="A36" s="288"/>
      <c r="B36" s="288"/>
      <c r="C36" s="932" t="s">
        <v>230</v>
      </c>
      <c r="D36" s="928"/>
      <c r="E36" s="931"/>
      <c r="F36" s="644"/>
      <c r="G36" s="644"/>
      <c r="H36" s="644"/>
      <c r="I36" s="644"/>
      <c r="J36" s="288"/>
      <c r="K36" s="288"/>
      <c r="L36" s="288"/>
      <c r="M36"/>
      <c r="N36"/>
      <c r="O36"/>
      <c r="P36"/>
      <c r="Q36"/>
      <c r="R36"/>
      <c r="S36"/>
      <c r="T36"/>
      <c r="U36"/>
      <c r="V36"/>
      <c r="W36"/>
      <c r="X36"/>
      <c r="Y36"/>
      <c r="Z36"/>
      <c r="AA36"/>
      <c r="AB36"/>
      <c r="AC36"/>
      <c r="AD36"/>
      <c r="AE36"/>
    </row>
    <row r="37" spans="1:31" s="66" customFormat="1">
      <c r="A37" s="288"/>
      <c r="B37" s="288"/>
      <c r="C37" s="932" t="s">
        <v>230</v>
      </c>
      <c r="D37" s="928"/>
      <c r="E37" s="931"/>
      <c r="F37" s="644"/>
      <c r="G37" s="644"/>
      <c r="H37" s="644"/>
      <c r="I37" s="644"/>
      <c r="J37" s="288"/>
      <c r="K37" s="288"/>
      <c r="L37" s="288"/>
      <c r="M37"/>
      <c r="N37"/>
      <c r="O37"/>
      <c r="P37"/>
      <c r="Q37"/>
      <c r="R37"/>
      <c r="S37"/>
      <c r="T37"/>
      <c r="U37"/>
      <c r="V37"/>
      <c r="W37"/>
      <c r="X37"/>
      <c r="Y37"/>
      <c r="Z37"/>
      <c r="AA37"/>
      <c r="AB37"/>
      <c r="AC37"/>
      <c r="AD37"/>
      <c r="AE37"/>
    </row>
    <row r="38" spans="1:31" s="66" customFormat="1" ht="13.5" thickBot="1">
      <c r="A38" s="288"/>
      <c r="B38" s="288"/>
      <c r="C38" s="932" t="s">
        <v>230</v>
      </c>
      <c r="D38" s="928"/>
      <c r="E38" s="931"/>
      <c r="F38" s="644"/>
      <c r="G38" s="644"/>
      <c r="H38" s="644"/>
      <c r="I38" s="644"/>
      <c r="J38" s="288"/>
      <c r="K38" s="288"/>
      <c r="L38" s="288"/>
      <c r="M38"/>
      <c r="N38"/>
      <c r="O38"/>
      <c r="P38"/>
      <c r="Q38"/>
      <c r="R38"/>
      <c r="S38"/>
      <c r="T38"/>
      <c r="U38"/>
      <c r="V38"/>
      <c r="W38"/>
      <c r="X38"/>
      <c r="Y38"/>
      <c r="Z38"/>
      <c r="AA38"/>
      <c r="AB38"/>
      <c r="AC38"/>
      <c r="AD38"/>
      <c r="AE38"/>
    </row>
    <row r="39" spans="1:31" s="66" customFormat="1" ht="23.25" customHeight="1" thickBot="1">
      <c r="A39" s="288"/>
      <c r="B39" s="288"/>
      <c r="C39" s="1861" t="s">
        <v>125</v>
      </c>
      <c r="D39" s="937"/>
      <c r="E39" s="938"/>
      <c r="F39" s="644"/>
      <c r="G39" s="644"/>
      <c r="H39" s="644"/>
      <c r="I39" s="644"/>
      <c r="J39" s="288"/>
      <c r="K39" s="288"/>
      <c r="L39" s="288"/>
      <c r="M39"/>
      <c r="N39"/>
      <c r="O39"/>
      <c r="P39"/>
      <c r="Q39"/>
      <c r="R39"/>
      <c r="S39"/>
      <c r="T39"/>
      <c r="U39"/>
      <c r="V39"/>
      <c r="W39"/>
      <c r="X39"/>
      <c r="Y39"/>
      <c r="Z39"/>
      <c r="AA39"/>
      <c r="AB39"/>
      <c r="AC39"/>
      <c r="AD39"/>
      <c r="AE39"/>
    </row>
    <row r="40" spans="1:31" ht="50.25" customHeight="1" thickBot="1">
      <c r="A40" s="288"/>
      <c r="B40" s="288"/>
      <c r="C40" s="143"/>
      <c r="D40" s="143"/>
      <c r="E40" s="143"/>
      <c r="F40" s="644"/>
      <c r="G40" s="644"/>
      <c r="H40" s="644"/>
      <c r="I40" s="644"/>
      <c r="J40" s="288"/>
      <c r="K40" s="288"/>
      <c r="L40" s="288"/>
    </row>
    <row r="41" spans="1:31" s="96" customFormat="1" ht="20.25" customHeight="1" thickBot="1">
      <c r="A41" s="798"/>
      <c r="B41" s="798"/>
      <c r="C41" s="923" t="s">
        <v>748</v>
      </c>
      <c r="D41" s="924"/>
      <c r="E41" s="924"/>
      <c r="F41" s="924"/>
      <c r="G41" s="924"/>
      <c r="H41" s="924"/>
      <c r="I41" s="925"/>
      <c r="J41" s="798"/>
      <c r="K41" s="798"/>
      <c r="M41"/>
      <c r="N41"/>
      <c r="O41"/>
      <c r="P41"/>
      <c r="Q41"/>
      <c r="R41"/>
      <c r="S41"/>
      <c r="T41"/>
      <c r="U41"/>
      <c r="V41"/>
      <c r="W41"/>
      <c r="X41"/>
      <c r="Y41"/>
      <c r="Z41"/>
      <c r="AA41"/>
      <c r="AB41"/>
      <c r="AC41"/>
      <c r="AD41"/>
      <c r="AE41"/>
    </row>
    <row r="42" spans="1:31">
      <c r="A42" s="288"/>
      <c r="B42" s="288"/>
      <c r="C42" s="939"/>
      <c r="D42" s="927" t="str">
        <f>FRCP_y1</f>
        <v>2018</v>
      </c>
      <c r="E42" s="927">
        <f>FRCP_y2</f>
        <v>2019</v>
      </c>
      <c r="F42" s="927">
        <f>FRCP_y3</f>
        <v>2020</v>
      </c>
      <c r="G42" s="927">
        <f>FRCP_y4</f>
        <v>2021</v>
      </c>
      <c r="H42" s="927">
        <f>FRCP_y5</f>
        <v>2022</v>
      </c>
      <c r="I42" s="940" t="s">
        <v>225</v>
      </c>
      <c r="J42" s="288"/>
      <c r="K42" s="288"/>
    </row>
    <row r="43" spans="1:31">
      <c r="A43" s="288"/>
      <c r="B43" s="288"/>
      <c r="C43" s="806" t="s">
        <v>226</v>
      </c>
      <c r="D43" s="941"/>
      <c r="E43" s="941"/>
      <c r="F43" s="941"/>
      <c r="G43" s="941"/>
      <c r="H43" s="941"/>
      <c r="I43" s="949"/>
      <c r="J43" s="288"/>
      <c r="K43" s="288"/>
    </row>
    <row r="44" spans="1:31">
      <c r="A44" s="288"/>
      <c r="B44" s="288"/>
      <c r="C44" s="806" t="str">
        <f>CONCATENATE("Forecast smoothed revenues ($",CRCP_y5,")")</f>
        <v>Forecast smoothed revenues ($2017)</v>
      </c>
      <c r="D44" s="941"/>
      <c r="E44" s="941"/>
      <c r="F44" s="941"/>
      <c r="G44" s="941"/>
      <c r="H44" s="941"/>
      <c r="I44" s="949"/>
      <c r="J44" s="288"/>
      <c r="K44" s="288"/>
    </row>
    <row r="45" spans="1:31">
      <c r="A45" s="288"/>
      <c r="B45" s="288"/>
      <c r="C45" s="946"/>
      <c r="D45" s="942"/>
      <c r="E45" s="942"/>
      <c r="F45" s="942"/>
      <c r="G45" s="942"/>
      <c r="H45" s="942"/>
      <c r="I45" s="949"/>
      <c r="J45" s="288"/>
      <c r="K45" s="288"/>
    </row>
    <row r="46" spans="1:31">
      <c r="A46" s="288"/>
      <c r="B46" s="288"/>
      <c r="C46" s="806" t="s">
        <v>239</v>
      </c>
      <c r="D46" s="941"/>
      <c r="E46" s="941"/>
      <c r="F46" s="941"/>
      <c r="G46" s="941"/>
      <c r="H46" s="941"/>
      <c r="I46" s="949"/>
      <c r="J46" s="288"/>
      <c r="K46" s="288"/>
    </row>
    <row r="47" spans="1:31">
      <c r="A47" s="288"/>
      <c r="B47" s="288"/>
      <c r="C47" s="946"/>
      <c r="D47" s="942"/>
      <c r="E47" s="942"/>
      <c r="F47" s="942"/>
      <c r="G47" s="942"/>
      <c r="H47" s="942"/>
      <c r="I47" s="949"/>
      <c r="J47" s="288"/>
      <c r="K47" s="288"/>
    </row>
    <row r="48" spans="1:31">
      <c r="A48" s="288"/>
      <c r="B48" s="288"/>
      <c r="C48" s="806" t="s">
        <v>238</v>
      </c>
      <c r="D48" s="943" t="e">
        <f t="shared" ref="D48:H48" si="0">+D43/D46</f>
        <v>#DIV/0!</v>
      </c>
      <c r="E48" s="943" t="e">
        <f t="shared" si="0"/>
        <v>#DIV/0!</v>
      </c>
      <c r="F48" s="943" t="e">
        <f t="shared" si="0"/>
        <v>#DIV/0!</v>
      </c>
      <c r="G48" s="943" t="e">
        <f t="shared" si="0"/>
        <v>#DIV/0!</v>
      </c>
      <c r="H48" s="943" t="e">
        <f t="shared" si="0"/>
        <v>#DIV/0!</v>
      </c>
      <c r="I48" s="949"/>
      <c r="J48" s="288"/>
      <c r="K48" s="288"/>
    </row>
    <row r="49" spans="1:12">
      <c r="A49" s="288"/>
      <c r="B49" s="288"/>
      <c r="C49" s="806" t="str">
        <f>CONCATENATE("Annual price path ($/GJ, ",CRCP_y5,")")</f>
        <v>Annual price path ($/GJ, 2017)</v>
      </c>
      <c r="D49" s="943" t="e">
        <f t="shared" ref="D49:H49" si="1">+D44/D46</f>
        <v>#DIV/0!</v>
      </c>
      <c r="E49" s="943" t="e">
        <f t="shared" si="1"/>
        <v>#DIV/0!</v>
      </c>
      <c r="F49" s="943" t="e">
        <f t="shared" si="1"/>
        <v>#DIV/0!</v>
      </c>
      <c r="G49" s="943" t="e">
        <f t="shared" si="1"/>
        <v>#DIV/0!</v>
      </c>
      <c r="H49" s="943" t="e">
        <f t="shared" si="1"/>
        <v>#DIV/0!</v>
      </c>
      <c r="I49" s="949"/>
      <c r="J49" s="288"/>
      <c r="K49" s="288"/>
    </row>
    <row r="50" spans="1:12">
      <c r="A50" s="288"/>
      <c r="B50" s="288"/>
      <c r="C50" s="946"/>
      <c r="D50" s="942"/>
      <c r="E50" s="942"/>
      <c r="F50" s="942"/>
      <c r="G50" s="942"/>
      <c r="H50" s="942"/>
      <c r="I50" s="949"/>
      <c r="J50" s="288"/>
      <c r="K50" s="288"/>
    </row>
    <row r="51" spans="1:12">
      <c r="A51" s="288"/>
      <c r="B51" s="288"/>
      <c r="C51" s="806" t="s">
        <v>227</v>
      </c>
      <c r="D51" s="944" t="e">
        <f>+D48/#REF!-1</f>
        <v>#DIV/0!</v>
      </c>
      <c r="E51" s="944" t="e">
        <f t="shared" ref="E51:H52" si="2">+E48/D48-1</f>
        <v>#DIV/0!</v>
      </c>
      <c r="F51" s="944" t="e">
        <f t="shared" si="2"/>
        <v>#DIV/0!</v>
      </c>
      <c r="G51" s="944" t="e">
        <f t="shared" si="2"/>
        <v>#DIV/0!</v>
      </c>
      <c r="H51" s="944" t="e">
        <f t="shared" si="2"/>
        <v>#DIV/0!</v>
      </c>
      <c r="I51" s="947" t="e">
        <f>+AVERAGE(D51:H51)</f>
        <v>#DIV/0!</v>
      </c>
      <c r="J51" s="288"/>
      <c r="K51" s="288"/>
    </row>
    <row r="52" spans="1:12" ht="13.5" thickBot="1">
      <c r="A52" s="288"/>
      <c r="B52" s="288"/>
      <c r="C52" s="807" t="str">
        <f>CONCATENATE("Annual price path (per cent,  $",CRCP_y5,")")</f>
        <v>Annual price path (per cent,  $2017)</v>
      </c>
      <c r="D52" s="945" t="e">
        <f>+D49/#REF!-1</f>
        <v>#DIV/0!</v>
      </c>
      <c r="E52" s="945" t="e">
        <f t="shared" si="2"/>
        <v>#DIV/0!</v>
      </c>
      <c r="F52" s="945" t="e">
        <f t="shared" si="2"/>
        <v>#DIV/0!</v>
      </c>
      <c r="G52" s="945" t="e">
        <f t="shared" si="2"/>
        <v>#DIV/0!</v>
      </c>
      <c r="H52" s="945" t="e">
        <f t="shared" si="2"/>
        <v>#DIV/0!</v>
      </c>
      <c r="I52" s="948" t="e">
        <f>+AVERAGE(D52:H52)</f>
        <v>#DIV/0!</v>
      </c>
      <c r="J52" s="288"/>
      <c r="K52" s="288"/>
    </row>
    <row r="53" spans="1:12">
      <c r="A53" s="288"/>
      <c r="B53" s="288"/>
      <c r="C53" s="20"/>
      <c r="D53" s="20"/>
      <c r="E53" s="20"/>
      <c r="F53" s="20"/>
      <c r="G53" s="20"/>
      <c r="H53" s="20"/>
      <c r="I53" s="20"/>
      <c r="J53" s="20"/>
      <c r="K53" s="288"/>
      <c r="L53" s="288"/>
    </row>
    <row r="54" spans="1:12" ht="13.5" thickBot="1">
      <c r="A54" s="288"/>
      <c r="B54" s="288"/>
      <c r="C54" s="20"/>
      <c r="D54" s="20"/>
      <c r="E54" s="20"/>
      <c r="F54" s="20"/>
      <c r="G54" s="20"/>
      <c r="H54" s="20"/>
      <c r="I54" s="20"/>
      <c r="J54" s="20"/>
      <c r="K54" s="288"/>
      <c r="L54" s="288"/>
    </row>
    <row r="55" spans="1:12" s="96" customFormat="1" ht="20.25" customHeight="1" thickBot="1">
      <c r="A55" s="798"/>
      <c r="B55" s="798"/>
      <c r="C55" s="858" t="s">
        <v>749</v>
      </c>
      <c r="D55" s="859"/>
      <c r="E55" s="924"/>
      <c r="F55" s="924"/>
      <c r="G55" s="924"/>
      <c r="H55" s="924"/>
      <c r="I55" s="924"/>
      <c r="J55" s="924"/>
      <c r="K55" s="859"/>
      <c r="L55" s="860"/>
    </row>
    <row r="56" spans="1:12" ht="16.5" customHeight="1">
      <c r="A56" s="768" t="s">
        <v>579</v>
      </c>
      <c r="B56" s="288"/>
      <c r="C56" s="3930" t="s">
        <v>222</v>
      </c>
      <c r="D56" s="3931"/>
      <c r="E56" s="3934" t="s">
        <v>579</v>
      </c>
      <c r="F56" s="3935"/>
      <c r="G56" s="3935"/>
      <c r="H56" s="3935"/>
      <c r="I56" s="3935"/>
      <c r="J56" s="3936"/>
      <c r="K56" s="3944" t="s">
        <v>225</v>
      </c>
      <c r="L56" s="3946" t="s">
        <v>228</v>
      </c>
    </row>
    <row r="57" spans="1:12" ht="25.5" customHeight="1" thickBot="1">
      <c r="A57" s="586">
        <f>CRCP_y6</f>
        <v>2018</v>
      </c>
      <c r="B57" s="288"/>
      <c r="C57" s="3950"/>
      <c r="D57" s="3951"/>
      <c r="E57" s="1866" t="str">
        <f>FRCP_y1</f>
        <v>2018</v>
      </c>
      <c r="F57" s="1867">
        <f>FRCP_y2</f>
        <v>2019</v>
      </c>
      <c r="G57" s="1867">
        <f>FRCP_y3</f>
        <v>2020</v>
      </c>
      <c r="H57" s="1867">
        <f>FRCP_y4</f>
        <v>2021</v>
      </c>
      <c r="I57" s="1867">
        <f>FRCP_y5</f>
        <v>2022</v>
      </c>
      <c r="J57" s="1868" t="s">
        <v>233</v>
      </c>
      <c r="K57" s="3945"/>
      <c r="L57" s="3947"/>
    </row>
    <row r="58" spans="1:12">
      <c r="A58" s="288"/>
      <c r="B58" s="288"/>
      <c r="C58" s="3952" t="str">
        <f>+C26</f>
        <v>eg Residential customer bill - reference service</v>
      </c>
      <c r="D58" s="3953"/>
      <c r="E58" s="952" t="e">
        <f>+D58*(1+IF($D$55="Nominal",D$51,D$52))</f>
        <v>#DIV/0!</v>
      </c>
      <c r="F58" s="952" t="e">
        <f>+E58*(1+IF($D$55="Nominal",E$51,E$52))</f>
        <v>#DIV/0!</v>
      </c>
      <c r="G58" s="952" t="e">
        <f>+F58*(1+IF($D$55="Nominal",F$51,F$52))</f>
        <v>#DIV/0!</v>
      </c>
      <c r="H58" s="952" t="e">
        <f>+G58*(1+IF($D$55="Nominal",G$51,G$52))</f>
        <v>#DIV/0!</v>
      </c>
      <c r="I58" s="1875" t="e">
        <f>+H58*(1+IF($D$55="Nominal",H$51,H$52))</f>
        <v>#DIV/0!</v>
      </c>
      <c r="J58" s="1887" t="e">
        <f>+SUM(E58:I58)</f>
        <v>#DIV/0!</v>
      </c>
      <c r="K58" s="1870" t="e">
        <f>+AVERAGE(E58:I58)</f>
        <v>#DIV/0!</v>
      </c>
      <c r="L58" s="1529"/>
    </row>
    <row r="59" spans="1:12" s="1865" customFormat="1">
      <c r="A59" s="1862"/>
      <c r="B59" s="1862"/>
      <c r="C59" s="3926" t="s">
        <v>229</v>
      </c>
      <c r="D59" s="3940"/>
      <c r="E59" s="1863" t="e">
        <f>+E58-D58</f>
        <v>#DIV/0!</v>
      </c>
      <c r="F59" s="1863" t="e">
        <f>+F58-E58</f>
        <v>#DIV/0!</v>
      </c>
      <c r="G59" s="1863" t="e">
        <f>+G58-F58</f>
        <v>#DIV/0!</v>
      </c>
      <c r="H59" s="1863" t="e">
        <f>+H58-G58</f>
        <v>#DIV/0!</v>
      </c>
      <c r="I59" s="1876" t="e">
        <f>+I58-H58</f>
        <v>#DIV/0!</v>
      </c>
      <c r="J59" s="1888" t="e">
        <f>+SUM(E59:I59)</f>
        <v>#DIV/0!</v>
      </c>
      <c r="K59" s="1871" t="e">
        <f>+AVERAGE(E59:I59)</f>
        <v>#DIV/0!</v>
      </c>
      <c r="L59" s="1864" t="e">
        <f>+K59/E26</f>
        <v>#DIV/0!</v>
      </c>
    </row>
    <row r="60" spans="1:12" s="1427" customFormat="1">
      <c r="A60" s="1429"/>
      <c r="B60" s="1429"/>
      <c r="C60" s="3928"/>
      <c r="D60" s="3941"/>
      <c r="E60" s="1468"/>
      <c r="F60" s="954"/>
      <c r="G60" s="954"/>
      <c r="H60" s="954"/>
      <c r="I60" s="954"/>
      <c r="J60" s="1881"/>
      <c r="K60" s="1883"/>
      <c r="L60" s="1530"/>
    </row>
    <row r="61" spans="1:12" s="1427" customFormat="1">
      <c r="A61" s="1429"/>
      <c r="B61" s="1429"/>
      <c r="C61" s="3922" t="str">
        <f>+C27</f>
        <v>&lt;NSP to insert any additional items&gt;</v>
      </c>
      <c r="D61" s="3939"/>
      <c r="E61" s="953" t="e">
        <f>+D61*(1+IF($D$55="Nominal",D$51,D$52))</f>
        <v>#DIV/0!</v>
      </c>
      <c r="F61" s="953" t="e">
        <f>+E61*(1+IF($D$55="Nominal",E$51,E$52))</f>
        <v>#DIV/0!</v>
      </c>
      <c r="G61" s="953" t="e">
        <f>+F61*(1+IF($D$55="Nominal",F$51,F$52))</f>
        <v>#DIV/0!</v>
      </c>
      <c r="H61" s="953" t="e">
        <f>+G61*(1+IF($D$55="Nominal",G$51,G$52))</f>
        <v>#DIV/0!</v>
      </c>
      <c r="I61" s="1877" t="e">
        <f>+H61*(1+IF($D$55="Nominal",H$51,H$52))</f>
        <v>#DIV/0!</v>
      </c>
      <c r="J61" s="1889" t="e">
        <f>+SUM(E61:I61)</f>
        <v>#DIV/0!</v>
      </c>
      <c r="K61" s="1874" t="e">
        <f>+AVERAGE(E61:I61)</f>
        <v>#DIV/0!</v>
      </c>
      <c r="L61" s="1531"/>
    </row>
    <row r="62" spans="1:12" s="1865" customFormat="1">
      <c r="A62" s="1862"/>
      <c r="B62" s="1862"/>
      <c r="C62" s="3926" t="s">
        <v>229</v>
      </c>
      <c r="D62" s="3940"/>
      <c r="E62" s="1863" t="e">
        <f>+E61-D61</f>
        <v>#DIV/0!</v>
      </c>
      <c r="F62" s="1863" t="e">
        <f>+F61-E61</f>
        <v>#DIV/0!</v>
      </c>
      <c r="G62" s="1863" t="e">
        <f>+G61-F61</f>
        <v>#DIV/0!</v>
      </c>
      <c r="H62" s="1863" t="e">
        <f>+H61-G61</f>
        <v>#DIV/0!</v>
      </c>
      <c r="I62" s="1876" t="e">
        <f>+I61-H61</f>
        <v>#DIV/0!</v>
      </c>
      <c r="J62" s="1888" t="e">
        <f>+SUM(E62:I62)</f>
        <v>#DIV/0!</v>
      </c>
      <c r="K62" s="1871" t="e">
        <f>+AVERAGE(E62:I62)</f>
        <v>#DIV/0!</v>
      </c>
      <c r="L62" s="1864" t="e">
        <f>+K62/E27</f>
        <v>#DIV/0!</v>
      </c>
    </row>
    <row r="63" spans="1:12" s="1427" customFormat="1">
      <c r="A63" s="1429"/>
      <c r="B63" s="1429"/>
      <c r="C63" s="3928"/>
      <c r="D63" s="3941"/>
      <c r="E63" s="1468"/>
      <c r="F63" s="954"/>
      <c r="G63" s="954"/>
      <c r="H63" s="954"/>
      <c r="I63" s="954"/>
      <c r="J63" s="1881"/>
      <c r="K63" s="1883"/>
      <c r="L63" s="1530"/>
    </row>
    <row r="64" spans="1:12" s="1427" customFormat="1">
      <c r="A64" s="1429"/>
      <c r="B64" s="1429"/>
      <c r="C64" s="3922" t="str">
        <f>+C28</f>
        <v>&lt;NSP to insert any additional items&gt;</v>
      </c>
      <c r="D64" s="3939"/>
      <c r="E64" s="953" t="e">
        <f>+D64*(1+IF($D$55="Nominal",D$51,D$52))</f>
        <v>#DIV/0!</v>
      </c>
      <c r="F64" s="953" t="e">
        <f>+E64*(1+IF($D$55="Nominal",E$51,E$52))</f>
        <v>#DIV/0!</v>
      </c>
      <c r="G64" s="953" t="e">
        <f>+F64*(1+IF($D$55="Nominal",F$51,F$52))</f>
        <v>#DIV/0!</v>
      </c>
      <c r="H64" s="953" t="e">
        <f>+G64*(1+IF($D$55="Nominal",G$51,G$52))</f>
        <v>#DIV/0!</v>
      </c>
      <c r="I64" s="1877" t="e">
        <f>+H64*(1+IF($D$55="Nominal",H$51,H$52))</f>
        <v>#DIV/0!</v>
      </c>
      <c r="J64" s="1889" t="e">
        <f>+SUM(E64:I64)</f>
        <v>#DIV/0!</v>
      </c>
      <c r="K64" s="1874" t="e">
        <f>+AVERAGE(E64:I64)</f>
        <v>#DIV/0!</v>
      </c>
      <c r="L64" s="1531"/>
    </row>
    <row r="65" spans="1:12" s="1865" customFormat="1">
      <c r="A65" s="1862"/>
      <c r="B65" s="1862"/>
      <c r="C65" s="3926" t="s">
        <v>229</v>
      </c>
      <c r="D65" s="3940"/>
      <c r="E65" s="1863" t="e">
        <f>+E64-D64</f>
        <v>#DIV/0!</v>
      </c>
      <c r="F65" s="1863" t="e">
        <f>+F64-E64</f>
        <v>#DIV/0!</v>
      </c>
      <c r="G65" s="1863" t="e">
        <f>+G64-F64</f>
        <v>#DIV/0!</v>
      </c>
      <c r="H65" s="1863" t="e">
        <f>+H64-G64</f>
        <v>#DIV/0!</v>
      </c>
      <c r="I65" s="1876" t="e">
        <f>+I64-H64</f>
        <v>#DIV/0!</v>
      </c>
      <c r="J65" s="1888" t="e">
        <f>+SUM(E65:I65)</f>
        <v>#DIV/0!</v>
      </c>
      <c r="K65" s="1871" t="e">
        <f>+AVERAGE(E65:I65)</f>
        <v>#DIV/0!</v>
      </c>
      <c r="L65" s="1864" t="e">
        <f>+K65/E28</f>
        <v>#DIV/0!</v>
      </c>
    </row>
    <row r="66" spans="1:12" s="1427" customFormat="1">
      <c r="A66" s="1429"/>
      <c r="B66" s="1429"/>
      <c r="C66" s="3928"/>
      <c r="D66" s="3941"/>
      <c r="E66" s="1468"/>
      <c r="F66" s="954"/>
      <c r="G66" s="954"/>
      <c r="H66" s="954"/>
      <c r="I66" s="954"/>
      <c r="J66" s="1881"/>
      <c r="K66" s="1883"/>
      <c r="L66" s="1530"/>
    </row>
    <row r="67" spans="1:12" s="1427" customFormat="1">
      <c r="A67" s="1429"/>
      <c r="B67" s="1429"/>
      <c r="C67" s="3922" t="str">
        <f>+C29</f>
        <v>&lt;NSP to insert any additional items&gt;</v>
      </c>
      <c r="D67" s="3939"/>
      <c r="E67" s="953" t="e">
        <f>+D67*(1+IF($D$55="Nominal",D$51,D$52))</f>
        <v>#DIV/0!</v>
      </c>
      <c r="F67" s="953" t="e">
        <f>+E67*(1+IF($D$55="Nominal",E$51,E$52))</f>
        <v>#DIV/0!</v>
      </c>
      <c r="G67" s="953" t="e">
        <f>+F67*(1+IF($D$55="Nominal",F$51,F$52))</f>
        <v>#DIV/0!</v>
      </c>
      <c r="H67" s="953" t="e">
        <f>+G67*(1+IF($D$55="Nominal",G$51,G$52))</f>
        <v>#DIV/0!</v>
      </c>
      <c r="I67" s="1877" t="e">
        <f>+H67*(1+IF($D$55="Nominal",H$51,H$52))</f>
        <v>#DIV/0!</v>
      </c>
      <c r="J67" s="1889" t="e">
        <f>+SUM(E67:I67)</f>
        <v>#DIV/0!</v>
      </c>
      <c r="K67" s="1874" t="e">
        <f>+AVERAGE(E67:I67)</f>
        <v>#DIV/0!</v>
      </c>
      <c r="L67" s="1531"/>
    </row>
    <row r="68" spans="1:12" s="1865" customFormat="1">
      <c r="A68" s="1862"/>
      <c r="B68" s="1862"/>
      <c r="C68" s="3926" t="s">
        <v>229</v>
      </c>
      <c r="D68" s="3940"/>
      <c r="E68" s="1863" t="e">
        <f>+E67-D67</f>
        <v>#DIV/0!</v>
      </c>
      <c r="F68" s="1863" t="e">
        <f>+F67-E67</f>
        <v>#DIV/0!</v>
      </c>
      <c r="G68" s="1863" t="e">
        <f>+G67-F67</f>
        <v>#DIV/0!</v>
      </c>
      <c r="H68" s="1863" t="e">
        <f>+H67-G67</f>
        <v>#DIV/0!</v>
      </c>
      <c r="I68" s="1876" t="e">
        <f>+I67-H67</f>
        <v>#DIV/0!</v>
      </c>
      <c r="J68" s="1888" t="e">
        <f>+SUM(E68:I68)</f>
        <v>#DIV/0!</v>
      </c>
      <c r="K68" s="1871" t="e">
        <f>+AVERAGE(E68:I68)</f>
        <v>#DIV/0!</v>
      </c>
      <c r="L68" s="1864" t="e">
        <f>+K68/E29</f>
        <v>#DIV/0!</v>
      </c>
    </row>
    <row r="69" spans="1:12" s="1427" customFormat="1">
      <c r="A69" s="1429"/>
      <c r="B69" s="1429"/>
      <c r="C69" s="3928"/>
      <c r="D69" s="3941"/>
      <c r="E69" s="1468"/>
      <c r="F69" s="954"/>
      <c r="G69" s="954"/>
      <c r="H69" s="954"/>
      <c r="I69" s="954"/>
      <c r="J69" s="1881"/>
      <c r="K69" s="1883"/>
      <c r="L69" s="1530"/>
    </row>
    <row r="70" spans="1:12" s="1427" customFormat="1">
      <c r="A70" s="1429"/>
      <c r="B70" s="1429"/>
      <c r="C70" s="3922" t="str">
        <f>+C30</f>
        <v>&lt;NSP to insert any additional items&gt;</v>
      </c>
      <c r="D70" s="3939"/>
      <c r="E70" s="953" t="e">
        <f>+D70*(1+IF($D$55="Nominal",D$51,D$52))</f>
        <v>#DIV/0!</v>
      </c>
      <c r="F70" s="953" t="e">
        <f>+E70*(1+IF($D$55="Nominal",E$51,E$52))</f>
        <v>#DIV/0!</v>
      </c>
      <c r="G70" s="953" t="e">
        <f>+F70*(1+IF($D$55="Nominal",F$51,F$52))</f>
        <v>#DIV/0!</v>
      </c>
      <c r="H70" s="953" t="e">
        <f>+G70*(1+IF($D$55="Nominal",G$51,G$52))</f>
        <v>#DIV/0!</v>
      </c>
      <c r="I70" s="1877" t="e">
        <f>+H70*(1+IF($D$55="Nominal",H$51,H$52))</f>
        <v>#DIV/0!</v>
      </c>
      <c r="J70" s="1889" t="e">
        <f>+SUM(E70:I70)</f>
        <v>#DIV/0!</v>
      </c>
      <c r="K70" s="1874" t="e">
        <f>+AVERAGE(E70:I70)</f>
        <v>#DIV/0!</v>
      </c>
      <c r="L70" s="1531"/>
    </row>
    <row r="71" spans="1:12" s="1865" customFormat="1" ht="13.5" thickBot="1">
      <c r="A71" s="1862"/>
      <c r="B71" s="1862"/>
      <c r="C71" s="3942" t="s">
        <v>229</v>
      </c>
      <c r="D71" s="3943"/>
      <c r="E71" s="1869" t="e">
        <f>+E70-D70</f>
        <v>#DIV/0!</v>
      </c>
      <c r="F71" s="1869" t="e">
        <f>+F70-E70</f>
        <v>#DIV/0!</v>
      </c>
      <c r="G71" s="1869" t="e">
        <f>+G70-F70</f>
        <v>#DIV/0!</v>
      </c>
      <c r="H71" s="1869" t="e">
        <f>+H70-G70</f>
        <v>#DIV/0!</v>
      </c>
      <c r="I71" s="1878" t="e">
        <f>+I70-H70</f>
        <v>#DIV/0!</v>
      </c>
      <c r="J71" s="1890" t="e">
        <f>+SUM(E71:I71)</f>
        <v>#DIV/0!</v>
      </c>
      <c r="K71" s="1872" t="e">
        <f>+AVERAGE(E71:I71)</f>
        <v>#DIV/0!</v>
      </c>
      <c r="L71" s="1873" t="e">
        <f>+K71/E30</f>
        <v>#DIV/0!</v>
      </c>
    </row>
    <row r="72" spans="1:12" ht="54" customHeight="1">
      <c r="A72" s="288"/>
      <c r="B72" s="288"/>
      <c r="C72" s="288"/>
      <c r="D72" s="288"/>
      <c r="E72" s="288"/>
      <c r="F72" s="288"/>
      <c r="G72" s="288"/>
      <c r="H72" s="288"/>
      <c r="I72" s="288"/>
      <c r="J72" s="288"/>
      <c r="K72" s="288"/>
      <c r="L72" s="288"/>
    </row>
    <row r="73" spans="1:12" ht="13.5" thickBot="1">
      <c r="A73" s="288"/>
      <c r="B73" s="288"/>
      <c r="C73" s="288"/>
      <c r="D73" s="288"/>
      <c r="E73" s="288"/>
      <c r="F73" s="288"/>
      <c r="G73" s="288"/>
      <c r="H73" s="288"/>
      <c r="I73" s="288"/>
      <c r="J73" s="288"/>
      <c r="K73" s="288"/>
      <c r="L73" s="288"/>
    </row>
    <row r="74" spans="1:12" s="96" customFormat="1" ht="20.25" customHeight="1" thickBot="1">
      <c r="A74" s="798"/>
      <c r="B74" s="798"/>
      <c r="C74" s="858" t="s">
        <v>404</v>
      </c>
      <c r="D74" s="859"/>
      <c r="E74" s="859"/>
      <c r="F74" s="859"/>
      <c r="G74" s="859"/>
      <c r="H74" s="859"/>
      <c r="I74" s="859"/>
      <c r="J74" s="859"/>
      <c r="K74" s="859"/>
      <c r="L74" s="860"/>
    </row>
    <row r="75" spans="1:12" s="66" customFormat="1" ht="16.5" customHeight="1" thickBot="1">
      <c r="A75" s="768" t="s">
        <v>579</v>
      </c>
      <c r="B75" s="288"/>
      <c r="C75" s="3930" t="s">
        <v>222</v>
      </c>
      <c r="D75" s="3931"/>
      <c r="E75" s="3934" t="s">
        <v>579</v>
      </c>
      <c r="F75" s="3935"/>
      <c r="G75" s="3935"/>
      <c r="H75" s="3935"/>
      <c r="I75" s="3935"/>
      <c r="J75" s="3936"/>
      <c r="K75" s="3944" t="s">
        <v>225</v>
      </c>
      <c r="L75" s="3946" t="s">
        <v>228</v>
      </c>
    </row>
    <row r="76" spans="1:12" s="66" customFormat="1" ht="32.25" customHeight="1" thickBot="1">
      <c r="A76" s="586">
        <f>CRCP_y6</f>
        <v>2018</v>
      </c>
      <c r="B76" s="288"/>
      <c r="C76" s="3932"/>
      <c r="D76" s="3933"/>
      <c r="E76" s="950" t="str">
        <f>FRCP_y1</f>
        <v>2018</v>
      </c>
      <c r="F76" s="950">
        <f>FRCP_y2</f>
        <v>2019</v>
      </c>
      <c r="G76" s="950">
        <f>FRCP_y3</f>
        <v>2020</v>
      </c>
      <c r="H76" s="950">
        <f>FRCP_y4</f>
        <v>2021</v>
      </c>
      <c r="I76" s="950">
        <f>FRCP_y5</f>
        <v>2022</v>
      </c>
      <c r="J76" s="951" t="s">
        <v>233</v>
      </c>
      <c r="K76" s="3945"/>
      <c r="L76" s="3947"/>
    </row>
    <row r="77" spans="1:12">
      <c r="A77" s="288"/>
      <c r="B77" s="288"/>
      <c r="C77" s="3937" t="str">
        <f>+C35</f>
        <v>eg Business customer bill - reference service</v>
      </c>
      <c r="D77" s="3938"/>
      <c r="E77" s="1870" t="e">
        <f t="shared" ref="E77:J77" si="3">+D77*(1+IF(D75="$0's, nominal",D$51,D$52))</f>
        <v>#DIV/0!</v>
      </c>
      <c r="F77" s="952" t="e">
        <f t="shared" si="3"/>
        <v>#DIV/0!</v>
      </c>
      <c r="G77" s="952" t="e">
        <f t="shared" si="3"/>
        <v>#DIV/0!</v>
      </c>
      <c r="H77" s="952" t="e">
        <f t="shared" si="3"/>
        <v>#DIV/0!</v>
      </c>
      <c r="I77" s="952" t="e">
        <f t="shared" si="3"/>
        <v>#DIV/0!</v>
      </c>
      <c r="J77" s="1875" t="e">
        <f t="shared" si="3"/>
        <v>#DIV/0!</v>
      </c>
      <c r="K77" s="1870" t="e">
        <f>+AVERAGE(E77:I77)</f>
        <v>#DIV/0!</v>
      </c>
      <c r="L77" s="1884"/>
    </row>
    <row r="78" spans="1:12">
      <c r="A78" s="288"/>
      <c r="B78" s="288"/>
      <c r="C78" s="3926" t="s">
        <v>229</v>
      </c>
      <c r="D78" s="3927"/>
      <c r="E78" s="1874" t="e">
        <f>+E77-D77</f>
        <v>#DIV/0!</v>
      </c>
      <c r="F78" s="953" t="e">
        <f>+F77-E77</f>
        <v>#DIV/0!</v>
      </c>
      <c r="G78" s="953" t="e">
        <f>+G77-F77</f>
        <v>#DIV/0!</v>
      </c>
      <c r="H78" s="953" t="e">
        <f>+H77-G77</f>
        <v>#DIV/0!</v>
      </c>
      <c r="I78" s="953" t="e">
        <f>+I77-H77</f>
        <v>#DIV/0!</v>
      </c>
      <c r="J78" s="1877" t="e">
        <f t="shared" ref="J78" si="4">+SUM(E78:I78)</f>
        <v>#DIV/0!</v>
      </c>
      <c r="K78" s="1874" t="e">
        <f t="shared" ref="K78" si="5">+AVERAGE(E78:I78)</f>
        <v>#DIV/0!</v>
      </c>
      <c r="L78" s="1466" t="e">
        <f>+K78/E35</f>
        <v>#DIV/0!</v>
      </c>
    </row>
    <row r="79" spans="1:12">
      <c r="A79" s="288"/>
      <c r="B79" s="288"/>
      <c r="C79" s="3928"/>
      <c r="D79" s="3929"/>
      <c r="E79" s="1879"/>
      <c r="F79" s="954"/>
      <c r="G79" s="954"/>
      <c r="H79" s="954"/>
      <c r="I79" s="954"/>
      <c r="J79" s="1881"/>
      <c r="K79" s="1883"/>
      <c r="L79" s="1885"/>
    </row>
    <row r="80" spans="1:12">
      <c r="A80" s="288"/>
      <c r="B80" s="288"/>
      <c r="C80" s="3922" t="str">
        <f>+C36</f>
        <v>&lt;Service provider to insert any additional items&gt;</v>
      </c>
      <c r="D80" s="3923"/>
      <c r="E80" s="1874" t="e">
        <f t="shared" ref="E80" si="6">+D80*(1+IF(D78="$0's, nominal",D$51,D$52))</f>
        <v>#DIV/0!</v>
      </c>
      <c r="F80" s="953" t="e">
        <f t="shared" ref="F80" si="7">+E80*(1+IF(E78="$0's, nominal",E$51,E$52))</f>
        <v>#DIV/0!</v>
      </c>
      <c r="G80" s="953" t="e">
        <f t="shared" ref="G80" si="8">+F80*(1+IF(F78="$0's, nominal",F$51,F$52))</f>
        <v>#DIV/0!</v>
      </c>
      <c r="H80" s="953" t="e">
        <f t="shared" ref="H80" si="9">+G80*(1+IF(G78="$0's, nominal",G$51,G$52))</f>
        <v>#DIV/0!</v>
      </c>
      <c r="I80" s="953" t="e">
        <f t="shared" ref="I80" si="10">+H80*(1+IF(H78="$0's, nominal",H$51,H$52))</f>
        <v>#DIV/0!</v>
      </c>
      <c r="J80" s="1877" t="e">
        <f t="shared" ref="J80" si="11">+I80*(1+IF(I78="$0's, nominal",I$51,I$52))</f>
        <v>#DIV/0!</v>
      </c>
      <c r="K80" s="1874" t="e">
        <f>+AVERAGE(E80:I80)</f>
        <v>#DIV/0!</v>
      </c>
      <c r="L80" s="1886"/>
    </row>
    <row r="81" spans="1:12">
      <c r="A81" s="288"/>
      <c r="B81" s="288"/>
      <c r="C81" s="3926" t="s">
        <v>229</v>
      </c>
      <c r="D81" s="3927"/>
      <c r="E81" s="1874" t="e">
        <f>+E80-D80</f>
        <v>#DIV/0!</v>
      </c>
      <c r="F81" s="953" t="e">
        <f>+F80-E80</f>
        <v>#DIV/0!</v>
      </c>
      <c r="G81" s="953" t="e">
        <f>+G80-F80</f>
        <v>#DIV/0!</v>
      </c>
      <c r="H81" s="953" t="e">
        <f>+H80-G80</f>
        <v>#DIV/0!</v>
      </c>
      <c r="I81" s="953" t="e">
        <f>+I80-H80</f>
        <v>#DIV/0!</v>
      </c>
      <c r="J81" s="1877" t="e">
        <f t="shared" ref="J81" si="12">+SUM(E81:I81)</f>
        <v>#DIV/0!</v>
      </c>
      <c r="K81" s="1874" t="e">
        <f t="shared" ref="K81" si="13">+AVERAGE(E81:I81)</f>
        <v>#DIV/0!</v>
      </c>
      <c r="L81" s="1466" t="e">
        <f>+K81/E36</f>
        <v>#DIV/0!</v>
      </c>
    </row>
    <row r="82" spans="1:12">
      <c r="A82" s="288"/>
      <c r="B82" s="288"/>
      <c r="C82" s="3928"/>
      <c r="D82" s="3929"/>
      <c r="E82" s="1879"/>
      <c r="F82" s="954"/>
      <c r="G82" s="954"/>
      <c r="H82" s="954"/>
      <c r="I82" s="954"/>
      <c r="J82" s="1881"/>
      <c r="K82" s="1883"/>
      <c r="L82" s="1885"/>
    </row>
    <row r="83" spans="1:12">
      <c r="A83" s="288"/>
      <c r="B83" s="288"/>
      <c r="C83" s="3922" t="str">
        <f>+C37</f>
        <v>&lt;Service provider to insert any additional items&gt;</v>
      </c>
      <c r="D83" s="3923"/>
      <c r="E83" s="1874" t="e">
        <f t="shared" ref="E83" si="14">+D83*(1+IF(D81="$0's, nominal",D$51,D$52))</f>
        <v>#DIV/0!</v>
      </c>
      <c r="F83" s="953" t="e">
        <f t="shared" ref="F83" si="15">+E83*(1+IF(E81="$0's, nominal",E$51,E$52))</f>
        <v>#DIV/0!</v>
      </c>
      <c r="G83" s="953" t="e">
        <f t="shared" ref="G83" si="16">+F83*(1+IF(F81="$0's, nominal",F$51,F$52))</f>
        <v>#DIV/0!</v>
      </c>
      <c r="H83" s="953" t="e">
        <f t="shared" ref="H83" si="17">+G83*(1+IF(G81="$0's, nominal",G$51,G$52))</f>
        <v>#DIV/0!</v>
      </c>
      <c r="I83" s="953" t="e">
        <f t="shared" ref="I83" si="18">+H83*(1+IF(H81="$0's, nominal",H$51,H$52))</f>
        <v>#DIV/0!</v>
      </c>
      <c r="J83" s="1877" t="e">
        <f t="shared" ref="J83" si="19">+I83*(1+IF(I81="$0's, nominal",I$51,I$52))</f>
        <v>#DIV/0!</v>
      </c>
      <c r="K83" s="1874" t="e">
        <f>+AVERAGE(E83:I83)</f>
        <v>#DIV/0!</v>
      </c>
      <c r="L83" s="1886"/>
    </row>
    <row r="84" spans="1:12">
      <c r="A84" s="288"/>
      <c r="B84" s="288"/>
      <c r="C84" s="3926" t="s">
        <v>229</v>
      </c>
      <c r="D84" s="3927"/>
      <c r="E84" s="1874" t="e">
        <f>+E83-D83</f>
        <v>#DIV/0!</v>
      </c>
      <c r="F84" s="953" t="e">
        <f>+F83-E83</f>
        <v>#DIV/0!</v>
      </c>
      <c r="G84" s="953" t="e">
        <f>+G83-F83</f>
        <v>#DIV/0!</v>
      </c>
      <c r="H84" s="953" t="e">
        <f>+H83-G83</f>
        <v>#DIV/0!</v>
      </c>
      <c r="I84" s="953" t="e">
        <f>+I83-H83</f>
        <v>#DIV/0!</v>
      </c>
      <c r="J84" s="1877" t="e">
        <f t="shared" ref="J84" si="20">+SUM(E84:I84)</f>
        <v>#DIV/0!</v>
      </c>
      <c r="K84" s="1874" t="e">
        <f t="shared" ref="K84" si="21">+AVERAGE(E84:I84)</f>
        <v>#DIV/0!</v>
      </c>
      <c r="L84" s="1466" t="e">
        <f>+K84/E37</f>
        <v>#DIV/0!</v>
      </c>
    </row>
    <row r="85" spans="1:12">
      <c r="A85" s="288"/>
      <c r="B85" s="288"/>
      <c r="C85" s="3928"/>
      <c r="D85" s="3929"/>
      <c r="E85" s="1879"/>
      <c r="F85" s="954"/>
      <c r="G85" s="954"/>
      <c r="H85" s="954"/>
      <c r="I85" s="954"/>
      <c r="J85" s="1881"/>
      <c r="K85" s="1883"/>
      <c r="L85" s="1885"/>
    </row>
    <row r="86" spans="1:12">
      <c r="A86" s="288"/>
      <c r="B86" s="288"/>
      <c r="C86" s="3922" t="str">
        <f>+C38</f>
        <v>&lt;Service provider to insert any additional items&gt;</v>
      </c>
      <c r="D86" s="3923"/>
      <c r="E86" s="1874" t="e">
        <f t="shared" ref="E86" si="22">+D86*(1+IF(D84="$0's, nominal",D$51,D$52))</f>
        <v>#DIV/0!</v>
      </c>
      <c r="F86" s="953" t="e">
        <f t="shared" ref="F86" si="23">+E86*(1+IF(E84="$0's, nominal",E$51,E$52))</f>
        <v>#DIV/0!</v>
      </c>
      <c r="G86" s="953" t="e">
        <f t="shared" ref="G86" si="24">+F86*(1+IF(F84="$0's, nominal",F$51,F$52))</f>
        <v>#DIV/0!</v>
      </c>
      <c r="H86" s="953" t="e">
        <f t="shared" ref="H86" si="25">+G86*(1+IF(G84="$0's, nominal",G$51,G$52))</f>
        <v>#DIV/0!</v>
      </c>
      <c r="I86" s="953" t="e">
        <f t="shared" ref="I86" si="26">+H86*(1+IF(H84="$0's, nominal",H$51,H$52))</f>
        <v>#DIV/0!</v>
      </c>
      <c r="J86" s="1877" t="e">
        <f t="shared" ref="J86" si="27">+I86*(1+IF(I84="$0's, nominal",I$51,I$52))</f>
        <v>#DIV/0!</v>
      </c>
      <c r="K86" s="1874" t="e">
        <f>+AVERAGE(E86:I86)</f>
        <v>#DIV/0!</v>
      </c>
      <c r="L86" s="1886"/>
    </row>
    <row r="87" spans="1:12" ht="13.5" thickBot="1">
      <c r="A87" s="288"/>
      <c r="B87" s="288"/>
      <c r="C87" s="3924" t="s">
        <v>229</v>
      </c>
      <c r="D87" s="3925"/>
      <c r="E87" s="1880" t="e">
        <f>+E86-D86</f>
        <v>#DIV/0!</v>
      </c>
      <c r="F87" s="955" t="e">
        <f>+F86-E86</f>
        <v>#DIV/0!</v>
      </c>
      <c r="G87" s="955" t="e">
        <f>+G86-F86</f>
        <v>#DIV/0!</v>
      </c>
      <c r="H87" s="955" t="e">
        <f>+H86-G86</f>
        <v>#DIV/0!</v>
      </c>
      <c r="I87" s="955" t="e">
        <f>+I86-H86</f>
        <v>#DIV/0!</v>
      </c>
      <c r="J87" s="1882" t="e">
        <f t="shared" ref="J87" si="28">+SUM(E87:I87)</f>
        <v>#DIV/0!</v>
      </c>
      <c r="K87" s="1880" t="e">
        <f t="shared" ref="K87" si="29">+AVERAGE(E87:I87)</f>
        <v>#DIV/0!</v>
      </c>
      <c r="L87" s="1467" t="e">
        <f>+K87/E38</f>
        <v>#DIV/0!</v>
      </c>
    </row>
  </sheetData>
  <mergeCells count="34">
    <mergeCell ref="C66:D66"/>
    <mergeCell ref="K75:K76"/>
    <mergeCell ref="L75:L76"/>
    <mergeCell ref="C8:H8"/>
    <mergeCell ref="K56:K57"/>
    <mergeCell ref="L56:L57"/>
    <mergeCell ref="E56:J56"/>
    <mergeCell ref="C56:D57"/>
    <mergeCell ref="C58:D58"/>
    <mergeCell ref="C59:D59"/>
    <mergeCell ref="C61:D61"/>
    <mergeCell ref="C60:D60"/>
    <mergeCell ref="C62:D62"/>
    <mergeCell ref="C65:D65"/>
    <mergeCell ref="C64:D64"/>
    <mergeCell ref="C63:D63"/>
    <mergeCell ref="C70:D70"/>
    <mergeCell ref="C67:D67"/>
    <mergeCell ref="C68:D68"/>
    <mergeCell ref="C69:D69"/>
    <mergeCell ref="C71:D71"/>
    <mergeCell ref="C75:D76"/>
    <mergeCell ref="E75:J75"/>
    <mergeCell ref="C77:D77"/>
    <mergeCell ref="C78:D78"/>
    <mergeCell ref="C79:D79"/>
    <mergeCell ref="C80:D80"/>
    <mergeCell ref="C86:D86"/>
    <mergeCell ref="C87:D87"/>
    <mergeCell ref="C81:D81"/>
    <mergeCell ref="C82:D82"/>
    <mergeCell ref="C83:D83"/>
    <mergeCell ref="C84:D84"/>
    <mergeCell ref="C85:D85"/>
  </mergeCells>
  <pageMargins left="0.7" right="0.7" top="0.75" bottom="0.75" header="0.3" footer="0.3"/>
  <pageSetup paperSize="9"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theme="6" tint="0.59999389629810485"/>
    <pageSetUpPr autoPageBreaks="0"/>
  </sheetPr>
  <dimension ref="A1:AD49"/>
  <sheetViews>
    <sheetView showGridLines="0" topLeftCell="A16" zoomScale="110" zoomScaleNormal="110" workbookViewId="0"/>
  </sheetViews>
  <sheetFormatPr defaultColWidth="9.140625" defaultRowHeight="12.75"/>
  <cols>
    <col min="1" max="1" width="18.5703125" style="21" customWidth="1"/>
    <col min="2" max="2" width="64.85546875" style="21" bestFit="1" customWidth="1"/>
    <col min="3" max="3" width="24.42578125" style="21" customWidth="1"/>
    <col min="4" max="4" width="22.7109375" customWidth="1"/>
    <col min="5" max="5" width="14.28515625" customWidth="1"/>
    <col min="6" max="30" width="8.7109375" customWidth="1"/>
    <col min="31" max="16384" width="9.140625" style="21"/>
  </cols>
  <sheetData>
    <row r="1" spans="1:30" s="223" customFormat="1" ht="24" customHeight="1">
      <c r="B1" s="3050" t="str">
        <f>IF(dms_DataQuality="backcast",INDEX(dms_Worksheet_List,MATCH(dms_Model,dms_Model_List))&amp;" BACKCAST",INDEX(dms_Worksheet_List,MATCH(dms_Model,dms_Model_List)))</f>
        <v>REGULATORY REPORTING STATEMENT</v>
      </c>
      <c r="C1" s="546"/>
      <c r="D1" s="546"/>
      <c r="E1" s="546"/>
      <c r="F1"/>
      <c r="G1"/>
      <c r="H1"/>
      <c r="I1"/>
      <c r="J1"/>
      <c r="K1"/>
      <c r="L1"/>
      <c r="M1"/>
      <c r="N1"/>
      <c r="O1"/>
      <c r="P1"/>
      <c r="Q1"/>
      <c r="R1"/>
      <c r="S1"/>
      <c r="T1"/>
      <c r="U1"/>
      <c r="V1"/>
      <c r="W1"/>
      <c r="X1"/>
      <c r="Y1"/>
      <c r="Z1"/>
      <c r="AA1"/>
      <c r="AB1"/>
      <c r="AC1"/>
      <c r="AD1"/>
    </row>
    <row r="2" spans="1:30" s="223" customFormat="1" ht="24" customHeight="1">
      <c r="B2" s="3054" t="str">
        <f>INDEX(dms_TradingNameFull_List,MATCH(dms_TradingName,dms_TradingName_List))</f>
        <v>AusNet Gas Services</v>
      </c>
      <c r="C2" s="226"/>
      <c r="D2" s="1428"/>
      <c r="E2" s="1428"/>
      <c r="F2"/>
      <c r="G2"/>
      <c r="H2"/>
      <c r="I2"/>
      <c r="J2"/>
      <c r="K2"/>
      <c r="L2"/>
      <c r="M2"/>
      <c r="N2"/>
      <c r="O2"/>
      <c r="P2"/>
      <c r="Q2"/>
      <c r="R2"/>
      <c r="S2"/>
      <c r="T2"/>
      <c r="U2"/>
      <c r="V2"/>
      <c r="W2"/>
      <c r="X2"/>
      <c r="Y2"/>
      <c r="Z2"/>
      <c r="AA2"/>
      <c r="AB2"/>
      <c r="AC2"/>
      <c r="AD2"/>
    </row>
    <row r="3" spans="1:30" s="223" customFormat="1" ht="24" customHeight="1">
      <c r="B3" s="3054" t="str">
        <f ca="1">IF(SUM(dms_SingleYear_Model)&gt;0,CRY,CONCATENATE(FRCP_y1," to ",dms_MultiYear_FinalYear_Result))</f>
        <v>2018 to 2022</v>
      </c>
      <c r="C3" s="227"/>
      <c r="D3" s="1426"/>
      <c r="E3" s="1426"/>
      <c r="F3"/>
      <c r="G3"/>
      <c r="H3"/>
      <c r="I3"/>
      <c r="J3"/>
      <c r="K3"/>
      <c r="L3"/>
      <c r="M3"/>
      <c r="N3"/>
      <c r="O3"/>
      <c r="P3"/>
      <c r="Q3"/>
      <c r="R3"/>
      <c r="S3"/>
      <c r="T3"/>
      <c r="U3"/>
      <c r="V3"/>
      <c r="W3"/>
      <c r="X3"/>
      <c r="Y3"/>
      <c r="Z3"/>
      <c r="AA3"/>
      <c r="AB3"/>
      <c r="AC3"/>
      <c r="AD3"/>
    </row>
    <row r="4" spans="1:30" s="165" customFormat="1" ht="24" customHeight="1">
      <c r="B4" s="10" t="s">
        <v>395</v>
      </c>
      <c r="C4" s="12"/>
      <c r="D4" s="12"/>
      <c r="E4" s="12"/>
      <c r="F4"/>
      <c r="G4"/>
      <c r="H4"/>
      <c r="I4"/>
      <c r="J4"/>
      <c r="K4"/>
      <c r="L4"/>
      <c r="M4"/>
      <c r="N4"/>
      <c r="O4"/>
      <c r="P4"/>
      <c r="Q4"/>
      <c r="R4"/>
      <c r="S4"/>
      <c r="T4"/>
      <c r="U4"/>
      <c r="V4"/>
      <c r="W4"/>
      <c r="X4"/>
      <c r="Y4"/>
      <c r="Z4"/>
      <c r="AA4"/>
      <c r="AB4"/>
      <c r="AC4"/>
      <c r="AD4"/>
    </row>
    <row r="5" spans="1:30">
      <c r="A5" s="409"/>
      <c r="B5" s="1115"/>
      <c r="C5" s="1115"/>
      <c r="D5" s="1429"/>
      <c r="E5" s="1429"/>
    </row>
    <row r="6" spans="1:30">
      <c r="A6" s="644"/>
      <c r="B6" s="1115"/>
      <c r="C6" s="1115"/>
      <c r="D6" s="1429"/>
      <c r="E6" s="1429"/>
    </row>
    <row r="7" spans="1:30">
      <c r="A7" s="644"/>
      <c r="B7" s="68" t="s">
        <v>59</v>
      </c>
      <c r="C7" s="67"/>
    </row>
    <row r="8" spans="1:30" s="962" customFormat="1" ht="27" customHeight="1">
      <c r="A8" s="961"/>
      <c r="B8" s="3954" t="s">
        <v>408</v>
      </c>
      <c r="C8" s="3954"/>
      <c r="D8"/>
      <c r="E8"/>
      <c r="F8"/>
      <c r="G8"/>
      <c r="H8"/>
      <c r="I8"/>
      <c r="J8"/>
      <c r="K8"/>
      <c r="L8"/>
      <c r="M8"/>
      <c r="N8"/>
      <c r="O8"/>
      <c r="P8"/>
      <c r="Q8"/>
      <c r="R8"/>
      <c r="S8"/>
      <c r="T8"/>
      <c r="U8"/>
      <c r="V8"/>
      <c r="W8"/>
      <c r="X8"/>
      <c r="Y8"/>
      <c r="Z8"/>
      <c r="AA8"/>
      <c r="AB8"/>
      <c r="AC8"/>
      <c r="AD8"/>
    </row>
    <row r="9" spans="1:30" ht="29.25" customHeight="1">
      <c r="A9" s="644"/>
      <c r="B9" s="3669" t="str">
        <f>CONCATENATE("Where ",dms_TradingName," intends to apply the Rate of return guideline, in tables 22.1 to 22.4 enter the relevant value or formula used for each item.")</f>
        <v>Where AusNet (Gas) intends to apply the Rate of return guideline, in tables 22.1 to 22.4 enter the relevant value or formula used for each item.</v>
      </c>
      <c r="C9" s="3669"/>
    </row>
    <row r="10" spans="1:30" ht="29.25" customHeight="1">
      <c r="A10" s="644"/>
      <c r="B10" s="3669" t="str">
        <f>CONCATENATE("Where ", dms_TradingName," does not intend to apply the Rate of return guideline, ", dms_TradingName," should provide a separate model, which shows the build-up of its forecast rate of return.")</f>
        <v>Where AusNet (Gas) does not intend to apply the Rate of return guideline, AusNet (Gas) should provide a separate model, which shows the build-up of its forecast rate of return.</v>
      </c>
      <c r="C10" s="3669"/>
    </row>
    <row r="11" spans="1:30" ht="33" customHeight="1">
      <c r="A11" s="644"/>
    </row>
    <row r="12" spans="1:30" s="138" customFormat="1" ht="18.75" thickBot="1">
      <c r="A12" s="1429"/>
      <c r="B12" s="956" t="s">
        <v>547</v>
      </c>
      <c r="C12" s="957"/>
      <c r="D12" s="1427"/>
      <c r="E12" s="1427"/>
      <c r="F12" s="1427"/>
      <c r="G12" s="1427"/>
      <c r="H12" s="1427"/>
      <c r="I12" s="1427"/>
      <c r="J12" s="1427"/>
      <c r="K12" s="1427"/>
      <c r="L12" s="1427"/>
      <c r="M12" s="1427"/>
      <c r="N12" s="1427"/>
      <c r="O12" s="1427"/>
      <c r="P12" s="1427"/>
      <c r="Q12" s="1427"/>
      <c r="R12" s="1427"/>
      <c r="S12" s="1427"/>
      <c r="T12" s="1427"/>
      <c r="U12" s="1427"/>
      <c r="V12" s="1427"/>
      <c r="W12" s="1427"/>
      <c r="X12" s="1427"/>
      <c r="Y12" s="1427"/>
      <c r="Z12" s="1427"/>
      <c r="AA12" s="1427"/>
      <c r="AB12" s="1427"/>
      <c r="AC12" s="1427"/>
      <c r="AD12" s="1427"/>
    </row>
    <row r="13" spans="1:30" s="97" customFormat="1" ht="18.75" thickBot="1">
      <c r="A13" s="798"/>
      <c r="B13" s="1576" t="s">
        <v>406</v>
      </c>
      <c r="C13" s="1604"/>
      <c r="D13"/>
      <c r="E13"/>
      <c r="F13"/>
      <c r="G13"/>
      <c r="H13"/>
      <c r="I13"/>
      <c r="J13"/>
      <c r="K13"/>
      <c r="L13"/>
      <c r="M13"/>
      <c r="N13"/>
      <c r="O13"/>
      <c r="P13"/>
      <c r="Q13"/>
      <c r="R13"/>
      <c r="S13"/>
      <c r="T13"/>
      <c r="U13"/>
      <c r="V13"/>
      <c r="W13"/>
      <c r="X13"/>
      <c r="Y13"/>
      <c r="Z13"/>
      <c r="AA13"/>
      <c r="AB13"/>
      <c r="AC13"/>
      <c r="AD13"/>
    </row>
    <row r="14" spans="1:30">
      <c r="A14" s="644"/>
      <c r="B14" s="958" t="s">
        <v>1429</v>
      </c>
      <c r="C14" s="963"/>
    </row>
    <row r="15" spans="1:30">
      <c r="A15" s="644"/>
      <c r="B15" s="3303"/>
      <c r="C15" s="3304"/>
    </row>
    <row r="16" spans="1:30">
      <c r="A16" s="644"/>
      <c r="B16" s="3303" t="s">
        <v>1438</v>
      </c>
      <c r="C16" s="3304"/>
    </row>
    <row r="17" spans="1:30">
      <c r="A17" s="644"/>
      <c r="B17" s="959" t="s">
        <v>39</v>
      </c>
      <c r="C17" s="964"/>
    </row>
    <row r="18" spans="1:30">
      <c r="A18" s="644"/>
      <c r="B18" s="959" t="s">
        <v>137</v>
      </c>
      <c r="C18" s="964"/>
    </row>
    <row r="19" spans="1:30">
      <c r="A19" s="644"/>
      <c r="B19" s="959" t="s">
        <v>40</v>
      </c>
      <c r="C19" s="964"/>
    </row>
    <row r="20" spans="1:30">
      <c r="A20" s="644"/>
      <c r="B20" s="959" t="s">
        <v>42</v>
      </c>
      <c r="C20" s="965"/>
    </row>
    <row r="21" spans="1:30">
      <c r="A21" s="644"/>
      <c r="B21" s="959" t="s">
        <v>71</v>
      </c>
      <c r="C21" s="965"/>
    </row>
    <row r="22" spans="1:30" s="97" customFormat="1" ht="13.5" thickBot="1">
      <c r="A22" s="798"/>
      <c r="B22" s="960" t="s">
        <v>1437</v>
      </c>
      <c r="C22" s="966"/>
      <c r="D22"/>
      <c r="E22"/>
      <c r="F22"/>
      <c r="G22"/>
      <c r="H22"/>
      <c r="I22"/>
      <c r="J22"/>
      <c r="K22"/>
      <c r="L22"/>
      <c r="M22"/>
      <c r="N22"/>
      <c r="O22"/>
      <c r="P22"/>
      <c r="Q22"/>
      <c r="R22"/>
      <c r="S22"/>
      <c r="T22"/>
      <c r="U22"/>
      <c r="V22"/>
      <c r="W22"/>
      <c r="X22"/>
      <c r="Y22"/>
      <c r="Z22"/>
      <c r="AA22"/>
      <c r="AB22"/>
      <c r="AC22"/>
      <c r="AD22"/>
    </row>
    <row r="23" spans="1:30" ht="16.5" thickBot="1">
      <c r="A23" s="644"/>
      <c r="B23" s="69"/>
    </row>
    <row r="24" spans="1:30" ht="18.75" thickBot="1">
      <c r="A24" s="644"/>
      <c r="B24" s="1576" t="s">
        <v>405</v>
      </c>
      <c r="C24" s="1604"/>
    </row>
    <row r="25" spans="1:30">
      <c r="A25" s="644"/>
      <c r="B25" s="3302" t="s">
        <v>1435</v>
      </c>
      <c r="C25" s="963"/>
    </row>
    <row r="26" spans="1:30">
      <c r="A26" s="644"/>
      <c r="B26" s="3302"/>
      <c r="C26" s="3304"/>
    </row>
    <row r="27" spans="1:30">
      <c r="A27" s="644"/>
      <c r="B27" s="3302" t="s">
        <v>1430</v>
      </c>
      <c r="C27" s="3304"/>
    </row>
    <row r="28" spans="1:30" s="97" customFormat="1">
      <c r="A28" s="798"/>
      <c r="B28" s="3302" t="s">
        <v>1431</v>
      </c>
      <c r="C28" s="3304"/>
      <c r="D28"/>
      <c r="E28"/>
      <c r="F28"/>
      <c r="G28"/>
      <c r="H28"/>
      <c r="I28"/>
      <c r="J28"/>
      <c r="K28"/>
      <c r="L28"/>
      <c r="M28"/>
      <c r="N28"/>
      <c r="O28"/>
      <c r="P28"/>
      <c r="Q28"/>
      <c r="R28"/>
      <c r="S28"/>
      <c r="T28"/>
      <c r="U28"/>
      <c r="V28"/>
      <c r="W28"/>
      <c r="X28"/>
      <c r="Y28"/>
      <c r="Z28"/>
      <c r="AA28"/>
      <c r="AB28"/>
      <c r="AC28"/>
      <c r="AD28"/>
    </row>
    <row r="29" spans="1:30">
      <c r="A29" s="644"/>
      <c r="B29" s="3302" t="s">
        <v>1432</v>
      </c>
      <c r="C29" s="3304"/>
    </row>
    <row r="30" spans="1:30">
      <c r="A30" s="644"/>
      <c r="B30" s="3302" t="s">
        <v>1433</v>
      </c>
      <c r="C30" s="3304"/>
    </row>
    <row r="31" spans="1:30" s="1433" customFormat="1">
      <c r="A31" s="1115"/>
      <c r="B31" s="3302" t="s">
        <v>1434</v>
      </c>
      <c r="C31" s="3304"/>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row>
    <row r="32" spans="1:30">
      <c r="A32" s="644"/>
      <c r="B32" s="959" t="s">
        <v>41</v>
      </c>
      <c r="C32" s="964"/>
    </row>
    <row r="33" spans="1:30">
      <c r="A33" s="644"/>
      <c r="B33" s="959" t="s">
        <v>136</v>
      </c>
      <c r="C33" s="964"/>
    </row>
    <row r="34" spans="1:30" s="97" customFormat="1">
      <c r="A34" s="798"/>
      <c r="B34" s="3305" t="s">
        <v>1436</v>
      </c>
      <c r="C34" s="3306"/>
      <c r="D34"/>
      <c r="E34"/>
      <c r="F34"/>
      <c r="G34"/>
      <c r="H34"/>
      <c r="I34"/>
      <c r="J34"/>
      <c r="K34"/>
      <c r="L34"/>
      <c r="M34"/>
      <c r="N34"/>
      <c r="O34"/>
      <c r="P34"/>
      <c r="Q34"/>
      <c r="R34"/>
      <c r="S34"/>
      <c r="T34"/>
      <c r="U34"/>
      <c r="V34"/>
      <c r="W34"/>
      <c r="X34"/>
      <c r="Y34"/>
      <c r="Z34"/>
      <c r="AA34"/>
      <c r="AB34"/>
      <c r="AC34"/>
      <c r="AD34"/>
    </row>
    <row r="35" spans="1:30" ht="26.25" thickBot="1">
      <c r="A35" s="644"/>
      <c r="B35" s="960" t="s">
        <v>1439</v>
      </c>
      <c r="C35" s="967"/>
    </row>
    <row r="36" spans="1:30" ht="13.5" thickBot="1">
      <c r="A36" s="644"/>
    </row>
    <row r="37" spans="1:30" ht="18.75" thickBot="1">
      <c r="A37" s="644"/>
      <c r="B37" s="1576" t="s">
        <v>407</v>
      </c>
      <c r="C37" s="1604"/>
    </row>
    <row r="38" spans="1:30">
      <c r="A38" s="644"/>
      <c r="B38" s="958" t="s">
        <v>43</v>
      </c>
      <c r="C38" s="968"/>
    </row>
    <row r="39" spans="1:30">
      <c r="B39" s="959" t="s">
        <v>1448</v>
      </c>
      <c r="C39" s="965"/>
    </row>
    <row r="40" spans="1:30" s="1433" customFormat="1" ht="13.5" thickBot="1">
      <c r="B40" s="960" t="s">
        <v>44</v>
      </c>
      <c r="C40" s="966"/>
      <c r="D40" s="1427"/>
      <c r="E40" s="1427"/>
      <c r="F40" s="1427"/>
      <c r="G40" s="1427"/>
      <c r="H40" s="1427"/>
      <c r="I40" s="1427"/>
      <c r="J40" s="1427"/>
      <c r="K40" s="1427"/>
      <c r="L40" s="1427"/>
      <c r="M40" s="1427"/>
      <c r="N40" s="1427"/>
      <c r="O40" s="1427"/>
      <c r="P40" s="1427"/>
      <c r="Q40" s="1427"/>
      <c r="R40" s="1427"/>
      <c r="S40" s="1427"/>
      <c r="T40" s="1427"/>
      <c r="U40" s="1427"/>
      <c r="V40" s="1427"/>
      <c r="W40" s="1427"/>
      <c r="X40" s="1427"/>
      <c r="Y40" s="1427"/>
      <c r="Z40" s="1427"/>
      <c r="AA40" s="1427"/>
      <c r="AB40" s="1427"/>
      <c r="AC40" s="1427"/>
      <c r="AD40" s="1427"/>
    </row>
    <row r="41" spans="1:30" ht="13.5" thickBot="1"/>
    <row r="42" spans="1:30" ht="18.75" thickBot="1">
      <c r="B42" s="1576" t="s">
        <v>665</v>
      </c>
      <c r="C42" s="1604"/>
    </row>
    <row r="43" spans="1:30">
      <c r="B43" s="958" t="s">
        <v>633</v>
      </c>
      <c r="C43" s="968"/>
    </row>
    <row r="44" spans="1:30" ht="13.5" thickBot="1">
      <c r="B44" s="960" t="s">
        <v>666</v>
      </c>
      <c r="C44" s="966"/>
    </row>
    <row r="45" spans="1:30" ht="13.5" thickBot="1">
      <c r="B45" s="644"/>
      <c r="C45" s="644"/>
    </row>
    <row r="46" spans="1:30" ht="18.75" thickBot="1">
      <c r="B46" s="3297" t="s">
        <v>1427</v>
      </c>
      <c r="C46" s="1604"/>
    </row>
    <row r="47" spans="1:30">
      <c r="B47" s="3296" t="s">
        <v>1446</v>
      </c>
      <c r="C47" s="968"/>
    </row>
    <row r="48" spans="1:30">
      <c r="B48" s="3298" t="s">
        <v>1447</v>
      </c>
      <c r="C48" s="3299"/>
    </row>
    <row r="49" spans="2:3" ht="13.5" thickBot="1">
      <c r="B49" s="960" t="s">
        <v>1428</v>
      </c>
      <c r="C49" s="966"/>
    </row>
  </sheetData>
  <mergeCells count="3">
    <mergeCell ref="B8:C8"/>
    <mergeCell ref="B9:C9"/>
    <mergeCell ref="B10:C10"/>
  </mergeCells>
  <phoneticPr fontId="10" type="noConversion"/>
  <pageMargins left="0.75" right="0.75" top="1" bottom="1" header="0.5" footer="0.5"/>
  <pageSetup paperSize="9" orientation="portrait" r:id="rId1"/>
  <headerFooter alignWithMargins="0"/>
  <customProperties>
    <customPr name="_pios_id" r:id="rId2"/>
  </customProperties>
  <drawing r:id="rId3"/>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249977111117893"/>
    <pageSetUpPr autoPageBreaks="0"/>
  </sheetPr>
  <dimension ref="A1:AE121"/>
  <sheetViews>
    <sheetView showGridLines="0" zoomScale="70" zoomScaleNormal="70" workbookViewId="0"/>
  </sheetViews>
  <sheetFormatPr defaultColWidth="9.140625" defaultRowHeight="20.100000000000001" customHeight="1" outlineLevelRow="1"/>
  <cols>
    <col min="1" max="1" width="22.42578125" style="96" customWidth="1"/>
    <col min="2" max="2" width="140.28515625" style="77" customWidth="1"/>
    <col min="3" max="3" width="15.7109375" style="77" customWidth="1"/>
    <col min="4" max="8" width="15.7109375" style="96" customWidth="1"/>
    <col min="9" max="9" width="12.5703125" style="96" customWidth="1"/>
    <col min="10" max="11" width="13.140625" style="96" customWidth="1"/>
    <col min="12" max="12" width="17.7109375" style="96" customWidth="1"/>
    <col min="13" max="17" width="15.7109375" style="96" customWidth="1"/>
    <col min="18" max="18" width="13" customWidth="1"/>
    <col min="19" max="19" width="11.5703125" bestFit="1" customWidth="1"/>
    <col min="20" max="20" width="8.7109375"/>
    <col min="21" max="21" width="15.7109375" style="77" customWidth="1"/>
    <col min="22" max="26" width="15.7109375" style="1427" customWidth="1"/>
    <col min="27" max="27" width="12.5703125" style="1427" customWidth="1"/>
    <col min="28" max="28" width="13.140625" style="1427" customWidth="1"/>
    <col min="29" max="16384" width="9.140625" style="96"/>
  </cols>
  <sheetData>
    <row r="1" spans="1:28" s="223" customFormat="1" ht="23.1"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row>
    <row r="2" spans="1:28" s="223" customFormat="1" ht="23.1"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s="1428"/>
      <c r="S2" s="1428"/>
      <c r="T2" s="1428"/>
      <c r="U2" s="1428"/>
      <c r="V2" s="1428"/>
      <c r="W2" s="1428"/>
      <c r="X2" s="1428"/>
      <c r="Y2" s="1428"/>
      <c r="Z2" s="1428"/>
      <c r="AA2" s="1428"/>
      <c r="AB2" s="1428"/>
    </row>
    <row r="3" spans="1:28" s="223" customFormat="1" ht="23.1"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s="1426"/>
      <c r="S3" s="1426"/>
      <c r="T3" s="1426"/>
      <c r="U3" s="1426"/>
      <c r="V3" s="1426"/>
      <c r="W3" s="1426"/>
      <c r="X3" s="1426"/>
      <c r="Y3" s="1426"/>
      <c r="Z3" s="1426"/>
      <c r="AA3" s="1426"/>
      <c r="AB3" s="1426"/>
    </row>
    <row r="4" spans="1:28" s="1436" customFormat="1" ht="24" customHeight="1">
      <c r="B4" s="3" t="s">
        <v>501</v>
      </c>
      <c r="C4" s="4"/>
      <c r="D4" s="4"/>
      <c r="E4" s="4"/>
      <c r="F4" s="4"/>
      <c r="G4" s="4"/>
      <c r="H4" s="4"/>
      <c r="I4" s="4"/>
      <c r="J4" s="4"/>
      <c r="K4" s="4"/>
      <c r="L4" s="4"/>
      <c r="M4" s="4"/>
      <c r="N4" s="4"/>
      <c r="O4" s="4"/>
      <c r="P4" s="4"/>
      <c r="Q4" s="4"/>
      <c r="R4" s="4"/>
      <c r="S4" s="4"/>
      <c r="T4" s="4"/>
      <c r="U4" s="4"/>
      <c r="V4" s="4"/>
      <c r="W4" s="4"/>
      <c r="X4" s="4"/>
      <c r="Y4" s="4"/>
      <c r="Z4" s="4"/>
      <c r="AA4" s="4"/>
      <c r="AB4" s="4"/>
    </row>
    <row r="5" spans="1:28" customFormat="1" ht="36.75" customHeight="1"/>
    <row r="6" spans="1:28" s="97" customFormat="1" ht="25.5">
      <c r="A6" s="798"/>
      <c r="B6" s="118" t="s">
        <v>59</v>
      </c>
      <c r="C6" s="969"/>
      <c r="D6" s="969"/>
      <c r="E6" s="969"/>
      <c r="F6" s="969"/>
      <c r="G6" s="969"/>
      <c r="H6" s="969"/>
      <c r="I6" s="969"/>
      <c r="J6" s="969"/>
      <c r="K6" s="969"/>
      <c r="L6" s="969"/>
      <c r="M6" s="969"/>
      <c r="N6" s="969"/>
      <c r="O6" s="969"/>
      <c r="P6" s="969"/>
      <c r="Q6" s="969"/>
      <c r="R6"/>
      <c r="S6"/>
      <c r="T6"/>
      <c r="U6" s="969"/>
      <c r="V6" s="969"/>
      <c r="W6" s="969"/>
      <c r="X6" s="969"/>
      <c r="Y6" s="969"/>
      <c r="Z6" s="969"/>
      <c r="AA6" s="969"/>
      <c r="AB6" s="969"/>
    </row>
    <row r="7" spans="1:28" s="97" customFormat="1" ht="25.5">
      <c r="A7" s="798"/>
      <c r="B7" s="119" t="s">
        <v>6</v>
      </c>
      <c r="C7" s="969"/>
      <c r="D7" s="969"/>
      <c r="E7" s="969"/>
      <c r="F7" s="969"/>
      <c r="G7" s="969"/>
      <c r="H7" s="969"/>
      <c r="I7" s="969"/>
      <c r="J7" s="969"/>
      <c r="K7" s="969"/>
      <c r="L7" s="969"/>
      <c r="M7" s="969"/>
      <c r="N7" s="969"/>
      <c r="O7" s="969"/>
      <c r="P7" s="969"/>
      <c r="Q7" s="969"/>
      <c r="R7"/>
      <c r="S7"/>
      <c r="T7"/>
      <c r="U7" s="969"/>
      <c r="V7" s="969"/>
      <c r="W7" s="969"/>
      <c r="X7" s="969"/>
      <c r="Y7" s="969"/>
      <c r="Z7" s="969"/>
      <c r="AA7" s="969"/>
      <c r="AB7" s="969"/>
    </row>
    <row r="8" spans="1:28" s="102" customFormat="1" ht="25.5">
      <c r="A8" s="973"/>
      <c r="B8" s="104" t="s">
        <v>1441</v>
      </c>
      <c r="C8" s="969"/>
      <c r="D8" s="969"/>
      <c r="E8" s="969"/>
      <c r="F8" s="970"/>
      <c r="G8" s="970"/>
      <c r="H8" s="970"/>
      <c r="I8" s="970"/>
      <c r="J8" s="970"/>
      <c r="K8" s="970"/>
      <c r="L8" s="970"/>
      <c r="M8" s="970"/>
      <c r="N8" s="970"/>
      <c r="O8" s="970"/>
      <c r="P8" s="970"/>
      <c r="Q8" s="970"/>
      <c r="R8"/>
      <c r="S8"/>
      <c r="T8"/>
      <c r="U8" s="969"/>
      <c r="V8" s="969"/>
      <c r="W8" s="969"/>
      <c r="X8" s="970"/>
      <c r="Y8" s="970"/>
      <c r="Z8" s="970"/>
      <c r="AA8" s="970"/>
      <c r="AB8" s="970"/>
    </row>
    <row r="9" spans="1:28" s="102" customFormat="1" ht="33" customHeight="1">
      <c r="A9" s="973"/>
      <c r="B9" s="104" t="s">
        <v>489</v>
      </c>
      <c r="C9" s="969"/>
      <c r="D9" s="969"/>
      <c r="E9" s="1648"/>
      <c r="F9" s="970"/>
      <c r="G9" s="970"/>
      <c r="H9" s="970"/>
      <c r="I9" s="970"/>
      <c r="J9" s="970"/>
      <c r="K9" s="970"/>
      <c r="L9" s="970"/>
      <c r="M9" s="970"/>
      <c r="N9" s="970"/>
      <c r="O9" s="970"/>
      <c r="P9" s="970"/>
      <c r="Q9" s="970"/>
      <c r="R9"/>
      <c r="S9"/>
      <c r="T9"/>
      <c r="U9" s="969"/>
      <c r="V9" s="969"/>
      <c r="W9" s="1648"/>
      <c r="X9" s="970"/>
      <c r="Y9" s="970"/>
      <c r="Z9" s="970"/>
      <c r="AA9" s="970"/>
      <c r="AB9" s="970"/>
    </row>
    <row r="10" spans="1:28" s="102" customFormat="1" ht="33" customHeight="1">
      <c r="A10" s="973"/>
      <c r="B10" s="104" t="str">
        <f>CONCATENATE("If ",dms_TradingName," intends to treat expenditure on meter replacement as operating expenditure, separate meter replacement expenditure into new and refurbished.")</f>
        <v>If AusNet (Gas) intends to treat expenditure on meter replacement as operating expenditure, separate meter replacement expenditure into new and refurbished.</v>
      </c>
      <c r="C10" s="969"/>
      <c r="D10" s="969"/>
      <c r="E10" s="969"/>
      <c r="F10" s="970"/>
      <c r="G10" s="970"/>
      <c r="H10" s="970"/>
      <c r="I10" s="970"/>
      <c r="J10" s="970"/>
      <c r="K10" s="970"/>
      <c r="L10" s="970"/>
      <c r="M10" s="970"/>
      <c r="N10" s="970"/>
      <c r="O10" s="970"/>
      <c r="P10" s="970"/>
      <c r="Q10" s="970"/>
      <c r="R10"/>
      <c r="S10"/>
      <c r="T10"/>
      <c r="U10" s="969"/>
      <c r="V10" s="969"/>
      <c r="W10" s="969"/>
      <c r="X10" s="970"/>
      <c r="Y10" s="970"/>
      <c r="Z10" s="970"/>
      <c r="AA10" s="970"/>
      <c r="AB10" s="970"/>
    </row>
    <row r="11" spans="1:28" s="102" customFormat="1" ht="20.100000000000001" customHeight="1">
      <c r="A11" s="973"/>
      <c r="B11" s="104" t="s">
        <v>502</v>
      </c>
      <c r="C11" s="970"/>
      <c r="D11" s="970"/>
      <c r="E11" s="970"/>
      <c r="F11" s="970"/>
      <c r="G11" s="970"/>
      <c r="H11" s="970"/>
      <c r="I11" s="970"/>
      <c r="J11" s="970"/>
      <c r="K11" s="970"/>
      <c r="L11" s="970"/>
      <c r="M11" s="970"/>
      <c r="N11" s="970"/>
      <c r="O11" s="970"/>
      <c r="P11" s="970"/>
      <c r="Q11" s="970"/>
      <c r="R11"/>
      <c r="S11"/>
      <c r="T11"/>
      <c r="U11" s="970"/>
      <c r="V11" s="970"/>
      <c r="W11" s="970"/>
      <c r="X11" s="970"/>
      <c r="Y11" s="970"/>
      <c r="Z11" s="970"/>
      <c r="AA11" s="970"/>
      <c r="AB11" s="970"/>
    </row>
    <row r="12" spans="1:28" s="102" customFormat="1" ht="20.100000000000001" customHeight="1">
      <c r="A12" s="973"/>
      <c r="B12" s="104"/>
      <c r="C12" s="969"/>
      <c r="D12" s="969"/>
      <c r="E12" s="969"/>
      <c r="F12" s="970"/>
      <c r="G12" s="970"/>
      <c r="H12" s="970"/>
      <c r="I12" s="970"/>
      <c r="J12" s="970"/>
      <c r="K12" s="970"/>
      <c r="L12" s="970"/>
      <c r="M12" s="970"/>
      <c r="N12" s="970"/>
      <c r="O12" s="970"/>
      <c r="P12" s="970"/>
      <c r="Q12" s="970"/>
      <c r="R12"/>
      <c r="S12"/>
      <c r="T12"/>
      <c r="U12" s="969"/>
      <c r="V12" s="969"/>
      <c r="W12" s="969"/>
      <c r="X12" s="970"/>
      <c r="Y12" s="970"/>
      <c r="Z12" s="970"/>
      <c r="AA12" s="970"/>
      <c r="AB12" s="970"/>
    </row>
    <row r="13" spans="1:28" s="97" customFormat="1" ht="20.100000000000001" customHeight="1">
      <c r="A13" s="862"/>
      <c r="B13" s="98"/>
      <c r="C13" s="862"/>
      <c r="D13" s="862"/>
      <c r="E13" s="862"/>
      <c r="F13" s="969"/>
      <c r="G13" s="862"/>
      <c r="H13" s="862"/>
      <c r="I13" s="862"/>
      <c r="J13" s="862"/>
      <c r="K13" s="862"/>
      <c r="L13" s="862"/>
      <c r="M13" s="969"/>
      <c r="N13" s="969"/>
      <c r="O13" s="969"/>
      <c r="P13" s="969"/>
      <c r="Q13" s="969"/>
      <c r="R13"/>
      <c r="S13"/>
      <c r="T13"/>
      <c r="U13" s="1115"/>
      <c r="V13" s="1115"/>
      <c r="W13" s="1115"/>
      <c r="X13" s="969"/>
      <c r="Y13" s="1115"/>
      <c r="Z13" s="1115"/>
      <c r="AA13" s="1115"/>
      <c r="AB13" s="1115"/>
    </row>
    <row r="14" spans="1:28" s="70" customFormat="1" ht="20.100000000000001" customHeight="1" thickBot="1">
      <c r="A14" s="410"/>
      <c r="C14" s="410"/>
      <c r="D14" s="410"/>
      <c r="E14" s="410"/>
      <c r="F14" s="410"/>
      <c r="G14" s="410"/>
      <c r="H14" s="410"/>
      <c r="I14" s="410"/>
      <c r="J14" s="410"/>
      <c r="K14" s="410"/>
      <c r="L14" s="410"/>
      <c r="M14" s="410"/>
      <c r="N14" s="410"/>
      <c r="O14" s="410"/>
      <c r="P14" s="410"/>
      <c r="Q14" s="410"/>
      <c r="R14"/>
      <c r="S14"/>
      <c r="T14"/>
      <c r="U14" s="1429"/>
      <c r="V14" s="1429"/>
      <c r="W14" s="1429"/>
      <c r="X14" s="1429"/>
      <c r="Y14" s="1429"/>
      <c r="Z14" s="1429"/>
      <c r="AA14" s="1429"/>
      <c r="AB14" s="1429"/>
    </row>
    <row r="15" spans="1:28" s="138" customFormat="1" ht="27.75" customHeight="1" thickBot="1">
      <c r="A15" s="1429"/>
      <c r="B15" s="972" t="s">
        <v>548</v>
      </c>
      <c r="C15" s="989"/>
      <c r="D15" s="989"/>
      <c r="E15" s="989"/>
      <c r="F15" s="989"/>
      <c r="G15" s="989"/>
      <c r="H15" s="989"/>
      <c r="I15" s="989"/>
      <c r="J15" s="989"/>
      <c r="K15" s="989"/>
      <c r="L15" s="989"/>
      <c r="M15" s="989"/>
      <c r="N15" s="989"/>
      <c r="O15" s="989"/>
      <c r="P15" s="989"/>
      <c r="Q15" s="990"/>
      <c r="R15"/>
      <c r="S15" s="1429"/>
      <c r="U15" s="856" t="s">
        <v>681</v>
      </c>
      <c r="V15" s="989"/>
      <c r="W15" s="989"/>
      <c r="X15" s="989"/>
      <c r="Y15" s="989"/>
      <c r="Z15" s="989"/>
      <c r="AA15" s="989"/>
      <c r="AB15" s="990"/>
    </row>
    <row r="16" spans="1:28" s="138" customFormat="1" ht="29.25" customHeight="1" thickBot="1">
      <c r="A16" s="1429"/>
      <c r="B16" s="1576" t="s">
        <v>550</v>
      </c>
      <c r="C16" s="1577"/>
      <c r="D16" s="1577"/>
      <c r="E16" s="1577"/>
      <c r="F16" s="1577"/>
      <c r="G16" s="1577"/>
      <c r="H16" s="1577"/>
      <c r="I16" s="1577"/>
      <c r="J16" s="1577"/>
      <c r="K16" s="1577"/>
      <c r="L16" s="1577"/>
      <c r="M16" s="1577"/>
      <c r="N16" s="1577"/>
      <c r="O16" s="1577"/>
      <c r="P16" s="1577"/>
      <c r="Q16" s="1578"/>
      <c r="R16" s="1427"/>
      <c r="S16" s="1429"/>
      <c r="U16" s="1576"/>
      <c r="V16" s="1577"/>
      <c r="W16" s="1577"/>
      <c r="X16" s="1577"/>
      <c r="Y16" s="1577"/>
      <c r="Z16" s="1577"/>
      <c r="AA16" s="1577"/>
      <c r="AB16" s="1578"/>
    </row>
    <row r="17" spans="1:31" s="73" customFormat="1" ht="16.5" customHeight="1">
      <c r="A17" s="809"/>
      <c r="B17" s="3909"/>
      <c r="C17" s="3620" t="s">
        <v>36</v>
      </c>
      <c r="D17" s="3549"/>
      <c r="E17" s="3549"/>
      <c r="F17" s="3549"/>
      <c r="G17" s="3549"/>
      <c r="H17" s="3602" t="s">
        <v>37</v>
      </c>
      <c r="I17" s="3603"/>
      <c r="J17" s="3603"/>
      <c r="K17" s="3603"/>
      <c r="L17" s="3603"/>
      <c r="M17" s="3543" t="s">
        <v>73</v>
      </c>
      <c r="N17" s="3543"/>
      <c r="O17" s="3543"/>
      <c r="P17" s="3543"/>
      <c r="Q17" s="3835"/>
      <c r="R17"/>
      <c r="S17"/>
      <c r="T17"/>
      <c r="U17" s="3601" t="s">
        <v>36</v>
      </c>
      <c r="V17" s="3549"/>
      <c r="W17" s="3549"/>
      <c r="X17" s="3549"/>
      <c r="Y17" s="3549"/>
      <c r="Z17" s="3602" t="s">
        <v>37</v>
      </c>
      <c r="AA17" s="3603"/>
      <c r="AB17" s="3604"/>
      <c r="AC17" s="66"/>
      <c r="AD17" s="66"/>
      <c r="AE17" s="66"/>
    </row>
    <row r="18" spans="1:31" s="70" customFormat="1" ht="15" customHeight="1">
      <c r="A18" s="360"/>
      <c r="B18" s="3737"/>
      <c r="C18" s="3550" t="s">
        <v>579</v>
      </c>
      <c r="D18" s="3551"/>
      <c r="E18" s="3551"/>
      <c r="F18" s="3551"/>
      <c r="G18" s="3551"/>
      <c r="H18" s="3551"/>
      <c r="I18" s="3551"/>
      <c r="J18" s="3595"/>
      <c r="K18" s="3589" t="str">
        <f>CONCATENATE("$0's, real ",dms_DollarReal)</f>
        <v>$0's, real December 2017</v>
      </c>
      <c r="L18" s="3590"/>
      <c r="M18" s="3590"/>
      <c r="N18" s="3590"/>
      <c r="O18" s="3590"/>
      <c r="P18" s="3590"/>
      <c r="Q18" s="3734"/>
      <c r="R18"/>
      <c r="S18"/>
      <c r="T18"/>
      <c r="U18" s="3550" t="str">
        <f>CONCATENATE("$0's, real ",dms_DollarReal)</f>
        <v>$0's, real December 2017</v>
      </c>
      <c r="V18" s="3551"/>
      <c r="W18" s="3551"/>
      <c r="X18" s="3551"/>
      <c r="Y18" s="3551"/>
      <c r="Z18" s="3551"/>
      <c r="AA18" s="3551"/>
      <c r="AB18" s="3552"/>
    </row>
    <row r="19" spans="1:31" s="73" customFormat="1" ht="16.5" customHeight="1">
      <c r="A19"/>
      <c r="B19" s="3737"/>
      <c r="C19" s="3550" t="s">
        <v>54</v>
      </c>
      <c r="D19" s="3551"/>
      <c r="E19" s="3551"/>
      <c r="F19" s="3551"/>
      <c r="G19" s="3551"/>
      <c r="H19" s="3551"/>
      <c r="I19" s="3551"/>
      <c r="J19" s="3595"/>
      <c r="K19" s="3589" t="s">
        <v>55</v>
      </c>
      <c r="L19" s="3590"/>
      <c r="M19" s="3590"/>
      <c r="N19" s="3590"/>
      <c r="O19" s="3590"/>
      <c r="P19" s="3590"/>
      <c r="Q19" s="3734"/>
      <c r="R19"/>
      <c r="S19"/>
      <c r="T19"/>
      <c r="U19" s="3550" t="s">
        <v>54</v>
      </c>
      <c r="V19" s="3551"/>
      <c r="W19" s="3551"/>
      <c r="X19" s="3551"/>
      <c r="Y19" s="3551"/>
      <c r="Z19" s="3551"/>
      <c r="AA19" s="3551"/>
      <c r="AB19" s="3552"/>
    </row>
    <row r="20" spans="1:31" s="70" customFormat="1" ht="12.75" customHeight="1" thickBot="1">
      <c r="A20"/>
      <c r="B20" s="3910"/>
      <c r="C20" s="391">
        <f t="array" ref="C20:G20">PRCP</f>
        <v>2008</v>
      </c>
      <c r="D20" s="390">
        <v>2009</v>
      </c>
      <c r="E20" s="390">
        <v>2010</v>
      </c>
      <c r="F20" s="390">
        <v>2011</v>
      </c>
      <c r="G20" s="390">
        <v>2012</v>
      </c>
      <c r="H20" s="392">
        <f>CRCP_y1</f>
        <v>2013</v>
      </c>
      <c r="I20" s="392">
        <f>CRCP_y2</f>
        <v>2014</v>
      </c>
      <c r="J20" s="392">
        <f>CRCP_y3</f>
        <v>2015</v>
      </c>
      <c r="K20" s="392">
        <f>CRCP_y4</f>
        <v>2016</v>
      </c>
      <c r="L20" s="392">
        <f>CRCP_y5</f>
        <v>2017</v>
      </c>
      <c r="M20" s="390" t="str">
        <f t="array" ref="M20:Q20">FRCP</f>
        <v>2018</v>
      </c>
      <c r="N20" s="390">
        <v>2019</v>
      </c>
      <c r="O20" s="390">
        <v>2020</v>
      </c>
      <c r="P20" s="390">
        <v>2021</v>
      </c>
      <c r="Q20" s="786">
        <v>2022</v>
      </c>
      <c r="R20"/>
      <c r="S20"/>
      <c r="T20"/>
      <c r="U20" s="1789">
        <f t="array" ref="U20:Y20">PRCP</f>
        <v>2008</v>
      </c>
      <c r="V20" s="390">
        <v>2009</v>
      </c>
      <c r="W20" s="390">
        <v>2010</v>
      </c>
      <c r="X20" s="390">
        <v>2011</v>
      </c>
      <c r="Y20" s="390">
        <v>2012</v>
      </c>
      <c r="Z20" s="392">
        <f>CRCP_y1</f>
        <v>2013</v>
      </c>
      <c r="AA20" s="392">
        <f>CRCP_y2</f>
        <v>2014</v>
      </c>
      <c r="AB20" s="603">
        <f>CRCP_y3</f>
        <v>2015</v>
      </c>
    </row>
    <row r="21" spans="1:31" s="138" customFormat="1" ht="21.75" customHeight="1" thickBot="1">
      <c r="A21" s="529"/>
      <c r="B21" s="858" t="s">
        <v>549</v>
      </c>
      <c r="C21" s="1572"/>
      <c r="D21" s="1572"/>
      <c r="E21" s="1572"/>
      <c r="F21" s="1572"/>
      <c r="G21" s="1572"/>
      <c r="H21" s="1572"/>
      <c r="I21" s="1572"/>
      <c r="J21" s="1572"/>
      <c r="K21" s="1572"/>
      <c r="L21" s="1572"/>
      <c r="M21" s="1572"/>
      <c r="N21" s="1572"/>
      <c r="O21" s="1572"/>
      <c r="P21" s="1572"/>
      <c r="Q21" s="1573"/>
      <c r="R21" s="1427"/>
      <c r="S21" s="1429"/>
      <c r="U21" s="1571"/>
      <c r="V21" s="1572"/>
      <c r="W21" s="1572"/>
      <c r="X21" s="1572"/>
      <c r="Y21" s="1572"/>
      <c r="Z21" s="1572"/>
      <c r="AA21" s="1572"/>
      <c r="AB21" s="1573"/>
    </row>
    <row r="22" spans="1:31" s="138" customFormat="1" ht="21.75" customHeight="1">
      <c r="A22" s="529"/>
      <c r="B22" s="3276" t="s">
        <v>1398</v>
      </c>
      <c r="C22" s="3277"/>
      <c r="D22" s="3277"/>
      <c r="E22" s="3277"/>
      <c r="F22" s="3277"/>
      <c r="G22" s="3277"/>
      <c r="H22" s="3277"/>
      <c r="I22" s="3277"/>
      <c r="J22" s="3277"/>
      <c r="K22" s="3277"/>
      <c r="L22" s="3277"/>
      <c r="M22" s="3277"/>
      <c r="N22" s="3277"/>
      <c r="O22" s="3277"/>
      <c r="P22" s="3277"/>
      <c r="Q22" s="3278"/>
      <c r="R22" s="1427"/>
      <c r="S22" s="1429"/>
      <c r="U22" s="2273"/>
      <c r="V22" s="1645"/>
      <c r="W22" s="1645"/>
      <c r="X22" s="1645"/>
      <c r="Y22" s="1645"/>
      <c r="Z22" s="1645"/>
      <c r="AA22" s="1645"/>
      <c r="AB22" s="1646"/>
    </row>
    <row r="23" spans="1:31" s="1427" customFormat="1" ht="20.100000000000001" customHeight="1" outlineLevel="1">
      <c r="A23"/>
      <c r="B23" s="3269" t="s">
        <v>1373</v>
      </c>
      <c r="C23" s="3270"/>
      <c r="D23" s="3271"/>
      <c r="E23" s="3271"/>
      <c r="F23" s="3271"/>
      <c r="G23" s="3272"/>
      <c r="H23" s="3270"/>
      <c r="I23" s="3271"/>
      <c r="J23" s="3271"/>
      <c r="K23" s="3271"/>
      <c r="L23" s="3271"/>
      <c r="M23" s="3270"/>
      <c r="N23" s="3271"/>
      <c r="O23" s="3271"/>
      <c r="P23" s="3271"/>
      <c r="Q23" s="3272"/>
      <c r="U23" s="2274"/>
      <c r="V23" s="2275"/>
      <c r="W23" s="2275"/>
      <c r="X23" s="2275"/>
      <c r="Y23" s="2276"/>
      <c r="Z23" s="2274"/>
      <c r="AA23" s="2275"/>
      <c r="AB23" s="2276"/>
    </row>
    <row r="24" spans="1:31" s="1427" customFormat="1" ht="20.100000000000001" customHeight="1" outlineLevel="1">
      <c r="B24" s="1647" t="s">
        <v>1374</v>
      </c>
      <c r="C24" s="1631"/>
      <c r="D24" s="1632"/>
      <c r="E24" s="1632"/>
      <c r="F24" s="1632"/>
      <c r="G24" s="1633"/>
      <c r="H24" s="1631"/>
      <c r="I24" s="1632"/>
      <c r="J24" s="1632"/>
      <c r="K24" s="1632"/>
      <c r="L24" s="1632"/>
      <c r="M24" s="1631"/>
      <c r="N24" s="1632"/>
      <c r="O24" s="1632"/>
      <c r="P24" s="1632"/>
      <c r="Q24" s="1633"/>
      <c r="U24" s="2274"/>
      <c r="V24" s="2275"/>
      <c r="W24" s="2275"/>
      <c r="X24" s="2275"/>
      <c r="Y24" s="2276"/>
      <c r="Z24" s="2274"/>
      <c r="AA24" s="2275"/>
      <c r="AB24" s="2276"/>
    </row>
    <row r="25" spans="1:31" s="1427" customFormat="1" ht="20.100000000000001" customHeight="1" outlineLevel="1">
      <c r="B25" s="1647" t="s">
        <v>1375</v>
      </c>
      <c r="C25" s="1631"/>
      <c r="D25" s="1632"/>
      <c r="E25" s="1632"/>
      <c r="F25" s="1632"/>
      <c r="G25" s="1633"/>
      <c r="H25" s="1631"/>
      <c r="I25" s="1632"/>
      <c r="J25" s="1632"/>
      <c r="K25" s="1632"/>
      <c r="L25" s="1632"/>
      <c r="M25" s="1631"/>
      <c r="N25" s="1632"/>
      <c r="O25" s="1632"/>
      <c r="P25" s="1632"/>
      <c r="Q25" s="1633"/>
      <c r="U25" s="2274"/>
      <c r="V25" s="2275"/>
      <c r="W25" s="2275"/>
      <c r="X25" s="2275"/>
      <c r="Y25" s="2276"/>
      <c r="Z25" s="2274"/>
      <c r="AA25" s="2275"/>
      <c r="AB25" s="2276"/>
    </row>
    <row r="26" spans="1:31" s="1427" customFormat="1" ht="20.100000000000001" customHeight="1" outlineLevel="1">
      <c r="B26" s="1647" t="s">
        <v>1376</v>
      </c>
      <c r="C26" s="1631"/>
      <c r="D26" s="1632"/>
      <c r="E26" s="1632"/>
      <c r="F26" s="1632"/>
      <c r="G26" s="1633"/>
      <c r="H26" s="1631"/>
      <c r="I26" s="1632"/>
      <c r="J26" s="1632"/>
      <c r="K26" s="1632"/>
      <c r="L26" s="1632"/>
      <c r="M26" s="1631"/>
      <c r="N26" s="1632"/>
      <c r="O26" s="1632"/>
      <c r="P26" s="1632"/>
      <c r="Q26" s="1633"/>
      <c r="U26" s="2274"/>
      <c r="V26" s="2275"/>
      <c r="W26" s="2275"/>
      <c r="X26" s="2275"/>
      <c r="Y26" s="2276"/>
      <c r="Z26" s="2274"/>
      <c r="AA26" s="2275"/>
      <c r="AB26" s="2276"/>
    </row>
    <row r="27" spans="1:31" s="1427" customFormat="1" ht="20.100000000000001" customHeight="1" outlineLevel="1">
      <c r="B27" s="1647" t="s">
        <v>1377</v>
      </c>
      <c r="C27" s="1631"/>
      <c r="D27" s="1632"/>
      <c r="E27" s="1632"/>
      <c r="F27" s="1632"/>
      <c r="G27" s="1633"/>
      <c r="H27" s="1631"/>
      <c r="I27" s="1632"/>
      <c r="J27" s="1632"/>
      <c r="K27" s="1632"/>
      <c r="L27" s="1632"/>
      <c r="M27" s="1631"/>
      <c r="N27" s="1632"/>
      <c r="O27" s="1632"/>
      <c r="P27" s="1632"/>
      <c r="Q27" s="1633"/>
      <c r="U27" s="2274"/>
      <c r="V27" s="2275"/>
      <c r="W27" s="2275"/>
      <c r="X27" s="2275"/>
      <c r="Y27" s="2276"/>
      <c r="Z27" s="2274"/>
      <c r="AA27" s="2275"/>
      <c r="AB27" s="2276"/>
    </row>
    <row r="28" spans="1:31" s="1427" customFormat="1" ht="20.100000000000001" customHeight="1" outlineLevel="1">
      <c r="B28" s="1647" t="s">
        <v>1378</v>
      </c>
      <c r="C28" s="1631"/>
      <c r="D28" s="1632"/>
      <c r="E28" s="1632"/>
      <c r="F28" s="1632"/>
      <c r="G28" s="1633"/>
      <c r="H28" s="1631"/>
      <c r="I28" s="1632"/>
      <c r="J28" s="1632"/>
      <c r="K28" s="1632"/>
      <c r="L28" s="1632"/>
      <c r="M28" s="1631"/>
      <c r="N28" s="1632"/>
      <c r="O28" s="1632"/>
      <c r="P28" s="1632"/>
      <c r="Q28" s="1633"/>
      <c r="U28" s="2274"/>
      <c r="V28" s="2275"/>
      <c r="W28" s="2275"/>
      <c r="X28" s="2275"/>
      <c r="Y28" s="2276"/>
      <c r="Z28" s="2274"/>
      <c r="AA28" s="2275"/>
      <c r="AB28" s="2276"/>
    </row>
    <row r="29" spans="1:31" s="1427" customFormat="1" ht="20.100000000000001" customHeight="1" outlineLevel="1">
      <c r="B29" s="1647" t="s">
        <v>280</v>
      </c>
      <c r="C29" s="1631"/>
      <c r="D29" s="1632"/>
      <c r="E29" s="1632"/>
      <c r="F29" s="1632"/>
      <c r="G29" s="1633"/>
      <c r="H29" s="1631"/>
      <c r="I29" s="1632"/>
      <c r="J29" s="1632"/>
      <c r="K29" s="1632"/>
      <c r="L29" s="1632"/>
      <c r="M29" s="1631"/>
      <c r="N29" s="1632"/>
      <c r="O29" s="1632"/>
      <c r="P29" s="1632"/>
      <c r="Q29" s="1633"/>
      <c r="U29" s="2274"/>
      <c r="V29" s="2275"/>
      <c r="W29" s="2275"/>
      <c r="X29" s="2275"/>
      <c r="Y29" s="2276"/>
      <c r="Z29" s="2274"/>
      <c r="AA29" s="2275"/>
      <c r="AB29" s="2276"/>
    </row>
    <row r="30" spans="1:31" s="1427" customFormat="1" ht="20.100000000000001" customHeight="1" outlineLevel="1">
      <c r="B30" s="1647" t="s">
        <v>1379</v>
      </c>
      <c r="C30" s="1631"/>
      <c r="D30" s="1632"/>
      <c r="E30" s="1632"/>
      <c r="F30" s="1632"/>
      <c r="G30" s="1633"/>
      <c r="H30" s="1631"/>
      <c r="I30" s="1632"/>
      <c r="J30" s="1632"/>
      <c r="K30" s="1632"/>
      <c r="L30" s="1632"/>
      <c r="M30" s="1631"/>
      <c r="N30" s="1632"/>
      <c r="O30" s="1632"/>
      <c r="P30" s="1632"/>
      <c r="Q30" s="1633"/>
      <c r="U30" s="2274"/>
      <c r="V30" s="2275"/>
      <c r="W30" s="2275"/>
      <c r="X30" s="2275"/>
      <c r="Y30" s="2276"/>
      <c r="Z30" s="2274"/>
      <c r="AA30" s="2275"/>
      <c r="AB30" s="2276"/>
    </row>
    <row r="31" spans="1:31" s="1427" customFormat="1" ht="20.100000000000001" customHeight="1" outlineLevel="1">
      <c r="B31" s="1647" t="s">
        <v>1380</v>
      </c>
      <c r="C31" s="1631"/>
      <c r="D31" s="1632"/>
      <c r="E31" s="1632"/>
      <c r="F31" s="1632"/>
      <c r="G31" s="1633"/>
      <c r="H31" s="1631"/>
      <c r="I31" s="1632"/>
      <c r="J31" s="1632"/>
      <c r="K31" s="1632"/>
      <c r="L31" s="1632"/>
      <c r="M31" s="1631"/>
      <c r="N31" s="1632"/>
      <c r="O31" s="1632"/>
      <c r="P31" s="1632"/>
      <c r="Q31" s="1633"/>
      <c r="U31" s="2274"/>
      <c r="V31" s="2275"/>
      <c r="W31" s="2275"/>
      <c r="X31" s="2275"/>
      <c r="Y31" s="2276"/>
      <c r="Z31" s="2274"/>
      <c r="AA31" s="2275"/>
      <c r="AB31" s="2276"/>
    </row>
    <row r="32" spans="1:31" s="1427" customFormat="1" ht="20.100000000000001" customHeight="1" outlineLevel="1">
      <c r="B32" s="1647" t="s">
        <v>1381</v>
      </c>
      <c r="C32" s="1631"/>
      <c r="D32" s="1632"/>
      <c r="E32" s="1632"/>
      <c r="F32" s="1632"/>
      <c r="G32" s="1633"/>
      <c r="H32" s="1631"/>
      <c r="I32" s="1632"/>
      <c r="J32" s="1632"/>
      <c r="K32" s="1632"/>
      <c r="L32" s="1632"/>
      <c r="M32" s="1631"/>
      <c r="N32" s="1632"/>
      <c r="O32" s="1632"/>
      <c r="P32" s="1632"/>
      <c r="Q32" s="1633"/>
      <c r="U32" s="2274"/>
      <c r="V32" s="2275"/>
      <c r="W32" s="2275"/>
      <c r="X32" s="2275"/>
      <c r="Y32" s="2276"/>
      <c r="Z32" s="2274"/>
      <c r="AA32" s="2275"/>
      <c r="AB32" s="2276"/>
    </row>
    <row r="33" spans="1:28" s="1427" customFormat="1" ht="20.100000000000001" customHeight="1" outlineLevel="1">
      <c r="B33" s="1647" t="s">
        <v>1382</v>
      </c>
      <c r="C33" s="1631"/>
      <c r="D33" s="1632"/>
      <c r="E33" s="1632"/>
      <c r="F33" s="1632"/>
      <c r="G33" s="1633"/>
      <c r="H33" s="1631"/>
      <c r="I33" s="1632"/>
      <c r="J33" s="1632"/>
      <c r="K33" s="1632"/>
      <c r="L33" s="1632"/>
      <c r="M33" s="1631"/>
      <c r="N33" s="1632"/>
      <c r="O33" s="1632"/>
      <c r="P33" s="1632"/>
      <c r="Q33" s="1633"/>
      <c r="U33" s="2274"/>
      <c r="V33" s="2275"/>
      <c r="W33" s="2275"/>
      <c r="X33" s="2275"/>
      <c r="Y33" s="2276"/>
      <c r="Z33" s="2274"/>
      <c r="AA33" s="2275"/>
      <c r="AB33" s="2276"/>
    </row>
    <row r="34" spans="1:28" s="1427" customFormat="1" ht="20.100000000000001" customHeight="1" outlineLevel="1">
      <c r="B34" s="1647" t="s">
        <v>135</v>
      </c>
      <c r="C34" s="1631"/>
      <c r="D34" s="1632"/>
      <c r="E34" s="1632"/>
      <c r="F34" s="1632"/>
      <c r="G34" s="1633"/>
      <c r="H34" s="1631"/>
      <c r="I34" s="1632"/>
      <c r="J34" s="1632"/>
      <c r="K34" s="1632"/>
      <c r="L34" s="1632"/>
      <c r="M34" s="1631"/>
      <c r="N34" s="1632"/>
      <c r="O34" s="1632"/>
      <c r="P34" s="1632"/>
      <c r="Q34" s="1633"/>
      <c r="U34" s="2274"/>
      <c r="V34" s="2275"/>
      <c r="W34" s="2275"/>
      <c r="X34" s="2275"/>
      <c r="Y34" s="2276"/>
      <c r="Z34" s="2274"/>
      <c r="AA34" s="2275"/>
      <c r="AB34" s="2276"/>
    </row>
    <row r="35" spans="1:28" s="1427" customFormat="1" ht="20.100000000000001" customHeight="1" outlineLevel="1">
      <c r="B35" s="1647" t="s">
        <v>1383</v>
      </c>
      <c r="C35" s="1631"/>
      <c r="D35" s="1632"/>
      <c r="E35" s="1632"/>
      <c r="F35" s="1632"/>
      <c r="G35" s="1633"/>
      <c r="H35" s="1631"/>
      <c r="I35" s="1632"/>
      <c r="J35" s="1632"/>
      <c r="K35" s="1632"/>
      <c r="L35" s="1632"/>
      <c r="M35" s="1631"/>
      <c r="N35" s="1632"/>
      <c r="O35" s="1632"/>
      <c r="P35" s="1632"/>
      <c r="Q35" s="1633"/>
      <c r="U35" s="2274"/>
      <c r="V35" s="2275"/>
      <c r="W35" s="2275"/>
      <c r="X35" s="2275"/>
      <c r="Y35" s="2276"/>
      <c r="Z35" s="2274"/>
      <c r="AA35" s="2275"/>
      <c r="AB35" s="2276"/>
    </row>
    <row r="36" spans="1:28" s="1427" customFormat="1" ht="20.100000000000001" customHeight="1" outlineLevel="1">
      <c r="B36" s="1647" t="s">
        <v>1384</v>
      </c>
      <c r="C36" s="1631"/>
      <c r="D36" s="3283"/>
      <c r="E36" s="3283"/>
      <c r="F36" s="3283"/>
      <c r="G36" s="1633"/>
      <c r="H36" s="1631"/>
      <c r="I36" s="3283"/>
      <c r="J36" s="3283"/>
      <c r="K36" s="3283"/>
      <c r="L36" s="1632"/>
      <c r="M36" s="1631"/>
      <c r="N36" s="3283"/>
      <c r="O36" s="3283"/>
      <c r="P36" s="3283"/>
      <c r="Q36" s="1633"/>
      <c r="U36" s="2274"/>
      <c r="V36" s="2275"/>
      <c r="W36" s="2275"/>
      <c r="X36" s="2275"/>
      <c r="Y36" s="2276"/>
      <c r="Z36" s="2274"/>
      <c r="AA36" s="2275"/>
      <c r="AB36" s="2276"/>
    </row>
    <row r="37" spans="1:28" s="1427" customFormat="1" ht="20.100000000000001" customHeight="1" outlineLevel="1">
      <c r="B37" s="3275" t="s">
        <v>1400</v>
      </c>
      <c r="C37" s="3270">
        <f>SUM(C24:C36)</f>
        <v>0</v>
      </c>
      <c r="D37" s="3274">
        <f t="shared" ref="D37:P37" si="0">SUM(D24:D36)</f>
        <v>0</v>
      </c>
      <c r="E37" s="3274">
        <f t="shared" si="0"/>
        <v>0</v>
      </c>
      <c r="F37" s="3274">
        <f>SUM(F24:F36)</f>
        <v>0</v>
      </c>
      <c r="G37" s="3272">
        <f t="shared" si="0"/>
        <v>0</v>
      </c>
      <c r="H37" s="3270">
        <f t="shared" si="0"/>
        <v>0</v>
      </c>
      <c r="I37" s="3274">
        <f t="shared" si="0"/>
        <v>0</v>
      </c>
      <c r="J37" s="3274">
        <f t="shared" si="0"/>
        <v>0</v>
      </c>
      <c r="K37" s="3274">
        <f t="shared" si="0"/>
        <v>0</v>
      </c>
      <c r="L37" s="3272">
        <f t="shared" si="0"/>
        <v>0</v>
      </c>
      <c r="M37" s="3270">
        <f t="shared" si="0"/>
        <v>0</v>
      </c>
      <c r="N37" s="3274">
        <f t="shared" si="0"/>
        <v>0</v>
      </c>
      <c r="O37" s="3274">
        <f t="shared" si="0"/>
        <v>0</v>
      </c>
      <c r="P37" s="3274">
        <f t="shared" si="0"/>
        <v>0</v>
      </c>
      <c r="Q37" s="3272">
        <f>SUM(Q24:Q36)</f>
        <v>0</v>
      </c>
      <c r="U37" s="2274"/>
      <c r="V37" s="2275"/>
      <c r="W37" s="2275"/>
      <c r="X37" s="2275"/>
      <c r="Y37" s="2276"/>
      <c r="Z37" s="2274"/>
      <c r="AA37" s="2275"/>
      <c r="AB37" s="2276"/>
    </row>
    <row r="38" spans="1:28" s="1427" customFormat="1" ht="20.100000000000001" customHeight="1" outlineLevel="1">
      <c r="B38" s="3269" t="s">
        <v>1385</v>
      </c>
      <c r="C38" s="3270"/>
      <c r="D38" s="3274"/>
      <c r="E38" s="3274"/>
      <c r="F38" s="3274"/>
      <c r="G38" s="3272"/>
      <c r="H38" s="3270"/>
      <c r="I38" s="3274"/>
      <c r="J38" s="3274"/>
      <c r="K38" s="3274"/>
      <c r="L38" s="3272"/>
      <c r="M38" s="3270"/>
      <c r="N38" s="3274"/>
      <c r="O38" s="3274"/>
      <c r="P38" s="3274"/>
      <c r="Q38" s="3272"/>
      <c r="U38" s="2274"/>
      <c r="V38" s="2275"/>
      <c r="W38" s="2275"/>
      <c r="X38" s="2275"/>
      <c r="Y38" s="2276"/>
      <c r="Z38" s="2274"/>
      <c r="AA38" s="2275"/>
      <c r="AB38" s="2276"/>
    </row>
    <row r="39" spans="1:28" s="1427" customFormat="1" ht="20.100000000000001" customHeight="1" outlineLevel="1">
      <c r="B39" s="1647" t="s">
        <v>1386</v>
      </c>
      <c r="C39" s="1631"/>
      <c r="D39" s="1632"/>
      <c r="E39" s="1632"/>
      <c r="F39" s="1632"/>
      <c r="G39" s="1633"/>
      <c r="H39" s="1631"/>
      <c r="I39" s="1632"/>
      <c r="J39" s="1632"/>
      <c r="K39" s="1632"/>
      <c r="L39" s="1632"/>
      <c r="M39" s="1631"/>
      <c r="N39" s="1632"/>
      <c r="O39" s="1632"/>
      <c r="P39" s="1632"/>
      <c r="Q39" s="1633"/>
      <c r="U39" s="2274"/>
      <c r="V39" s="2275"/>
      <c r="W39" s="2275"/>
      <c r="X39" s="2275"/>
      <c r="Y39" s="2276"/>
      <c r="Z39" s="2274"/>
      <c r="AA39" s="2275"/>
      <c r="AB39" s="2276"/>
    </row>
    <row r="40" spans="1:28" s="1427" customFormat="1" ht="20.100000000000001" customHeight="1" outlineLevel="1">
      <c r="B40" s="1647" t="s">
        <v>1387</v>
      </c>
      <c r="C40" s="1631"/>
      <c r="D40" s="1632"/>
      <c r="E40" s="1632"/>
      <c r="F40" s="1632"/>
      <c r="G40" s="1633"/>
      <c r="H40" s="1631"/>
      <c r="I40" s="1632"/>
      <c r="J40" s="1632"/>
      <c r="K40" s="1632"/>
      <c r="L40" s="1632"/>
      <c r="M40" s="1631"/>
      <c r="N40" s="1632"/>
      <c r="O40" s="1632"/>
      <c r="P40" s="1632"/>
      <c r="Q40" s="1633"/>
      <c r="U40" s="2274"/>
      <c r="V40" s="2275"/>
      <c r="W40" s="2275"/>
      <c r="X40" s="2275"/>
      <c r="Y40" s="2276"/>
      <c r="Z40" s="2274"/>
      <c r="AA40" s="2275"/>
      <c r="AB40" s="2276"/>
    </row>
    <row r="41" spans="1:28" s="1427" customFormat="1" ht="20.100000000000001" customHeight="1" outlineLevel="1">
      <c r="B41" s="1647" t="s">
        <v>60</v>
      </c>
      <c r="C41" s="1631"/>
      <c r="D41" s="1632"/>
      <c r="E41" s="1632"/>
      <c r="F41" s="1632"/>
      <c r="G41" s="1633"/>
      <c r="H41" s="1631"/>
      <c r="I41" s="1632"/>
      <c r="J41" s="1632"/>
      <c r="K41" s="1632"/>
      <c r="L41" s="1632"/>
      <c r="M41" s="1631"/>
      <c r="N41" s="1632"/>
      <c r="O41" s="1632"/>
      <c r="P41" s="1632"/>
      <c r="Q41" s="1633"/>
      <c r="U41" s="2274"/>
      <c r="V41" s="2275"/>
      <c r="W41" s="2275"/>
      <c r="X41" s="2275"/>
      <c r="Y41" s="2276"/>
      <c r="Z41" s="2274"/>
      <c r="AA41" s="2275"/>
      <c r="AB41" s="2276"/>
    </row>
    <row r="42" spans="1:28" s="1427" customFormat="1" ht="20.100000000000001" customHeight="1" outlineLevel="1">
      <c r="B42" s="1647" t="s">
        <v>1388</v>
      </c>
      <c r="C42" s="1631"/>
      <c r="D42" s="1632"/>
      <c r="E42" s="1632"/>
      <c r="F42" s="1632"/>
      <c r="G42" s="1633"/>
      <c r="H42" s="1631"/>
      <c r="I42" s="1632"/>
      <c r="J42" s="1632"/>
      <c r="K42" s="1632"/>
      <c r="L42" s="1632"/>
      <c r="M42" s="1631"/>
      <c r="N42" s="1632"/>
      <c r="O42" s="1632"/>
      <c r="P42" s="1632"/>
      <c r="Q42" s="1633"/>
      <c r="U42" s="2274"/>
      <c r="V42" s="2275"/>
      <c r="W42" s="2275"/>
      <c r="X42" s="2275"/>
      <c r="Y42" s="2276"/>
      <c r="Z42" s="2274"/>
      <c r="AA42" s="2275"/>
      <c r="AB42" s="2276"/>
    </row>
    <row r="43" spans="1:28" s="1427" customFormat="1" ht="20.100000000000001" customHeight="1" outlineLevel="1">
      <c r="B43" s="1647" t="s">
        <v>1389</v>
      </c>
      <c r="C43" s="1631"/>
      <c r="D43" s="1632"/>
      <c r="E43" s="1632"/>
      <c r="F43" s="1632"/>
      <c r="G43" s="1633"/>
      <c r="H43" s="1631"/>
      <c r="I43" s="1632"/>
      <c r="J43" s="1632"/>
      <c r="K43" s="1632"/>
      <c r="L43" s="1632"/>
      <c r="M43" s="1631"/>
      <c r="N43" s="1632"/>
      <c r="O43" s="1632"/>
      <c r="P43" s="1632"/>
      <c r="Q43" s="1633"/>
      <c r="U43" s="2274"/>
      <c r="V43" s="2275"/>
      <c r="W43" s="2275"/>
      <c r="X43" s="2275"/>
      <c r="Y43" s="2276"/>
      <c r="Z43" s="2274"/>
      <c r="AA43" s="2275"/>
      <c r="AB43" s="2276"/>
    </row>
    <row r="44" spans="1:28" s="1427" customFormat="1" ht="20.100000000000001" customHeight="1" outlineLevel="1">
      <c r="B44" s="1647" t="s">
        <v>61</v>
      </c>
      <c r="C44" s="1631"/>
      <c r="D44" s="1632"/>
      <c r="E44" s="1632"/>
      <c r="F44" s="1632"/>
      <c r="G44" s="1633"/>
      <c r="H44" s="1631"/>
      <c r="I44" s="1632"/>
      <c r="J44" s="1632"/>
      <c r="K44" s="1632"/>
      <c r="L44" s="1632"/>
      <c r="M44" s="1631"/>
      <c r="N44" s="1632"/>
      <c r="O44" s="1632"/>
      <c r="P44" s="1632"/>
      <c r="Q44" s="1633"/>
      <c r="U44" s="2274"/>
      <c r="V44" s="2275"/>
      <c r="W44" s="2275"/>
      <c r="X44" s="2275"/>
      <c r="Y44" s="2276"/>
      <c r="Z44" s="2274"/>
      <c r="AA44" s="2275"/>
      <c r="AB44" s="2276"/>
    </row>
    <row r="45" spans="1:28" s="1427" customFormat="1" ht="20.100000000000001" customHeight="1" outlineLevel="1">
      <c r="B45" s="1647" t="s">
        <v>1390</v>
      </c>
      <c r="C45" s="1631"/>
      <c r="D45" s="1632"/>
      <c r="E45" s="1632"/>
      <c r="F45" s="1632"/>
      <c r="G45" s="1633"/>
      <c r="H45" s="1631"/>
      <c r="I45" s="1632"/>
      <c r="J45" s="1632"/>
      <c r="K45" s="1632"/>
      <c r="L45" s="1632"/>
      <c r="M45" s="1631"/>
      <c r="N45" s="1632"/>
      <c r="O45" s="1632"/>
      <c r="P45" s="1632"/>
      <c r="Q45" s="1633"/>
      <c r="U45" s="2274"/>
      <c r="V45" s="2275"/>
      <c r="W45" s="2275"/>
      <c r="X45" s="2275"/>
      <c r="Y45" s="2276"/>
      <c r="Z45" s="2274"/>
      <c r="AA45" s="2275"/>
      <c r="AB45" s="2276"/>
    </row>
    <row r="46" spans="1:28" s="1427" customFormat="1" ht="20.100000000000001" customHeight="1" outlineLevel="1">
      <c r="B46" s="1647" t="s">
        <v>62</v>
      </c>
      <c r="C46" s="1631"/>
      <c r="D46" s="1632"/>
      <c r="E46" s="1632"/>
      <c r="F46" s="1632"/>
      <c r="G46" s="1633"/>
      <c r="H46" s="1631"/>
      <c r="I46" s="1632"/>
      <c r="J46" s="1632"/>
      <c r="K46" s="1632"/>
      <c r="L46" s="1632"/>
      <c r="M46" s="1631"/>
      <c r="N46" s="1632"/>
      <c r="O46" s="1632"/>
      <c r="P46" s="1632"/>
      <c r="Q46" s="1633"/>
      <c r="U46" s="2274"/>
      <c r="V46" s="2275"/>
      <c r="W46" s="2275"/>
      <c r="X46" s="2275"/>
      <c r="Y46" s="2276"/>
      <c r="Z46" s="2274"/>
      <c r="AA46" s="2275"/>
      <c r="AB46" s="2276"/>
    </row>
    <row r="47" spans="1:28" s="1427" customFormat="1" ht="20.100000000000001" customHeight="1" outlineLevel="1">
      <c r="B47" s="3273" t="s">
        <v>1391</v>
      </c>
      <c r="C47" s="3270">
        <f>SUM(C39:C46)</f>
        <v>0</v>
      </c>
      <c r="D47" s="3274">
        <f>SUM(D39:D46)</f>
        <v>0</v>
      </c>
      <c r="E47" s="3274">
        <f t="shared" ref="E47:F47" si="1">SUM(E39:E46)</f>
        <v>0</v>
      </c>
      <c r="F47" s="3274">
        <f t="shared" si="1"/>
        <v>0</v>
      </c>
      <c r="G47" s="3272">
        <f>SUM(G39:G46)</f>
        <v>0</v>
      </c>
      <c r="H47" s="3270">
        <f>SUM(H39:H46)</f>
        <v>0</v>
      </c>
      <c r="I47" s="3274">
        <f>SUM(I39:I46)</f>
        <v>0</v>
      </c>
      <c r="J47" s="3274">
        <f t="shared" ref="J47" si="2">SUM(J39:J46)</f>
        <v>0</v>
      </c>
      <c r="K47" s="3274">
        <f t="shared" ref="K47" si="3">SUM(K39:K46)</f>
        <v>0</v>
      </c>
      <c r="L47" s="3272">
        <f>SUM(L39:L46)</f>
        <v>0</v>
      </c>
      <c r="M47" s="3270">
        <f>SUM(M39:M46)</f>
        <v>0</v>
      </c>
      <c r="N47" s="3274">
        <f>SUM(N39:N46)</f>
        <v>0</v>
      </c>
      <c r="O47" s="3274">
        <f t="shared" ref="O47" si="4">SUM(O39:O46)</f>
        <v>0</v>
      </c>
      <c r="P47" s="3274">
        <f>SUM(P39:P46)</f>
        <v>0</v>
      </c>
      <c r="Q47" s="3272">
        <f>SUM(Q39:Q46)</f>
        <v>0</v>
      </c>
      <c r="U47" s="2274"/>
      <c r="V47" s="2275"/>
      <c r="W47" s="2275"/>
      <c r="X47" s="2275"/>
      <c r="Y47" s="2276"/>
      <c r="Z47" s="2274"/>
      <c r="AA47" s="2275"/>
      <c r="AB47" s="2276"/>
    </row>
    <row r="48" spans="1:28" ht="20.100000000000001" customHeight="1" outlineLevel="1" thickBot="1">
      <c r="A48"/>
      <c r="B48" s="3279" t="s">
        <v>1399</v>
      </c>
      <c r="C48" s="1636">
        <f t="shared" ref="C48:Q48" si="5">C37+C47</f>
        <v>0</v>
      </c>
      <c r="D48" s="1637">
        <f t="shared" si="5"/>
        <v>0</v>
      </c>
      <c r="E48" s="1637">
        <f t="shared" si="5"/>
        <v>0</v>
      </c>
      <c r="F48" s="1637">
        <f t="shared" si="5"/>
        <v>0</v>
      </c>
      <c r="G48" s="1638">
        <f t="shared" si="5"/>
        <v>0</v>
      </c>
      <c r="H48" s="1636">
        <f t="shared" si="5"/>
        <v>0</v>
      </c>
      <c r="I48" s="1637">
        <f t="shared" si="5"/>
        <v>0</v>
      </c>
      <c r="J48" s="1637">
        <f t="shared" si="5"/>
        <v>0</v>
      </c>
      <c r="K48" s="1637">
        <f t="shared" si="5"/>
        <v>0</v>
      </c>
      <c r="L48" s="1638">
        <f t="shared" si="5"/>
        <v>0</v>
      </c>
      <c r="M48" s="1636">
        <f t="shared" si="5"/>
        <v>0</v>
      </c>
      <c r="N48" s="1637">
        <f t="shared" si="5"/>
        <v>0</v>
      </c>
      <c r="O48" s="1637">
        <f t="shared" si="5"/>
        <v>0</v>
      </c>
      <c r="P48" s="1637">
        <f t="shared" si="5"/>
        <v>0</v>
      </c>
      <c r="Q48" s="1638">
        <f t="shared" si="5"/>
        <v>0</v>
      </c>
      <c r="U48" s="2272">
        <f t="shared" ref="U48:AB48" si="6">SUM(U23:U47)</f>
        <v>0</v>
      </c>
      <c r="V48" s="1634">
        <f t="shared" si="6"/>
        <v>0</v>
      </c>
      <c r="W48" s="1634">
        <f t="shared" si="6"/>
        <v>0</v>
      </c>
      <c r="X48" s="1634">
        <f t="shared" si="6"/>
        <v>0</v>
      </c>
      <c r="Y48" s="1635">
        <f t="shared" si="6"/>
        <v>0</v>
      </c>
      <c r="Z48" s="2272">
        <f t="shared" si="6"/>
        <v>0</v>
      </c>
      <c r="AA48" s="1634">
        <f t="shared" si="6"/>
        <v>0</v>
      </c>
      <c r="AB48" s="1635">
        <f t="shared" si="6"/>
        <v>0</v>
      </c>
    </row>
    <row r="49" spans="1:31" ht="20.100000000000001" customHeight="1" outlineLevel="1" thickBot="1">
      <c r="A49"/>
      <c r="B49" s="3276" t="s">
        <v>1407</v>
      </c>
      <c r="C49" s="3277"/>
      <c r="D49" s="3277"/>
      <c r="E49" s="3277"/>
      <c r="F49" s="3277"/>
      <c r="G49" s="3277"/>
      <c r="H49" s="3277"/>
      <c r="I49" s="3277"/>
      <c r="J49" s="3277"/>
      <c r="K49" s="3277"/>
      <c r="L49" s="3277"/>
      <c r="M49" s="3277"/>
      <c r="N49" s="3277"/>
      <c r="O49" s="3277"/>
      <c r="P49" s="3277"/>
      <c r="Q49" s="3278"/>
      <c r="U49" s="978" t="e">
        <f>#REF!+U48</f>
        <v>#REF!</v>
      </c>
      <c r="V49" s="974" t="e">
        <f>#REF!+V48</f>
        <v>#REF!</v>
      </c>
      <c r="W49" s="974" t="e">
        <f>#REF!+W48</f>
        <v>#REF!</v>
      </c>
      <c r="X49" s="974" t="e">
        <f>#REF!+X48</f>
        <v>#REF!</v>
      </c>
      <c r="Y49" s="979" t="e">
        <f>#REF!+Y48</f>
        <v>#REF!</v>
      </c>
      <c r="Z49" s="978" t="e">
        <f>#REF!+Z48</f>
        <v>#REF!</v>
      </c>
      <c r="AA49" s="974" t="e">
        <f>#REF!+AA48</f>
        <v>#REF!</v>
      </c>
      <c r="AB49" s="979" t="e">
        <f>#REF!+AB48</f>
        <v>#REF!</v>
      </c>
    </row>
    <row r="50" spans="1:31" s="138" customFormat="1" ht="21.75" customHeight="1">
      <c r="A50" s="529"/>
      <c r="B50" s="1647" t="s">
        <v>1394</v>
      </c>
      <c r="C50" s="976"/>
      <c r="D50" s="971"/>
      <c r="E50" s="971"/>
      <c r="F50" s="971"/>
      <c r="G50" s="977"/>
      <c r="H50" s="976"/>
      <c r="I50" s="971"/>
      <c r="J50" s="971"/>
      <c r="K50" s="971"/>
      <c r="L50" s="971"/>
      <c r="M50" s="976"/>
      <c r="N50" s="971"/>
      <c r="O50" s="971"/>
      <c r="P50" s="971"/>
      <c r="Q50" s="977"/>
      <c r="R50" s="1427"/>
      <c r="S50" s="1429"/>
      <c r="U50" s="2273"/>
      <c r="V50" s="1645"/>
      <c r="W50" s="1645"/>
      <c r="X50" s="1645"/>
      <c r="Y50" s="1645"/>
      <c r="Z50" s="1645"/>
      <c r="AA50" s="1645"/>
      <c r="AB50" s="1646"/>
    </row>
    <row r="51" spans="1:31" ht="20.100000000000001" customHeight="1" outlineLevel="1">
      <c r="A51"/>
      <c r="B51" s="1647" t="s">
        <v>1395</v>
      </c>
      <c r="C51" s="1631"/>
      <c r="D51" s="1632"/>
      <c r="E51" s="1632"/>
      <c r="F51" s="1632"/>
      <c r="G51" s="1633"/>
      <c r="H51" s="976"/>
      <c r="I51" s="971"/>
      <c r="J51" s="971"/>
      <c r="K51" s="971"/>
      <c r="L51" s="971"/>
      <c r="M51" s="976"/>
      <c r="N51" s="971"/>
      <c r="O51" s="971"/>
      <c r="P51" s="971"/>
      <c r="Q51" s="977"/>
      <c r="U51" s="2248"/>
      <c r="V51" s="2249"/>
      <c r="W51" s="2249"/>
      <c r="X51" s="2249"/>
      <c r="Y51" s="2253"/>
      <c r="Z51" s="2248"/>
      <c r="AA51" s="2249"/>
      <c r="AB51" s="2253"/>
    </row>
    <row r="52" spans="1:31" ht="20.100000000000001" customHeight="1" outlineLevel="1">
      <c r="A52"/>
      <c r="B52" s="1647" t="s">
        <v>1396</v>
      </c>
      <c r="C52" s="1631"/>
      <c r="D52" s="1632"/>
      <c r="E52" s="1632"/>
      <c r="F52" s="1632"/>
      <c r="G52" s="1633"/>
      <c r="H52" s="976"/>
      <c r="I52" s="971"/>
      <c r="J52" s="971"/>
      <c r="K52" s="971"/>
      <c r="L52" s="971"/>
      <c r="M52" s="976"/>
      <c r="N52" s="971"/>
      <c r="O52" s="971"/>
      <c r="P52" s="971"/>
      <c r="Q52" s="977"/>
      <c r="U52" s="1639"/>
      <c r="V52" s="1640"/>
      <c r="W52" s="1640"/>
      <c r="X52" s="1640"/>
      <c r="Y52" s="1641"/>
      <c r="Z52" s="2248"/>
      <c r="AA52" s="2249"/>
      <c r="AB52" s="2253"/>
    </row>
    <row r="53" spans="1:31" ht="20.100000000000001" customHeight="1" outlineLevel="1">
      <c r="A53"/>
      <c r="B53" s="1647" t="s">
        <v>1397</v>
      </c>
      <c r="C53" s="1631"/>
      <c r="D53" s="1632"/>
      <c r="E53" s="1632"/>
      <c r="F53" s="1632"/>
      <c r="G53" s="1633"/>
      <c r="H53" s="976"/>
      <c r="I53" s="971"/>
      <c r="J53" s="971"/>
      <c r="K53" s="971"/>
      <c r="L53" s="971"/>
      <c r="M53" s="976"/>
      <c r="N53" s="971"/>
      <c r="O53" s="971"/>
      <c r="P53" s="971"/>
      <c r="Q53" s="977"/>
      <c r="U53" s="1639"/>
      <c r="V53" s="1640"/>
      <c r="W53" s="1640"/>
      <c r="X53" s="1640"/>
      <c r="Y53" s="1641"/>
      <c r="Z53" s="2248"/>
      <c r="AA53" s="2249"/>
      <c r="AB53" s="2253"/>
    </row>
    <row r="54" spans="1:31" ht="20.100000000000001" customHeight="1" outlineLevel="1" thickBot="1">
      <c r="A54"/>
      <c r="B54" s="3287" t="s">
        <v>1392</v>
      </c>
      <c r="C54" s="3284">
        <f t="shared" ref="C54:Q54" si="7">SUM(C50:C53)</f>
        <v>0</v>
      </c>
      <c r="D54" s="3285">
        <f t="shared" si="7"/>
        <v>0</v>
      </c>
      <c r="E54" s="3285">
        <f t="shared" si="7"/>
        <v>0</v>
      </c>
      <c r="F54" s="3285">
        <f t="shared" si="7"/>
        <v>0</v>
      </c>
      <c r="G54" s="3286">
        <f t="shared" si="7"/>
        <v>0</v>
      </c>
      <c r="H54" s="3284">
        <f t="shared" si="7"/>
        <v>0</v>
      </c>
      <c r="I54" s="3285">
        <f t="shared" si="7"/>
        <v>0</v>
      </c>
      <c r="J54" s="3285">
        <f t="shared" si="7"/>
        <v>0</v>
      </c>
      <c r="K54" s="3285">
        <f t="shared" si="7"/>
        <v>0</v>
      </c>
      <c r="L54" s="3285">
        <f t="shared" si="7"/>
        <v>0</v>
      </c>
      <c r="M54" s="3284">
        <f t="shared" si="7"/>
        <v>0</v>
      </c>
      <c r="N54" s="3285">
        <f t="shared" si="7"/>
        <v>0</v>
      </c>
      <c r="O54" s="3285">
        <f t="shared" si="7"/>
        <v>0</v>
      </c>
      <c r="P54" s="3285">
        <f t="shared" si="7"/>
        <v>0</v>
      </c>
      <c r="Q54" s="3286">
        <f t="shared" si="7"/>
        <v>0</v>
      </c>
      <c r="U54" s="2248"/>
      <c r="V54" s="2249"/>
      <c r="W54" s="2249"/>
      <c r="X54" s="2249"/>
      <c r="Y54" s="2253"/>
      <c r="Z54" s="2248"/>
      <c r="AA54" s="2249"/>
      <c r="AB54" s="2253"/>
    </row>
    <row r="55" spans="1:31" s="70" customFormat="1" ht="20.100000000000001" customHeight="1" thickBot="1">
      <c r="A55"/>
      <c r="B55" s="3268" t="s">
        <v>1393</v>
      </c>
      <c r="C55" s="3288">
        <f t="shared" ref="C55:Q55" si="8">C54+C48</f>
        <v>0</v>
      </c>
      <c r="D55" s="3281">
        <f t="shared" si="8"/>
        <v>0</v>
      </c>
      <c r="E55" s="3281">
        <f t="shared" si="8"/>
        <v>0</v>
      </c>
      <c r="F55" s="3281">
        <f t="shared" si="8"/>
        <v>0</v>
      </c>
      <c r="G55" s="3282">
        <f t="shared" si="8"/>
        <v>0</v>
      </c>
      <c r="H55" s="3280">
        <f t="shared" si="8"/>
        <v>0</v>
      </c>
      <c r="I55" s="3281">
        <f t="shared" si="8"/>
        <v>0</v>
      </c>
      <c r="J55" s="3281">
        <f t="shared" si="8"/>
        <v>0</v>
      </c>
      <c r="K55" s="3281">
        <f t="shared" si="8"/>
        <v>0</v>
      </c>
      <c r="L55" s="3281">
        <f t="shared" si="8"/>
        <v>0</v>
      </c>
      <c r="M55" s="3280">
        <f t="shared" si="8"/>
        <v>0</v>
      </c>
      <c r="N55" s="3281">
        <f t="shared" si="8"/>
        <v>0</v>
      </c>
      <c r="O55" s="3281">
        <f t="shared" si="8"/>
        <v>0</v>
      </c>
      <c r="P55" s="3281">
        <f t="shared" si="8"/>
        <v>0</v>
      </c>
      <c r="Q55" s="3282">
        <f t="shared" si="8"/>
        <v>0</v>
      </c>
      <c r="R55"/>
      <c r="S55"/>
      <c r="T55"/>
      <c r="U55" s="1473">
        <f t="shared" ref="U55:AB55" si="9">SUM(U51:U54)</f>
        <v>0</v>
      </c>
      <c r="V55" s="1474">
        <f t="shared" si="9"/>
        <v>0</v>
      </c>
      <c r="W55" s="1474">
        <f t="shared" si="9"/>
        <v>0</v>
      </c>
      <c r="X55" s="1474">
        <f t="shared" si="9"/>
        <v>0</v>
      </c>
      <c r="Y55" s="1475">
        <f t="shared" si="9"/>
        <v>0</v>
      </c>
      <c r="Z55" s="1473">
        <f t="shared" si="9"/>
        <v>0</v>
      </c>
      <c r="AA55" s="1474">
        <f t="shared" si="9"/>
        <v>0</v>
      </c>
      <c r="AB55" s="1475">
        <f t="shared" si="9"/>
        <v>0</v>
      </c>
    </row>
    <row r="56" spans="1:31" s="70" customFormat="1" ht="30" customHeight="1" thickBot="1">
      <c r="A56"/>
      <c r="B56" s="1861" t="s">
        <v>125</v>
      </c>
      <c r="C56" s="3962"/>
      <c r="D56" s="3962"/>
      <c r="E56" s="3962"/>
      <c r="F56" s="3962"/>
      <c r="G56" s="3962"/>
      <c r="H56" s="3962"/>
      <c r="I56" s="3962"/>
      <c r="J56" s="3962"/>
      <c r="K56" s="3962"/>
      <c r="L56" s="3962"/>
      <c r="M56" s="3962"/>
      <c r="N56" s="3962"/>
      <c r="O56" s="3962"/>
      <c r="P56" s="3962"/>
      <c r="Q56" s="3963"/>
      <c r="R56"/>
      <c r="S56"/>
      <c r="T56"/>
      <c r="U56" s="1642" t="e">
        <f t="shared" ref="U56:AB56" si="10">U55+U49</f>
        <v>#REF!</v>
      </c>
      <c r="V56" s="1643" t="e">
        <f t="shared" si="10"/>
        <v>#REF!</v>
      </c>
      <c r="W56" s="1643" t="e">
        <f t="shared" si="10"/>
        <v>#REF!</v>
      </c>
      <c r="X56" s="1643" t="e">
        <f t="shared" si="10"/>
        <v>#REF!</v>
      </c>
      <c r="Y56" s="1644" t="e">
        <f t="shared" si="10"/>
        <v>#REF!</v>
      </c>
      <c r="Z56" s="1642" t="e">
        <f t="shared" si="10"/>
        <v>#REF!</v>
      </c>
      <c r="AA56" s="1643" t="e">
        <f t="shared" si="10"/>
        <v>#REF!</v>
      </c>
      <c r="AB56" s="1644" t="e">
        <f t="shared" si="10"/>
        <v>#REF!</v>
      </c>
    </row>
    <row r="57" spans="1:31" s="97" customFormat="1" ht="39" customHeight="1" thickBot="1">
      <c r="A57"/>
      <c r="B57" s="288"/>
      <c r="C57" s="288"/>
      <c r="D57" s="288"/>
      <c r="E57" s="288"/>
      <c r="F57" s="288"/>
      <c r="G57" s="288"/>
      <c r="H57" s="288"/>
      <c r="I57" s="288"/>
      <c r="J57" s="288"/>
      <c r="K57" s="288"/>
      <c r="L57" s="288"/>
      <c r="M57" s="288"/>
      <c r="N57" s="288"/>
      <c r="O57" s="288"/>
      <c r="P57" s="288"/>
      <c r="Q57" s="288"/>
      <c r="R57"/>
      <c r="S57"/>
      <c r="T57"/>
      <c r="U57"/>
      <c r="V57"/>
      <c r="W57"/>
      <c r="X57"/>
      <c r="Y57"/>
      <c r="Z57"/>
      <c r="AA57"/>
      <c r="AB57"/>
    </row>
    <row r="58" spans="1:31" customFormat="1" ht="42.75" customHeight="1">
      <c r="B58" s="3909"/>
      <c r="C58" s="3956" t="s">
        <v>36</v>
      </c>
      <c r="D58" s="3957"/>
      <c r="E58" s="3957"/>
      <c r="F58" s="3957"/>
      <c r="G58" s="3958"/>
      <c r="H58" s="3959" t="s">
        <v>37</v>
      </c>
      <c r="I58" s="3960"/>
      <c r="J58" s="3960"/>
      <c r="K58" s="3960"/>
      <c r="L58" s="3961"/>
      <c r="U58" s="1429"/>
      <c r="V58" s="1429"/>
      <c r="W58" s="1429"/>
      <c r="X58" s="1429"/>
      <c r="Y58" s="1429"/>
      <c r="Z58" s="1429"/>
      <c r="AA58" s="1429"/>
      <c r="AB58" s="1429"/>
    </row>
    <row r="59" spans="1:31" s="73" customFormat="1" ht="16.5" customHeight="1">
      <c r="A59"/>
      <c r="B59" s="3736"/>
      <c r="C59" s="3550" t="str">
        <f>CONCATENATE("$0's, real ",dms_DollarReal)</f>
        <v>$0's, real December 2017</v>
      </c>
      <c r="D59" s="3551"/>
      <c r="E59" s="3551"/>
      <c r="F59" s="3551"/>
      <c r="G59" s="3551"/>
      <c r="H59" s="3551"/>
      <c r="I59" s="3551"/>
      <c r="J59" s="3551"/>
      <c r="K59" s="3551"/>
      <c r="L59" s="3552"/>
      <c r="M59"/>
      <c r="N59"/>
      <c r="O59"/>
      <c r="P59"/>
      <c r="Q59"/>
      <c r="R59"/>
      <c r="S59"/>
      <c r="T59"/>
      <c r="U59"/>
      <c r="V59"/>
      <c r="W59"/>
      <c r="X59"/>
      <c r="Y59"/>
      <c r="Z59"/>
      <c r="AA59"/>
      <c r="AB59"/>
      <c r="AC59" s="66"/>
      <c r="AD59" s="66"/>
      <c r="AE59" s="66"/>
    </row>
    <row r="60" spans="1:31" s="70" customFormat="1" ht="15" customHeight="1">
      <c r="A60"/>
      <c r="B60" s="3736"/>
      <c r="C60" s="3550" t="s">
        <v>74</v>
      </c>
      <c r="D60" s="3551"/>
      <c r="E60" s="3551"/>
      <c r="F60" s="3551"/>
      <c r="G60" s="3551"/>
      <c r="H60" s="3551"/>
      <c r="I60" s="3551"/>
      <c r="J60" s="3551"/>
      <c r="K60" s="3551"/>
      <c r="L60" s="3552"/>
      <c r="M60"/>
      <c r="N60"/>
      <c r="O60"/>
      <c r="P60"/>
      <c r="Q60"/>
      <c r="R60"/>
      <c r="S60"/>
      <c r="T60"/>
      <c r="U60"/>
      <c r="V60"/>
      <c r="W60"/>
      <c r="X60"/>
      <c r="Y60"/>
      <c r="Z60"/>
      <c r="AA60"/>
      <c r="AB60"/>
    </row>
    <row r="61" spans="1:31" s="73" customFormat="1" ht="16.5" customHeight="1" thickBot="1">
      <c r="A61"/>
      <c r="B61" s="3955"/>
      <c r="C61" s="391">
        <f t="array" ref="C61:G61">PRCP</f>
        <v>2008</v>
      </c>
      <c r="D61" s="390">
        <v>2009</v>
      </c>
      <c r="E61" s="390">
        <v>2010</v>
      </c>
      <c r="F61" s="390">
        <v>2011</v>
      </c>
      <c r="G61" s="390">
        <v>2012</v>
      </c>
      <c r="H61" s="392">
        <f>CRCP_y1</f>
        <v>2013</v>
      </c>
      <c r="I61" s="392">
        <f>CRCP_y2</f>
        <v>2014</v>
      </c>
      <c r="J61" s="392">
        <f>CRCP_y3</f>
        <v>2015</v>
      </c>
      <c r="K61" s="392">
        <f>CRCP_y4</f>
        <v>2016</v>
      </c>
      <c r="L61" s="603">
        <f>CRCP_y5</f>
        <v>2017</v>
      </c>
      <c r="M61"/>
      <c r="N61"/>
      <c r="O61"/>
      <c r="P61"/>
      <c r="Q61"/>
      <c r="R61"/>
      <c r="S61"/>
      <c r="T61"/>
      <c r="U61"/>
      <c r="V61"/>
      <c r="W61"/>
      <c r="X61"/>
      <c r="Y61"/>
      <c r="Z61"/>
      <c r="AA61"/>
      <c r="AB61"/>
    </row>
    <row r="62" spans="1:31" s="70" customFormat="1" ht="16.5" thickBot="1">
      <c r="A62"/>
      <c r="B62" s="858" t="s">
        <v>551</v>
      </c>
      <c r="C62" s="1572"/>
      <c r="D62" s="1572"/>
      <c r="E62" s="1572"/>
      <c r="F62" s="1572"/>
      <c r="G62" s="1572"/>
      <c r="H62" s="1572"/>
      <c r="I62" s="1572"/>
      <c r="J62" s="1572"/>
      <c r="K62" s="1572"/>
      <c r="L62" s="1573"/>
      <c r="M62"/>
      <c r="N62"/>
      <c r="O62"/>
      <c r="P62"/>
      <c r="Q62"/>
      <c r="R62"/>
      <c r="S62"/>
      <c r="T62"/>
      <c r="U62"/>
      <c r="V62"/>
      <c r="W62"/>
      <c r="X62"/>
      <c r="Y62"/>
      <c r="Z62"/>
      <c r="AA62"/>
      <c r="AB62"/>
    </row>
    <row r="63" spans="1:31" s="138" customFormat="1" ht="21.75" customHeight="1">
      <c r="A63" s="529"/>
      <c r="B63" s="3276" t="s">
        <v>1401</v>
      </c>
      <c r="C63" s="3277"/>
      <c r="D63" s="3277"/>
      <c r="E63" s="3277"/>
      <c r="F63" s="3277"/>
      <c r="G63" s="3277"/>
      <c r="H63" s="3277"/>
      <c r="I63" s="3277"/>
      <c r="J63" s="3277"/>
      <c r="K63" s="3277"/>
      <c r="L63" s="3278"/>
      <c r="M63"/>
      <c r="N63"/>
      <c r="O63"/>
      <c r="P63"/>
      <c r="Q63"/>
      <c r="R63" s="1427"/>
      <c r="S63" s="1429"/>
      <c r="U63"/>
      <c r="V63"/>
      <c r="W63"/>
      <c r="X63"/>
      <c r="Y63"/>
      <c r="Z63"/>
      <c r="AA63"/>
      <c r="AB63"/>
    </row>
    <row r="64" spans="1:31" ht="20.100000000000001" customHeight="1" outlineLevel="1">
      <c r="A64"/>
      <c r="B64" s="3269" t="s">
        <v>1373</v>
      </c>
      <c r="C64" s="3270"/>
      <c r="D64" s="3271"/>
      <c r="E64" s="3271"/>
      <c r="F64" s="3271"/>
      <c r="G64" s="3272"/>
      <c r="H64" s="3270"/>
      <c r="I64" s="3271"/>
      <c r="J64" s="3271"/>
      <c r="K64" s="3271"/>
      <c r="L64" s="3272"/>
      <c r="M64"/>
      <c r="N64"/>
      <c r="O64"/>
      <c r="P64"/>
      <c r="Q64"/>
      <c r="U64"/>
      <c r="V64"/>
      <c r="W64"/>
      <c r="X64"/>
      <c r="Y64"/>
      <c r="Z64"/>
      <c r="AA64"/>
      <c r="AB64"/>
    </row>
    <row r="65" spans="1:28" ht="20.100000000000001" customHeight="1" outlineLevel="1">
      <c r="A65"/>
      <c r="B65" s="1647" t="s">
        <v>1374</v>
      </c>
      <c r="C65" s="1631"/>
      <c r="D65" s="1632"/>
      <c r="E65" s="1632"/>
      <c r="F65" s="1632"/>
      <c r="G65" s="1633"/>
      <c r="H65" s="1631"/>
      <c r="I65" s="1632"/>
      <c r="J65" s="1632"/>
      <c r="K65" s="1632"/>
      <c r="L65" s="1633"/>
      <c r="M65"/>
      <c r="N65"/>
      <c r="O65"/>
      <c r="P65"/>
      <c r="Q65"/>
      <c r="U65"/>
      <c r="V65"/>
      <c r="W65"/>
      <c r="X65"/>
      <c r="Y65"/>
      <c r="Z65"/>
      <c r="AA65"/>
      <c r="AB65"/>
    </row>
    <row r="66" spans="1:28" ht="20.100000000000001" customHeight="1" outlineLevel="1">
      <c r="A66"/>
      <c r="B66" s="1647" t="s">
        <v>1375</v>
      </c>
      <c r="C66" s="1631"/>
      <c r="D66" s="1632"/>
      <c r="E66" s="1632"/>
      <c r="F66" s="1632"/>
      <c r="G66" s="1633"/>
      <c r="H66" s="1631"/>
      <c r="I66" s="1632"/>
      <c r="J66" s="1632"/>
      <c r="K66" s="1632"/>
      <c r="L66" s="1633"/>
      <c r="M66"/>
      <c r="N66"/>
      <c r="O66"/>
      <c r="P66"/>
      <c r="Q66"/>
      <c r="U66"/>
      <c r="V66"/>
      <c r="W66"/>
      <c r="X66"/>
      <c r="Y66"/>
      <c r="Z66"/>
      <c r="AA66"/>
      <c r="AB66"/>
    </row>
    <row r="67" spans="1:28" ht="20.100000000000001" customHeight="1" outlineLevel="1">
      <c r="A67"/>
      <c r="B67" s="1647" t="s">
        <v>1376</v>
      </c>
      <c r="C67" s="1631"/>
      <c r="D67" s="1632"/>
      <c r="E67" s="1632"/>
      <c r="F67" s="1632"/>
      <c r="G67" s="1633"/>
      <c r="H67" s="1631"/>
      <c r="I67" s="1632"/>
      <c r="J67" s="1632"/>
      <c r="K67" s="1632"/>
      <c r="L67" s="1633"/>
      <c r="M67"/>
      <c r="N67"/>
      <c r="O67"/>
      <c r="P67"/>
      <c r="Q67"/>
      <c r="U67"/>
      <c r="V67"/>
      <c r="W67"/>
      <c r="X67"/>
      <c r="Y67"/>
      <c r="Z67"/>
      <c r="AA67"/>
      <c r="AB67"/>
    </row>
    <row r="68" spans="1:28" ht="20.100000000000001" customHeight="1" outlineLevel="1">
      <c r="A68"/>
      <c r="B68" s="1647" t="s">
        <v>1377</v>
      </c>
      <c r="C68" s="1631"/>
      <c r="D68" s="1632"/>
      <c r="E68" s="1632"/>
      <c r="F68" s="1632"/>
      <c r="G68" s="1633"/>
      <c r="H68" s="1631"/>
      <c r="I68" s="1632"/>
      <c r="J68" s="1632"/>
      <c r="K68" s="1632"/>
      <c r="L68" s="1633"/>
      <c r="M68"/>
      <c r="N68"/>
      <c r="O68"/>
      <c r="P68"/>
      <c r="Q68"/>
      <c r="U68"/>
      <c r="V68"/>
      <c r="W68"/>
      <c r="X68"/>
      <c r="Y68"/>
      <c r="Z68"/>
      <c r="AA68"/>
      <c r="AB68"/>
    </row>
    <row r="69" spans="1:28" ht="20.100000000000001" customHeight="1" outlineLevel="1">
      <c r="A69"/>
      <c r="B69" s="1647" t="s">
        <v>1378</v>
      </c>
      <c r="C69" s="1631"/>
      <c r="D69" s="1632"/>
      <c r="E69" s="1632"/>
      <c r="F69" s="1632"/>
      <c r="G69" s="1633"/>
      <c r="H69" s="1631"/>
      <c r="I69" s="1632"/>
      <c r="J69" s="1632"/>
      <c r="K69" s="1632"/>
      <c r="L69" s="1633"/>
      <c r="M69"/>
      <c r="N69"/>
      <c r="O69"/>
      <c r="P69"/>
      <c r="Q69"/>
      <c r="U69"/>
      <c r="V69"/>
      <c r="W69"/>
      <c r="X69"/>
      <c r="Y69"/>
      <c r="Z69"/>
      <c r="AA69"/>
      <c r="AB69"/>
    </row>
    <row r="70" spans="1:28" ht="20.100000000000001" customHeight="1" outlineLevel="1">
      <c r="A70"/>
      <c r="B70" s="1647" t="s">
        <v>280</v>
      </c>
      <c r="C70" s="1631"/>
      <c r="D70" s="1632"/>
      <c r="E70" s="1632"/>
      <c r="F70" s="1632"/>
      <c r="G70" s="1633"/>
      <c r="H70" s="1631"/>
      <c r="I70" s="1632"/>
      <c r="J70" s="1632"/>
      <c r="K70" s="1632"/>
      <c r="L70" s="1633"/>
      <c r="M70"/>
      <c r="N70"/>
      <c r="O70"/>
      <c r="P70"/>
      <c r="Q70"/>
      <c r="U70"/>
      <c r="V70"/>
      <c r="W70"/>
      <c r="X70"/>
      <c r="Y70"/>
      <c r="Z70"/>
      <c r="AA70"/>
      <c r="AB70"/>
    </row>
    <row r="71" spans="1:28" ht="20.100000000000001" customHeight="1" outlineLevel="1">
      <c r="A71"/>
      <c r="B71" s="1647" t="s">
        <v>1379</v>
      </c>
      <c r="C71" s="1631"/>
      <c r="D71" s="1632"/>
      <c r="E71" s="1632"/>
      <c r="F71" s="1632"/>
      <c r="G71" s="1633"/>
      <c r="H71" s="1631"/>
      <c r="I71" s="1632"/>
      <c r="J71" s="1632"/>
      <c r="K71" s="1632"/>
      <c r="L71" s="1633"/>
      <c r="M71"/>
      <c r="N71"/>
      <c r="O71"/>
      <c r="P71"/>
      <c r="Q71"/>
      <c r="U71"/>
      <c r="V71"/>
      <c r="W71"/>
      <c r="X71"/>
      <c r="Y71"/>
      <c r="Z71"/>
      <c r="AA71"/>
      <c r="AB71"/>
    </row>
    <row r="72" spans="1:28" ht="20.100000000000001" customHeight="1" outlineLevel="1">
      <c r="A72"/>
      <c r="B72" s="1647" t="s">
        <v>1380</v>
      </c>
      <c r="C72" s="1631"/>
      <c r="D72" s="1632"/>
      <c r="E72" s="1632"/>
      <c r="F72" s="1632"/>
      <c r="G72" s="1633"/>
      <c r="H72" s="1631"/>
      <c r="I72" s="1632"/>
      <c r="J72" s="1632"/>
      <c r="K72" s="1632"/>
      <c r="L72" s="1633"/>
      <c r="M72"/>
      <c r="N72"/>
      <c r="O72"/>
      <c r="P72"/>
      <c r="Q72"/>
      <c r="U72"/>
      <c r="V72"/>
      <c r="W72"/>
      <c r="X72"/>
      <c r="Y72"/>
      <c r="Z72"/>
      <c r="AA72"/>
      <c r="AB72"/>
    </row>
    <row r="73" spans="1:28" s="138" customFormat="1" ht="21.75" customHeight="1">
      <c r="A73" s="529"/>
      <c r="B73" s="1647" t="s">
        <v>1381</v>
      </c>
      <c r="C73" s="1631"/>
      <c r="D73" s="1632"/>
      <c r="E73" s="1632"/>
      <c r="F73" s="1632"/>
      <c r="G73" s="1633"/>
      <c r="H73" s="1631"/>
      <c r="I73" s="1632"/>
      <c r="J73" s="1632"/>
      <c r="K73" s="1632"/>
      <c r="L73" s="1633"/>
      <c r="M73"/>
      <c r="N73"/>
      <c r="O73"/>
      <c r="P73"/>
      <c r="Q73"/>
      <c r="R73" s="1427"/>
      <c r="S73" s="1429"/>
      <c r="U73"/>
      <c r="V73"/>
      <c r="W73"/>
      <c r="X73"/>
      <c r="Y73"/>
      <c r="Z73"/>
      <c r="AA73"/>
      <c r="AB73"/>
    </row>
    <row r="74" spans="1:28" s="1427" customFormat="1" ht="20.100000000000001" customHeight="1" outlineLevel="1">
      <c r="B74" s="1647" t="s">
        <v>1382</v>
      </c>
      <c r="C74" s="1631"/>
      <c r="D74" s="1632"/>
      <c r="E74" s="1632"/>
      <c r="F74" s="1632"/>
      <c r="G74" s="1633"/>
      <c r="H74" s="1631"/>
      <c r="I74" s="1632"/>
      <c r="J74" s="1632"/>
      <c r="K74" s="1632"/>
      <c r="L74" s="1633"/>
      <c r="M74"/>
      <c r="N74"/>
      <c r="O74"/>
      <c r="P74"/>
      <c r="Q74"/>
      <c r="U74"/>
      <c r="V74"/>
      <c r="W74"/>
      <c r="X74"/>
      <c r="Y74"/>
      <c r="Z74"/>
      <c r="AA74"/>
      <c r="AB74"/>
    </row>
    <row r="75" spans="1:28" ht="20.100000000000001" customHeight="1" outlineLevel="1">
      <c r="A75"/>
      <c r="B75" s="1647" t="s">
        <v>135</v>
      </c>
      <c r="C75" s="1631"/>
      <c r="D75" s="1632"/>
      <c r="E75" s="1632"/>
      <c r="F75" s="1632"/>
      <c r="G75" s="1633"/>
      <c r="H75" s="1631"/>
      <c r="I75" s="1632"/>
      <c r="J75" s="1632"/>
      <c r="K75" s="1632"/>
      <c r="L75" s="1633"/>
      <c r="M75"/>
      <c r="N75"/>
      <c r="O75"/>
      <c r="P75"/>
      <c r="Q75"/>
      <c r="U75"/>
      <c r="V75"/>
      <c r="W75"/>
      <c r="X75"/>
      <c r="Y75"/>
      <c r="Z75"/>
      <c r="AA75"/>
      <c r="AB75"/>
    </row>
    <row r="76" spans="1:28" ht="20.100000000000001" customHeight="1" outlineLevel="1">
      <c r="A76"/>
      <c r="B76" s="1647" t="s">
        <v>1383</v>
      </c>
      <c r="C76" s="1631"/>
      <c r="D76" s="1632"/>
      <c r="E76" s="1632"/>
      <c r="F76" s="1632"/>
      <c r="G76" s="1633"/>
      <c r="H76" s="1631"/>
      <c r="I76" s="1632"/>
      <c r="J76" s="1632"/>
      <c r="K76" s="1632"/>
      <c r="L76" s="1633"/>
      <c r="M76"/>
      <c r="N76"/>
      <c r="O76"/>
      <c r="P76"/>
      <c r="Q76"/>
      <c r="U76"/>
      <c r="V76"/>
      <c r="W76"/>
      <c r="X76"/>
      <c r="Y76"/>
      <c r="Z76"/>
      <c r="AA76"/>
      <c r="AB76"/>
    </row>
    <row r="77" spans="1:28" ht="20.100000000000001" customHeight="1" outlineLevel="1">
      <c r="A77"/>
      <c r="B77" s="1647" t="s">
        <v>1384</v>
      </c>
      <c r="C77" s="1631"/>
      <c r="D77" s="3283"/>
      <c r="E77" s="3283"/>
      <c r="F77" s="3283"/>
      <c r="G77" s="1633"/>
      <c r="H77" s="1631"/>
      <c r="I77" s="3283"/>
      <c r="J77" s="3283"/>
      <c r="K77" s="3283"/>
      <c r="L77" s="1633"/>
      <c r="M77"/>
      <c r="N77"/>
      <c r="O77"/>
      <c r="P77"/>
      <c r="Q77"/>
      <c r="U77"/>
      <c r="V77"/>
      <c r="W77"/>
      <c r="X77"/>
      <c r="Y77"/>
      <c r="Z77"/>
      <c r="AA77"/>
      <c r="AB77"/>
    </row>
    <row r="78" spans="1:28" ht="20.100000000000001" customHeight="1" outlineLevel="1">
      <c r="A78"/>
      <c r="B78" s="3275" t="s">
        <v>1400</v>
      </c>
      <c r="C78" s="3270">
        <f>SUM(C65:C77)</f>
        <v>0</v>
      </c>
      <c r="D78" s="3274">
        <f t="shared" ref="D78" si="11">SUM(D65:D77)</f>
        <v>0</v>
      </c>
      <c r="E78" s="3274">
        <f t="shared" ref="E78" si="12">SUM(E65:E77)</f>
        <v>0</v>
      </c>
      <c r="F78" s="3274">
        <f>SUM(F65:F77)</f>
        <v>0</v>
      </c>
      <c r="G78" s="3272">
        <f t="shared" ref="G78" si="13">SUM(G65:G77)</f>
        <v>0</v>
      </c>
      <c r="H78" s="3270">
        <f t="shared" ref="H78" si="14">SUM(H65:H77)</f>
        <v>0</v>
      </c>
      <c r="I78" s="3274">
        <f t="shared" ref="I78" si="15">SUM(I65:I77)</f>
        <v>0</v>
      </c>
      <c r="J78" s="3274">
        <f t="shared" ref="J78" si="16">SUM(J65:J77)</f>
        <v>0</v>
      </c>
      <c r="K78" s="3274">
        <f t="shared" ref="K78" si="17">SUM(K65:K77)</f>
        <v>0</v>
      </c>
      <c r="L78" s="3272">
        <f t="shared" ref="L78" si="18">SUM(L65:L77)</f>
        <v>0</v>
      </c>
      <c r="M78"/>
      <c r="N78"/>
      <c r="O78"/>
      <c r="P78"/>
      <c r="Q78"/>
      <c r="U78"/>
      <c r="V78"/>
      <c r="W78"/>
      <c r="X78"/>
      <c r="Y78"/>
      <c r="Z78"/>
      <c r="AA78"/>
      <c r="AB78"/>
    </row>
    <row r="79" spans="1:28" ht="20.100000000000001" customHeight="1" outlineLevel="1">
      <c r="A79"/>
      <c r="B79" s="3269" t="s">
        <v>1385</v>
      </c>
      <c r="C79" s="3270"/>
      <c r="D79" s="3274"/>
      <c r="E79" s="3274"/>
      <c r="F79" s="3274"/>
      <c r="G79" s="3272"/>
      <c r="H79" s="3270"/>
      <c r="I79" s="3274"/>
      <c r="J79" s="3274"/>
      <c r="K79" s="3274"/>
      <c r="L79" s="3272"/>
      <c r="M79"/>
      <c r="N79"/>
      <c r="O79"/>
      <c r="P79"/>
      <c r="Q79"/>
      <c r="U79"/>
      <c r="V79"/>
      <c r="W79"/>
      <c r="X79"/>
      <c r="Y79"/>
      <c r="Z79"/>
      <c r="AA79"/>
      <c r="AB79"/>
    </row>
    <row r="80" spans="1:28" ht="20.100000000000001" customHeight="1" outlineLevel="1">
      <c r="A80"/>
      <c r="B80" s="1647" t="s">
        <v>1386</v>
      </c>
      <c r="C80" s="1631"/>
      <c r="D80" s="1632"/>
      <c r="E80" s="1632"/>
      <c r="F80" s="1632"/>
      <c r="G80" s="1633"/>
      <c r="H80" s="1631"/>
      <c r="I80" s="1632"/>
      <c r="J80" s="1632"/>
      <c r="K80" s="1632"/>
      <c r="L80" s="1633"/>
      <c r="M80"/>
      <c r="N80"/>
      <c r="O80"/>
      <c r="P80"/>
      <c r="Q80"/>
      <c r="U80"/>
      <c r="V80"/>
      <c r="W80"/>
      <c r="X80"/>
      <c r="Y80"/>
      <c r="Z80"/>
      <c r="AA80"/>
      <c r="AB80"/>
    </row>
    <row r="81" spans="1:28" ht="20.100000000000001" customHeight="1" outlineLevel="1">
      <c r="A81"/>
      <c r="B81" s="1647" t="s">
        <v>1387</v>
      </c>
      <c r="C81" s="1631"/>
      <c r="D81" s="1632"/>
      <c r="E81" s="1632"/>
      <c r="F81" s="1632"/>
      <c r="G81" s="1633"/>
      <c r="H81" s="1631"/>
      <c r="I81" s="1632"/>
      <c r="J81" s="1632"/>
      <c r="K81" s="1632"/>
      <c r="L81" s="1633"/>
      <c r="M81"/>
      <c r="N81"/>
      <c r="O81"/>
      <c r="P81"/>
      <c r="Q81"/>
      <c r="U81"/>
      <c r="V81"/>
      <c r="W81"/>
      <c r="X81"/>
      <c r="Y81"/>
      <c r="Z81"/>
      <c r="AA81"/>
      <c r="AB81"/>
    </row>
    <row r="82" spans="1:28" ht="20.100000000000001" customHeight="1" outlineLevel="1">
      <c r="A82"/>
      <c r="B82" s="1647" t="s">
        <v>60</v>
      </c>
      <c r="C82" s="1631"/>
      <c r="D82" s="1632"/>
      <c r="E82" s="1632"/>
      <c r="F82" s="1632"/>
      <c r="G82" s="1633"/>
      <c r="H82" s="1631"/>
      <c r="I82" s="1632"/>
      <c r="J82" s="1632"/>
      <c r="K82" s="1632"/>
      <c r="L82" s="1633"/>
      <c r="M82"/>
      <c r="N82"/>
      <c r="O82"/>
      <c r="P82"/>
      <c r="Q82"/>
      <c r="U82"/>
      <c r="V82"/>
      <c r="W82"/>
      <c r="X82"/>
      <c r="Y82"/>
      <c r="Z82"/>
      <c r="AA82"/>
      <c r="AB82"/>
    </row>
    <row r="83" spans="1:28" ht="20.100000000000001" customHeight="1" outlineLevel="1">
      <c r="A83"/>
      <c r="B83" s="1647" t="s">
        <v>1388</v>
      </c>
      <c r="C83" s="1631"/>
      <c r="D83" s="1632"/>
      <c r="E83" s="1632"/>
      <c r="F83" s="1632"/>
      <c r="G83" s="1633"/>
      <c r="H83" s="1631"/>
      <c r="I83" s="1632"/>
      <c r="J83" s="1632"/>
      <c r="K83" s="1632"/>
      <c r="L83" s="1633"/>
      <c r="M83"/>
      <c r="N83"/>
      <c r="O83"/>
      <c r="P83"/>
      <c r="Q83"/>
      <c r="U83"/>
      <c r="V83"/>
      <c r="W83"/>
      <c r="X83"/>
      <c r="Y83"/>
      <c r="Z83"/>
      <c r="AA83"/>
      <c r="AB83"/>
    </row>
    <row r="84" spans="1:28" ht="20.100000000000001" customHeight="1" outlineLevel="1">
      <c r="A84"/>
      <c r="B84" s="1647" t="s">
        <v>1389</v>
      </c>
      <c r="C84" s="1631"/>
      <c r="D84" s="1632"/>
      <c r="E84" s="1632"/>
      <c r="F84" s="1632"/>
      <c r="G84" s="1633"/>
      <c r="H84" s="1631"/>
      <c r="I84" s="1632"/>
      <c r="J84" s="1632"/>
      <c r="K84" s="1632"/>
      <c r="L84" s="1633"/>
      <c r="M84"/>
      <c r="N84"/>
      <c r="O84"/>
      <c r="P84"/>
      <c r="Q84"/>
      <c r="U84"/>
      <c r="V84"/>
      <c r="W84"/>
      <c r="X84"/>
      <c r="Y84"/>
      <c r="Z84"/>
      <c r="AA84"/>
      <c r="AB84"/>
    </row>
    <row r="85" spans="1:28" ht="20.100000000000001" customHeight="1" outlineLevel="1">
      <c r="A85"/>
      <c r="B85" s="1647" t="s">
        <v>61</v>
      </c>
      <c r="C85" s="1631"/>
      <c r="D85" s="1632"/>
      <c r="E85" s="1632"/>
      <c r="F85" s="1632"/>
      <c r="G85" s="1633"/>
      <c r="H85" s="1631"/>
      <c r="I85" s="1632"/>
      <c r="J85" s="1632"/>
      <c r="K85" s="1632"/>
      <c r="L85" s="1633"/>
      <c r="M85"/>
      <c r="N85"/>
      <c r="O85"/>
      <c r="P85"/>
      <c r="Q85"/>
      <c r="U85"/>
      <c r="V85"/>
      <c r="W85"/>
      <c r="X85"/>
      <c r="Y85"/>
      <c r="Z85"/>
      <c r="AA85"/>
      <c r="AB85"/>
    </row>
    <row r="86" spans="1:28" ht="20.100000000000001" customHeight="1" outlineLevel="1">
      <c r="A86"/>
      <c r="B86" s="1647" t="s">
        <v>1390</v>
      </c>
      <c r="C86" s="1631"/>
      <c r="D86" s="1632"/>
      <c r="E86" s="1632"/>
      <c r="F86" s="1632"/>
      <c r="G86" s="1633"/>
      <c r="H86" s="1631"/>
      <c r="I86" s="1632"/>
      <c r="J86" s="1632"/>
      <c r="K86" s="1632"/>
      <c r="L86" s="1633"/>
      <c r="M86"/>
      <c r="N86"/>
      <c r="O86"/>
      <c r="P86"/>
      <c r="Q86"/>
      <c r="U86"/>
      <c r="V86"/>
      <c r="W86"/>
      <c r="X86"/>
      <c r="Y86"/>
      <c r="Z86"/>
      <c r="AA86"/>
      <c r="AB86"/>
    </row>
    <row r="87" spans="1:28" ht="20.100000000000001" customHeight="1" outlineLevel="1">
      <c r="A87"/>
      <c r="B87" s="1647" t="s">
        <v>62</v>
      </c>
      <c r="C87" s="1631"/>
      <c r="D87" s="1632"/>
      <c r="E87" s="1632"/>
      <c r="F87" s="1632"/>
      <c r="G87" s="1633"/>
      <c r="H87" s="1631"/>
      <c r="I87" s="1632"/>
      <c r="J87" s="1632"/>
      <c r="K87" s="1632"/>
      <c r="L87" s="1633"/>
      <c r="M87"/>
      <c r="N87"/>
      <c r="O87"/>
      <c r="P87"/>
      <c r="Q87"/>
      <c r="U87"/>
      <c r="V87"/>
      <c r="W87"/>
      <c r="X87"/>
      <c r="Y87"/>
      <c r="Z87"/>
      <c r="AA87"/>
      <c r="AB87"/>
    </row>
    <row r="88" spans="1:28" ht="20.100000000000001" customHeight="1" outlineLevel="1">
      <c r="A88"/>
      <c r="B88" s="3273" t="s">
        <v>1391</v>
      </c>
      <c r="C88" s="3270">
        <f>SUM(C80:C87)</f>
        <v>0</v>
      </c>
      <c r="D88" s="3274">
        <f>SUM(D80:D87)</f>
        <v>0</v>
      </c>
      <c r="E88" s="3274">
        <f t="shared" ref="E88" si="19">SUM(E80:E87)</f>
        <v>0</v>
      </c>
      <c r="F88" s="3274">
        <f t="shared" ref="F88" si="20">SUM(F80:F87)</f>
        <v>0</v>
      </c>
      <c r="G88" s="3272">
        <f>SUM(G80:G87)</f>
        <v>0</v>
      </c>
      <c r="H88" s="3270">
        <f>SUM(H80:H87)</f>
        <v>0</v>
      </c>
      <c r="I88" s="3274">
        <f>SUM(I80:I87)</f>
        <v>0</v>
      </c>
      <c r="J88" s="3274">
        <f t="shared" ref="J88" si="21">SUM(J80:J87)</f>
        <v>0</v>
      </c>
      <c r="K88" s="3274">
        <f t="shared" ref="K88" si="22">SUM(K80:K87)</f>
        <v>0</v>
      </c>
      <c r="L88" s="3272">
        <f>SUM(L80:L87)</f>
        <v>0</v>
      </c>
      <c r="M88"/>
      <c r="N88"/>
      <c r="O88"/>
      <c r="P88"/>
      <c r="Q88"/>
      <c r="U88"/>
      <c r="V88"/>
      <c r="W88"/>
      <c r="X88"/>
      <c r="Y88"/>
      <c r="Z88"/>
      <c r="AA88"/>
      <c r="AB88"/>
    </row>
    <row r="89" spans="1:28" ht="20.100000000000001" customHeight="1" outlineLevel="1" thickBot="1">
      <c r="A89"/>
      <c r="B89" s="3279" t="s">
        <v>1399</v>
      </c>
      <c r="C89" s="1636">
        <f t="shared" ref="C89:L89" si="23">C78+C88</f>
        <v>0</v>
      </c>
      <c r="D89" s="1637">
        <f t="shared" si="23"/>
        <v>0</v>
      </c>
      <c r="E89" s="1637">
        <f t="shared" si="23"/>
        <v>0</v>
      </c>
      <c r="F89" s="1637">
        <f t="shared" si="23"/>
        <v>0</v>
      </c>
      <c r="G89" s="1638">
        <f t="shared" si="23"/>
        <v>0</v>
      </c>
      <c r="H89" s="1636">
        <f t="shared" si="23"/>
        <v>0</v>
      </c>
      <c r="I89" s="1637">
        <f t="shared" si="23"/>
        <v>0</v>
      </c>
      <c r="J89" s="1637">
        <f t="shared" si="23"/>
        <v>0</v>
      </c>
      <c r="K89" s="1637">
        <f t="shared" si="23"/>
        <v>0</v>
      </c>
      <c r="L89" s="1638">
        <f t="shared" si="23"/>
        <v>0</v>
      </c>
      <c r="M89"/>
      <c r="N89"/>
      <c r="O89"/>
      <c r="P89"/>
      <c r="Q89"/>
      <c r="U89"/>
      <c r="V89"/>
      <c r="W89"/>
      <c r="X89"/>
      <c r="Y89"/>
      <c r="Z89"/>
      <c r="AA89"/>
      <c r="AB89"/>
    </row>
    <row r="90" spans="1:28" ht="20.100000000000001" customHeight="1" outlineLevel="1">
      <c r="A90"/>
      <c r="B90" s="3276" t="s">
        <v>1408</v>
      </c>
      <c r="C90" s="3277"/>
      <c r="D90" s="3277"/>
      <c r="E90" s="3277"/>
      <c r="F90" s="3277"/>
      <c r="G90" s="3277"/>
      <c r="H90" s="3277"/>
      <c r="I90" s="3277"/>
      <c r="J90" s="3277"/>
      <c r="K90" s="3277"/>
      <c r="L90" s="3278"/>
      <c r="M90"/>
      <c r="N90"/>
      <c r="O90"/>
      <c r="P90"/>
      <c r="Q90"/>
      <c r="U90"/>
      <c r="V90"/>
      <c r="W90"/>
      <c r="X90"/>
      <c r="Y90"/>
      <c r="Z90"/>
      <c r="AA90"/>
      <c r="AB90"/>
    </row>
    <row r="91" spans="1:28" ht="20.100000000000001" customHeight="1" outlineLevel="1">
      <c r="A91"/>
      <c r="B91" s="1647" t="s">
        <v>1394</v>
      </c>
      <c r="C91" s="976"/>
      <c r="D91" s="971"/>
      <c r="E91" s="971"/>
      <c r="F91" s="971"/>
      <c r="G91" s="977"/>
      <c r="H91" s="976"/>
      <c r="I91" s="971"/>
      <c r="J91" s="971"/>
      <c r="K91" s="971"/>
      <c r="L91" s="977"/>
      <c r="M91"/>
      <c r="N91"/>
      <c r="O91"/>
      <c r="P91"/>
      <c r="Q91"/>
      <c r="U91"/>
      <c r="V91"/>
      <c r="W91"/>
      <c r="X91"/>
      <c r="Y91"/>
      <c r="Z91"/>
      <c r="AA91"/>
      <c r="AB91"/>
    </row>
    <row r="92" spans="1:28" ht="20.100000000000001" customHeight="1" outlineLevel="1">
      <c r="A92"/>
      <c r="B92" s="1647" t="s">
        <v>1395</v>
      </c>
      <c r="C92" s="1631"/>
      <c r="D92" s="1632"/>
      <c r="E92" s="1632"/>
      <c r="F92" s="1632"/>
      <c r="G92" s="1633"/>
      <c r="H92" s="976"/>
      <c r="I92" s="971"/>
      <c r="J92" s="971"/>
      <c r="K92" s="971"/>
      <c r="L92" s="977"/>
      <c r="M92"/>
      <c r="N92"/>
      <c r="O92"/>
      <c r="P92"/>
      <c r="Q92"/>
      <c r="U92"/>
      <c r="V92"/>
      <c r="W92"/>
      <c r="X92"/>
      <c r="Y92"/>
      <c r="Z92"/>
      <c r="AA92"/>
      <c r="AB92"/>
    </row>
    <row r="93" spans="1:28" ht="20.100000000000001" customHeight="1" outlineLevel="1">
      <c r="A93"/>
      <c r="B93" s="1647" t="s">
        <v>1396</v>
      </c>
      <c r="C93" s="1631"/>
      <c r="D93" s="1632"/>
      <c r="E93" s="1632"/>
      <c r="F93" s="1632"/>
      <c r="G93" s="1633"/>
      <c r="H93" s="976"/>
      <c r="I93" s="971"/>
      <c r="J93" s="971"/>
      <c r="K93" s="971"/>
      <c r="L93" s="977"/>
      <c r="M93"/>
      <c r="N93"/>
      <c r="O93"/>
      <c r="P93"/>
      <c r="Q93"/>
      <c r="U93"/>
      <c r="V93"/>
      <c r="W93"/>
      <c r="X93"/>
      <c r="Y93"/>
      <c r="Z93"/>
      <c r="AA93"/>
      <c r="AB93"/>
    </row>
    <row r="94" spans="1:28" ht="20.100000000000001" customHeight="1" outlineLevel="1">
      <c r="A94"/>
      <c r="B94" s="1647" t="s">
        <v>1397</v>
      </c>
      <c r="C94" s="1631"/>
      <c r="D94" s="1632"/>
      <c r="E94" s="1632"/>
      <c r="F94" s="1632"/>
      <c r="G94" s="1633"/>
      <c r="H94" s="976"/>
      <c r="I94" s="971"/>
      <c r="J94" s="971"/>
      <c r="K94" s="971"/>
      <c r="L94" s="977"/>
      <c r="M94"/>
      <c r="N94"/>
      <c r="O94"/>
      <c r="P94"/>
      <c r="Q94"/>
      <c r="U94"/>
      <c r="V94"/>
      <c r="W94"/>
      <c r="X94"/>
      <c r="Y94"/>
      <c r="Z94"/>
      <c r="AA94"/>
      <c r="AB94"/>
    </row>
    <row r="95" spans="1:28" ht="20.100000000000001" customHeight="1" outlineLevel="1" thickBot="1">
      <c r="A95"/>
      <c r="B95" s="3287" t="s">
        <v>1392</v>
      </c>
      <c r="C95" s="3284">
        <f t="shared" ref="C95:L95" si="24">SUM(C91:C94)</f>
        <v>0</v>
      </c>
      <c r="D95" s="3285">
        <f t="shared" si="24"/>
        <v>0</v>
      </c>
      <c r="E95" s="3285">
        <f t="shared" si="24"/>
        <v>0</v>
      </c>
      <c r="F95" s="3285">
        <f t="shared" si="24"/>
        <v>0</v>
      </c>
      <c r="G95" s="3286">
        <f t="shared" si="24"/>
        <v>0</v>
      </c>
      <c r="H95" s="3284">
        <f t="shared" si="24"/>
        <v>0</v>
      </c>
      <c r="I95" s="3285">
        <f t="shared" si="24"/>
        <v>0</v>
      </c>
      <c r="J95" s="3285">
        <f t="shared" si="24"/>
        <v>0</v>
      </c>
      <c r="K95" s="3285">
        <f t="shared" si="24"/>
        <v>0</v>
      </c>
      <c r="L95" s="3286">
        <f t="shared" si="24"/>
        <v>0</v>
      </c>
      <c r="M95"/>
      <c r="N95"/>
      <c r="O95"/>
      <c r="P95"/>
      <c r="Q95"/>
      <c r="U95"/>
      <c r="V95"/>
      <c r="W95"/>
      <c r="X95"/>
      <c r="Y95"/>
      <c r="Z95"/>
      <c r="AA95"/>
      <c r="AB95"/>
    </row>
    <row r="96" spans="1:28" s="1427" customFormat="1" ht="20.100000000000001" customHeight="1" outlineLevel="1" thickBot="1">
      <c r="B96" s="3268" t="s">
        <v>1393</v>
      </c>
      <c r="C96" s="3288">
        <f t="shared" ref="C96:L96" si="25">C95+C89</f>
        <v>0</v>
      </c>
      <c r="D96" s="3281">
        <f t="shared" si="25"/>
        <v>0</v>
      </c>
      <c r="E96" s="3281">
        <f t="shared" si="25"/>
        <v>0</v>
      </c>
      <c r="F96" s="3281">
        <f t="shared" si="25"/>
        <v>0</v>
      </c>
      <c r="G96" s="3282">
        <f t="shared" si="25"/>
        <v>0</v>
      </c>
      <c r="H96" s="3280">
        <f t="shared" si="25"/>
        <v>0</v>
      </c>
      <c r="I96" s="3281">
        <f t="shared" si="25"/>
        <v>0</v>
      </c>
      <c r="J96" s="3281">
        <f t="shared" si="25"/>
        <v>0</v>
      </c>
      <c r="K96" s="3281">
        <f t="shared" si="25"/>
        <v>0</v>
      </c>
      <c r="L96" s="3282">
        <f t="shared" si="25"/>
        <v>0</v>
      </c>
      <c r="M96"/>
      <c r="N96"/>
      <c r="O96"/>
      <c r="P96"/>
      <c r="Q96"/>
      <c r="U96"/>
      <c r="V96"/>
      <c r="W96"/>
      <c r="X96"/>
      <c r="Y96"/>
      <c r="Z96"/>
      <c r="AA96"/>
      <c r="AB96"/>
    </row>
    <row r="97" spans="1:28" s="97" customFormat="1" ht="20.100000000000001" customHeight="1" thickBot="1">
      <c r="A97"/>
      <c r="B97" s="3267" t="s">
        <v>125</v>
      </c>
      <c r="C97" s="748"/>
      <c r="D97" s="310"/>
      <c r="E97" s="310"/>
      <c r="F97" s="310"/>
      <c r="G97" s="310"/>
      <c r="H97" s="310"/>
      <c r="I97" s="310"/>
      <c r="J97" s="310"/>
      <c r="K97" s="310"/>
      <c r="L97" s="458"/>
      <c r="M97"/>
      <c r="N97"/>
      <c r="O97"/>
      <c r="P97"/>
      <c r="Q97"/>
      <c r="R97"/>
      <c r="S97"/>
      <c r="T97"/>
      <c r="U97"/>
      <c r="V97"/>
      <c r="W97"/>
      <c r="X97"/>
      <c r="Y97"/>
      <c r="Z97"/>
      <c r="AA97"/>
      <c r="AB97"/>
    </row>
    <row r="98" spans="1:28" s="70" customFormat="1" ht="41.25" customHeight="1">
      <c r="A98"/>
      <c r="B98" s="980"/>
      <c r="C98" s="980"/>
      <c r="D98" s="410"/>
      <c r="E98" s="798"/>
      <c r="F98" s="798"/>
      <c r="G98" s="798"/>
      <c r="H98" s="798"/>
      <c r="I98"/>
      <c r="J98"/>
      <c r="K98"/>
      <c r="L98"/>
      <c r="M98"/>
      <c r="N98"/>
      <c r="O98"/>
      <c r="P98"/>
      <c r="Q98"/>
      <c r="R98"/>
      <c r="S98"/>
    </row>
    <row r="99" spans="1:28" s="70" customFormat="1" ht="37.5" customHeight="1">
      <c r="A99"/>
      <c r="B99" s="138"/>
      <c r="C99" s="138"/>
      <c r="D99" s="138"/>
      <c r="E99" s="138"/>
      <c r="F99" s="138"/>
      <c r="G99" s="138"/>
      <c r="H99" s="138"/>
      <c r="I99"/>
      <c r="J99"/>
      <c r="K99"/>
      <c r="L99"/>
      <c r="M99"/>
      <c r="N99"/>
      <c r="O99"/>
      <c r="P99"/>
      <c r="Q99"/>
      <c r="R99"/>
      <c r="S99"/>
    </row>
    <row r="100" spans="1:28" s="22" customFormat="1" ht="38.25" customHeight="1">
      <c r="A100"/>
      <c r="B100" s="981"/>
      <c r="C100" s="981"/>
      <c r="D100" s="981"/>
      <c r="E100" s="981"/>
      <c r="F100" s="981"/>
      <c r="G100" s="981"/>
      <c r="H100" s="981"/>
      <c r="I100"/>
      <c r="J100"/>
      <c r="K100"/>
      <c r="L100"/>
      <c r="M100"/>
      <c r="N100"/>
      <c r="O100"/>
      <c r="P100"/>
      <c r="Q100"/>
      <c r="R100"/>
      <c r="S100"/>
    </row>
    <row r="101" spans="1:28" s="97" customFormat="1" ht="20.100000000000001" customHeight="1">
      <c r="A101"/>
      <c r="B101" s="981"/>
      <c r="C101" s="981"/>
      <c r="D101" s="981"/>
      <c r="E101" s="798"/>
      <c r="F101" s="798"/>
      <c r="G101" s="798"/>
      <c r="H101" s="798"/>
      <c r="I101"/>
      <c r="J101"/>
      <c r="K101"/>
      <c r="L101"/>
      <c r="M101"/>
      <c r="N101"/>
      <c r="O101"/>
      <c r="P101"/>
      <c r="Q101"/>
      <c r="R101"/>
      <c r="S101"/>
    </row>
    <row r="102" spans="1:28" s="138" customFormat="1" ht="21.75" customHeight="1">
      <c r="A102"/>
      <c r="B102" s="981"/>
      <c r="C102" s="981"/>
      <c r="D102" s="981"/>
      <c r="E102" s="798"/>
      <c r="F102" s="798"/>
      <c r="G102" s="798"/>
      <c r="H102" s="798"/>
      <c r="L102"/>
      <c r="M102"/>
      <c r="N102"/>
      <c r="O102"/>
      <c r="P102"/>
      <c r="Q102"/>
      <c r="R102"/>
      <c r="S102"/>
    </row>
    <row r="103" spans="1:28" s="97" customFormat="1" ht="20.100000000000001" customHeight="1">
      <c r="A103"/>
      <c r="B103" s="981"/>
      <c r="C103" s="981"/>
      <c r="D103" s="981"/>
      <c r="E103" s="798"/>
      <c r="F103" s="798"/>
      <c r="G103" s="798"/>
      <c r="H103" s="798"/>
      <c r="I103"/>
      <c r="J103"/>
      <c r="K103"/>
      <c r="L103"/>
      <c r="M103"/>
      <c r="N103"/>
      <c r="O103"/>
      <c r="P103"/>
      <c r="Q103"/>
      <c r="R103"/>
      <c r="S103"/>
    </row>
    <row r="104" spans="1:28" s="97" customFormat="1" ht="20.100000000000001" customHeight="1">
      <c r="A104"/>
      <c r="B104" s="981"/>
      <c r="C104" s="981"/>
      <c r="D104" s="798"/>
      <c r="E104" s="798"/>
      <c r="F104" s="798"/>
      <c r="G104" s="798"/>
      <c r="H104" s="981"/>
      <c r="I104"/>
      <c r="J104"/>
      <c r="K104"/>
      <c r="L104"/>
      <c r="M104"/>
      <c r="N104"/>
      <c r="O104"/>
      <c r="P104"/>
      <c r="Q104"/>
      <c r="R104"/>
      <c r="S104"/>
    </row>
    <row r="105" spans="1:28" s="97" customFormat="1" ht="20.100000000000001" customHeight="1">
      <c r="A105"/>
      <c r="B105" s="862"/>
      <c r="C105" s="862"/>
      <c r="D105" s="798"/>
      <c r="E105" s="798"/>
      <c r="F105" s="798"/>
      <c r="G105" s="798"/>
      <c r="H105" s="798"/>
      <c r="I105"/>
      <c r="J105"/>
      <c r="K105"/>
      <c r="L105"/>
      <c r="M105"/>
      <c r="N105"/>
      <c r="O105"/>
      <c r="P105"/>
      <c r="Q105"/>
      <c r="R105"/>
      <c r="S105"/>
    </row>
    <row r="106" spans="1:28" ht="20.100000000000001" customHeight="1">
      <c r="A106"/>
      <c r="B106" s="862"/>
      <c r="C106" s="862"/>
      <c r="D106" s="798"/>
      <c r="E106" s="798"/>
      <c r="F106" s="798"/>
      <c r="G106" s="798"/>
      <c r="H106" s="798"/>
      <c r="I106"/>
      <c r="J106"/>
      <c r="K106"/>
      <c r="L106"/>
      <c r="M106"/>
      <c r="N106"/>
      <c r="O106"/>
      <c r="P106"/>
      <c r="Q106"/>
      <c r="T106" s="96"/>
      <c r="U106" s="96"/>
      <c r="V106" s="96"/>
      <c r="W106" s="96"/>
      <c r="X106" s="96"/>
      <c r="Y106" s="96"/>
      <c r="Z106" s="96"/>
      <c r="AA106" s="96"/>
      <c r="AB106" s="96"/>
    </row>
    <row r="107" spans="1:28" ht="20.100000000000001" customHeight="1">
      <c r="A107"/>
      <c r="B107" s="862"/>
      <c r="C107" s="862"/>
      <c r="D107" s="798"/>
      <c r="E107" s="798"/>
      <c r="F107" s="798"/>
      <c r="G107" s="798"/>
      <c r="H107" s="798"/>
      <c r="I107"/>
      <c r="J107"/>
      <c r="K107"/>
      <c r="L107"/>
      <c r="M107"/>
      <c r="N107"/>
      <c r="O107"/>
      <c r="P107"/>
      <c r="Q107"/>
      <c r="T107" s="96"/>
      <c r="U107" s="96"/>
      <c r="V107" s="96"/>
      <c r="W107" s="96"/>
      <c r="X107" s="96"/>
      <c r="Y107" s="96"/>
      <c r="Z107" s="96"/>
      <c r="AA107" s="96"/>
      <c r="AB107" s="96"/>
    </row>
    <row r="108" spans="1:28" ht="20.100000000000001" customHeight="1">
      <c r="A108"/>
      <c r="B108" s="862"/>
      <c r="C108" s="862"/>
      <c r="D108" s="798"/>
      <c r="E108" s="798"/>
      <c r="F108" s="798"/>
      <c r="G108" s="798"/>
      <c r="H108" s="798"/>
      <c r="I108"/>
      <c r="J108"/>
      <c r="K108"/>
      <c r="L108"/>
      <c r="M108"/>
      <c r="N108"/>
      <c r="O108"/>
      <c r="P108"/>
      <c r="Q108"/>
      <c r="T108" s="96"/>
      <c r="U108" s="96"/>
      <c r="V108" s="96"/>
      <c r="W108" s="96"/>
      <c r="X108" s="96"/>
      <c r="Y108" s="96"/>
      <c r="Z108" s="96"/>
      <c r="AA108" s="96"/>
      <c r="AB108" s="96"/>
    </row>
    <row r="109" spans="1:28" ht="20.100000000000001" customHeight="1">
      <c r="A109"/>
      <c r="B109" s="862"/>
      <c r="C109" s="862"/>
      <c r="D109" s="798"/>
      <c r="E109" s="798"/>
      <c r="F109" s="798"/>
      <c r="G109" s="798"/>
      <c r="H109" s="798"/>
      <c r="I109"/>
      <c r="J109"/>
      <c r="K109"/>
      <c r="L109"/>
      <c r="M109"/>
      <c r="N109"/>
      <c r="O109"/>
      <c r="P109"/>
      <c r="Q109"/>
      <c r="T109" s="96"/>
      <c r="U109" s="96"/>
      <c r="V109" s="96"/>
      <c r="W109" s="96"/>
      <c r="X109" s="96"/>
      <c r="Y109" s="96"/>
      <c r="Z109" s="96"/>
      <c r="AA109" s="96"/>
      <c r="AB109" s="96"/>
    </row>
    <row r="110" spans="1:28" ht="20.100000000000001" customHeight="1">
      <c r="A110"/>
      <c r="B110" s="862"/>
      <c r="C110" s="862"/>
      <c r="D110" s="798"/>
      <c r="E110" s="798"/>
      <c r="F110" s="798"/>
      <c r="G110" s="798"/>
      <c r="H110" s="798"/>
      <c r="I110"/>
      <c r="J110"/>
      <c r="K110"/>
      <c r="L110"/>
      <c r="M110"/>
      <c r="N110"/>
      <c r="O110"/>
      <c r="P110"/>
      <c r="Q110"/>
      <c r="T110" s="96"/>
      <c r="U110" s="96"/>
      <c r="V110" s="96"/>
      <c r="W110" s="96"/>
      <c r="X110" s="96"/>
      <c r="Y110" s="96"/>
      <c r="Z110" s="96"/>
      <c r="AA110" s="96"/>
      <c r="AB110" s="96"/>
    </row>
    <row r="111" spans="1:28" ht="20.100000000000001" customHeight="1">
      <c r="A111"/>
      <c r="B111" s="862"/>
      <c r="C111" s="862"/>
      <c r="D111" s="798"/>
      <c r="E111" s="798"/>
      <c r="F111" s="798"/>
      <c r="G111" s="798"/>
      <c r="H111" s="798"/>
      <c r="I111"/>
      <c r="J111"/>
      <c r="K111"/>
      <c r="L111"/>
      <c r="M111"/>
      <c r="N111"/>
      <c r="O111"/>
      <c r="P111"/>
      <c r="Q111"/>
      <c r="T111" s="96"/>
      <c r="U111" s="96"/>
      <c r="V111" s="96"/>
      <c r="W111" s="96"/>
      <c r="X111" s="96"/>
      <c r="Y111" s="96"/>
      <c r="Z111" s="96"/>
      <c r="AA111" s="96"/>
      <c r="AB111" s="96"/>
    </row>
    <row r="112" spans="1:28" ht="20.100000000000001" customHeight="1">
      <c r="A112"/>
      <c r="B112" s="862"/>
      <c r="C112" s="862"/>
      <c r="D112" s="798"/>
      <c r="E112" s="798"/>
      <c r="F112" s="798"/>
      <c r="G112" s="798"/>
      <c r="H112" s="798"/>
      <c r="I112"/>
      <c r="J112"/>
      <c r="K112"/>
      <c r="L112"/>
      <c r="M112"/>
      <c r="N112"/>
      <c r="O112"/>
      <c r="P112"/>
      <c r="Q112"/>
      <c r="T112" s="96"/>
      <c r="U112" s="96"/>
      <c r="V112" s="96"/>
      <c r="W112" s="96"/>
      <c r="X112" s="96"/>
      <c r="Y112" s="96"/>
      <c r="Z112" s="96"/>
      <c r="AA112" s="96"/>
      <c r="AB112" s="96"/>
    </row>
    <row r="113" spans="1:28" ht="20.100000000000001" customHeight="1">
      <c r="A113"/>
      <c r="B113" s="862"/>
      <c r="C113" s="862"/>
      <c r="D113" s="798"/>
      <c r="E113" s="798"/>
      <c r="F113" s="798"/>
      <c r="G113" s="798"/>
      <c r="H113" s="798"/>
      <c r="I113"/>
      <c r="J113"/>
      <c r="K113"/>
      <c r="L113"/>
      <c r="M113"/>
      <c r="N113"/>
      <c r="O113"/>
      <c r="P113"/>
      <c r="Q113"/>
      <c r="T113" s="96"/>
      <c r="U113" s="96"/>
      <c r="V113" s="96"/>
      <c r="W113" s="96"/>
      <c r="X113" s="96"/>
      <c r="Y113" s="96"/>
      <c r="Z113" s="96"/>
      <c r="AA113" s="96"/>
      <c r="AB113" s="96"/>
    </row>
    <row r="114" spans="1:28" ht="20.100000000000001" customHeight="1">
      <c r="A114" s="798"/>
      <c r="B114" s="862"/>
      <c r="C114" s="862"/>
      <c r="D114" s="798"/>
      <c r="E114" s="798"/>
      <c r="F114" s="798"/>
      <c r="G114" s="798"/>
      <c r="H114" s="798"/>
      <c r="I114"/>
      <c r="J114"/>
      <c r="K114"/>
      <c r="L114"/>
      <c r="M114"/>
      <c r="N114"/>
      <c r="O114"/>
      <c r="P114"/>
      <c r="Q114"/>
      <c r="T114" s="96"/>
      <c r="U114" s="96"/>
      <c r="V114" s="96"/>
      <c r="W114" s="96"/>
      <c r="X114" s="96"/>
      <c r="Y114" s="96"/>
      <c r="Z114" s="96"/>
      <c r="AA114" s="96"/>
      <c r="AB114" s="96"/>
    </row>
    <row r="115" spans="1:28" ht="20.100000000000001" customHeight="1">
      <c r="A115" s="798"/>
      <c r="B115" s="862"/>
      <c r="C115" s="862"/>
      <c r="D115" s="798"/>
      <c r="E115" s="798"/>
      <c r="F115" s="798"/>
      <c r="G115" s="798"/>
      <c r="H115" s="798"/>
      <c r="I115"/>
      <c r="J115"/>
      <c r="K115"/>
      <c r="L115"/>
      <c r="M115"/>
      <c r="N115"/>
      <c r="O115"/>
      <c r="P115"/>
      <c r="Q115"/>
      <c r="T115" s="96"/>
      <c r="U115" s="96"/>
      <c r="V115" s="96"/>
      <c r="W115" s="96"/>
      <c r="X115" s="96"/>
      <c r="Y115" s="96"/>
      <c r="Z115" s="96"/>
      <c r="AA115" s="96"/>
      <c r="AB115" s="96"/>
    </row>
    <row r="116" spans="1:28" ht="20.100000000000001" customHeight="1">
      <c r="A116" s="798"/>
      <c r="B116" s="862"/>
      <c r="C116" s="862"/>
      <c r="D116" s="798"/>
      <c r="E116" s="798"/>
      <c r="F116" s="798"/>
      <c r="G116" s="798"/>
      <c r="H116" s="798"/>
      <c r="I116"/>
      <c r="J116"/>
      <c r="K116"/>
      <c r="L116"/>
      <c r="M116"/>
      <c r="N116"/>
      <c r="O116"/>
      <c r="P116"/>
      <c r="Q116"/>
      <c r="T116" s="96"/>
      <c r="U116" s="96"/>
      <c r="V116" s="96"/>
      <c r="W116" s="96"/>
      <c r="X116" s="96"/>
      <c r="Y116" s="96"/>
      <c r="Z116" s="96"/>
      <c r="AA116" s="96"/>
      <c r="AB116" s="96"/>
    </row>
    <row r="117" spans="1:28" ht="20.100000000000001" customHeight="1">
      <c r="A117" s="798"/>
      <c r="B117" s="862"/>
      <c r="C117" s="862"/>
      <c r="D117" s="798"/>
      <c r="E117" s="798"/>
      <c r="F117" s="798"/>
      <c r="G117" s="798"/>
      <c r="H117" s="798"/>
      <c r="I117"/>
      <c r="J117"/>
      <c r="K117"/>
      <c r="L117"/>
      <c r="M117"/>
      <c r="N117"/>
      <c r="O117"/>
      <c r="P117"/>
      <c r="Q117"/>
      <c r="T117" s="96"/>
      <c r="U117" s="96"/>
      <c r="V117" s="96"/>
      <c r="W117" s="96"/>
      <c r="X117" s="96"/>
      <c r="Y117" s="96"/>
      <c r="Z117" s="96"/>
      <c r="AA117" s="96"/>
      <c r="AB117" s="96"/>
    </row>
    <row r="118" spans="1:28" ht="20.100000000000001" customHeight="1">
      <c r="A118" s="360"/>
      <c r="B118" s="812"/>
      <c r="C118" s="812"/>
      <c r="D118" s="812"/>
      <c r="E118" s="812"/>
      <c r="F118" s="812"/>
      <c r="G118" s="812"/>
      <c r="H118" s="812"/>
      <c r="I118"/>
      <c r="J118"/>
      <c r="K118"/>
      <c r="L118"/>
      <c r="M118"/>
      <c r="N118"/>
      <c r="O118"/>
      <c r="P118"/>
      <c r="Q118"/>
      <c r="T118" s="96"/>
      <c r="U118" s="96"/>
      <c r="V118" s="96"/>
      <c r="W118" s="96"/>
      <c r="X118" s="96"/>
      <c r="Y118" s="96"/>
      <c r="Z118" s="96"/>
      <c r="AA118" s="96"/>
      <c r="AB118" s="96"/>
    </row>
    <row r="119" spans="1:28" s="70" customFormat="1" ht="20.100000000000001" customHeight="1">
      <c r="A119" s="360"/>
      <c r="B119" s="112"/>
      <c r="C119" s="112"/>
      <c r="D119" s="112"/>
      <c r="E119" s="96"/>
      <c r="F119" s="96"/>
      <c r="G119" s="96"/>
      <c r="H119" s="96"/>
      <c r="I119"/>
      <c r="J119"/>
      <c r="K119"/>
      <c r="L119"/>
      <c r="M119"/>
      <c r="N119"/>
      <c r="O119"/>
      <c r="P119"/>
      <c r="Q119"/>
      <c r="R119"/>
      <c r="S119"/>
    </row>
    <row r="120" spans="1:28" s="70" customFormat="1" ht="20.100000000000001" customHeight="1">
      <c r="A120" s="812"/>
      <c r="B120" s="112"/>
      <c r="C120" s="112"/>
      <c r="D120" s="112"/>
      <c r="E120" s="96"/>
      <c r="F120" s="96"/>
      <c r="G120" s="96"/>
      <c r="H120" s="96"/>
      <c r="I120"/>
      <c r="J120"/>
      <c r="K120"/>
      <c r="L120" s="77"/>
      <c r="M120" s="1427"/>
      <c r="N120" s="1427"/>
      <c r="O120" s="1427"/>
      <c r="P120" s="1427"/>
      <c r="Q120" s="1427"/>
      <c r="R120" s="1433"/>
      <c r="S120" s="1433"/>
    </row>
    <row r="121" spans="1:28" s="22" customFormat="1" ht="38.25" customHeight="1">
      <c r="A121" s="96"/>
      <c r="B121" s="77"/>
      <c r="C121" s="77"/>
      <c r="D121" s="96"/>
      <c r="E121" s="96"/>
      <c r="F121" s="96"/>
      <c r="G121" s="96"/>
      <c r="H121" s="96"/>
      <c r="I121" s="96"/>
      <c r="J121" s="96"/>
      <c r="K121" s="96"/>
      <c r="L121" s="96"/>
      <c r="M121" s="96"/>
      <c r="N121" s="96"/>
      <c r="O121" s="96"/>
      <c r="P121" s="96"/>
      <c r="Q121" s="96"/>
      <c r="R121"/>
      <c r="S121"/>
      <c r="T121"/>
      <c r="U121" s="77"/>
      <c r="V121" s="1427"/>
      <c r="W121" s="1427"/>
      <c r="X121" s="1427"/>
      <c r="Y121" s="1427"/>
      <c r="Z121" s="1427"/>
      <c r="AA121" s="1433"/>
      <c r="AB121" s="1433"/>
    </row>
  </sheetData>
  <mergeCells count="18">
    <mergeCell ref="U17:Y17"/>
    <mergeCell ref="Z17:AB17"/>
    <mergeCell ref="U18:AB18"/>
    <mergeCell ref="U19:AB19"/>
    <mergeCell ref="B17:B20"/>
    <mergeCell ref="C17:G17"/>
    <mergeCell ref="H17:L17"/>
    <mergeCell ref="M17:Q17"/>
    <mergeCell ref="B58:B61"/>
    <mergeCell ref="C58:G58"/>
    <mergeCell ref="H58:L58"/>
    <mergeCell ref="C18:J18"/>
    <mergeCell ref="K18:Q18"/>
    <mergeCell ref="C19:J19"/>
    <mergeCell ref="K19:Q19"/>
    <mergeCell ref="C56:Q56"/>
    <mergeCell ref="C59:L59"/>
    <mergeCell ref="C60:L60"/>
  </mergeCells>
  <pageMargins left="0.75" right="0.75" top="1" bottom="1" header="0.5" footer="0.5"/>
  <pageSetup paperSize="9" orientation="portrait" r:id="rId1"/>
  <headerFooter alignWithMargins="0"/>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249977111117893"/>
    <pageSetUpPr autoPageBreaks="0"/>
  </sheetPr>
  <dimension ref="A1:AG122"/>
  <sheetViews>
    <sheetView showGridLines="0" zoomScale="70" zoomScaleNormal="70" workbookViewId="0"/>
  </sheetViews>
  <sheetFormatPr defaultColWidth="9.140625" defaultRowHeight="20.100000000000001" customHeight="1" outlineLevelRow="1"/>
  <cols>
    <col min="1" max="1" width="17" style="1427" customWidth="1"/>
    <col min="2" max="2" width="140.28515625" style="77" bestFit="1" customWidth="1"/>
    <col min="3" max="3" width="15.7109375" style="77" customWidth="1"/>
    <col min="4" max="8" width="15.7109375" style="1427" customWidth="1"/>
    <col min="9" max="9" width="12.5703125" style="1427" customWidth="1"/>
    <col min="10" max="11" width="13.140625" style="1427" customWidth="1"/>
    <col min="12" max="12" width="17.7109375" style="1427" customWidth="1"/>
    <col min="13" max="17" width="15.7109375" style="1427" customWidth="1"/>
    <col min="18" max="18" width="13" style="1427" customWidth="1"/>
    <col min="19" max="19" width="11.5703125" style="1427" bestFit="1" customWidth="1"/>
    <col min="20" max="20" width="9.140625" style="1427"/>
    <col min="21" max="21" width="15.7109375" style="77" customWidth="1"/>
    <col min="22" max="26" width="15.7109375" style="1427" customWidth="1"/>
    <col min="27" max="27" width="12.5703125" style="1427" customWidth="1"/>
    <col min="28" max="28" width="13.140625" style="1427" customWidth="1"/>
    <col min="29" max="16384" width="9.140625" style="1427"/>
  </cols>
  <sheetData>
    <row r="1" spans="1:30" s="1435" customFormat="1" ht="23.1"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1427"/>
      <c r="AD1" s="1427"/>
    </row>
    <row r="2" spans="1:30" s="1435" customFormat="1" ht="23.1" customHeight="1">
      <c r="B2" s="3054" t="str">
        <f>INDEX(dms_TradingNameFull_List,MATCH(dms_TradingName,dms_TradingName_List))</f>
        <v>AusNet Gas Services</v>
      </c>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7"/>
      <c r="AD2" s="1427"/>
    </row>
    <row r="3" spans="1:30" s="1435" customFormat="1" ht="23.1" customHeight="1">
      <c r="B3" s="3054" t="str">
        <f ca="1">IF(SUM(dms_SingleYear_Model)&gt;0,CRY,CONCATENATE(FRCP_y1," to ",dms_MultiYear_FinalYear_Result))</f>
        <v>2018 to 2022</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7"/>
      <c r="AD3" s="1427"/>
    </row>
    <row r="4" spans="1:30" s="1436" customFormat="1" ht="24" customHeight="1">
      <c r="B4" s="3" t="s">
        <v>500</v>
      </c>
      <c r="C4" s="4"/>
      <c r="D4" s="4"/>
      <c r="E4" s="4"/>
      <c r="F4" s="4"/>
      <c r="G4" s="4"/>
      <c r="H4" s="4"/>
      <c r="I4" s="4"/>
      <c r="J4" s="4"/>
      <c r="K4" s="4"/>
      <c r="L4" s="4"/>
      <c r="M4" s="4"/>
      <c r="N4" s="4"/>
      <c r="O4" s="4"/>
      <c r="P4" s="4"/>
      <c r="Q4" s="4"/>
      <c r="R4" s="4"/>
      <c r="S4" s="4"/>
      <c r="T4" s="4"/>
      <c r="U4" s="4"/>
      <c r="V4" s="4"/>
      <c r="W4" s="4"/>
      <c r="X4" s="4"/>
      <c r="Y4" s="4"/>
      <c r="Z4" s="4"/>
      <c r="AA4" s="4"/>
      <c r="AB4" s="4"/>
      <c r="AC4" s="1433"/>
      <c r="AD4" s="1433"/>
    </row>
    <row r="5" spans="1:30" s="138" customFormat="1" ht="36.75" customHeight="1">
      <c r="A5" s="1429"/>
      <c r="B5" s="848"/>
      <c r="C5" s="969"/>
      <c r="D5" s="969"/>
      <c r="E5" s="969"/>
      <c r="F5" s="969"/>
      <c r="G5" s="969"/>
      <c r="H5" s="969"/>
      <c r="I5" s="969"/>
      <c r="J5" s="969"/>
      <c r="K5" s="969"/>
      <c r="L5" s="969"/>
      <c r="M5" s="969"/>
      <c r="N5" s="969"/>
      <c r="O5"/>
      <c r="P5"/>
      <c r="Q5"/>
      <c r="R5"/>
      <c r="S5"/>
      <c r="T5"/>
      <c r="U5"/>
      <c r="V5"/>
      <c r="W5"/>
      <c r="X5"/>
      <c r="Y5"/>
      <c r="Z5"/>
      <c r="AA5"/>
      <c r="AB5"/>
      <c r="AC5" s="1427"/>
      <c r="AD5" s="1427"/>
    </row>
    <row r="6" spans="1:30" s="138" customFormat="1" ht="25.5">
      <c r="A6" s="1429"/>
      <c r="B6" s="118" t="s">
        <v>59</v>
      </c>
      <c r="C6" s="969"/>
      <c r="D6" s="969"/>
      <c r="E6" s="969"/>
      <c r="F6" s="969"/>
      <c r="G6" s="969"/>
      <c r="H6" s="969"/>
      <c r="I6" s="969"/>
      <c r="J6" s="969"/>
      <c r="K6" s="969"/>
      <c r="L6" s="969"/>
      <c r="M6" s="969"/>
      <c r="N6" s="969"/>
      <c r="O6" s="969"/>
      <c r="P6" s="969"/>
      <c r="Q6" s="969"/>
      <c r="R6" s="1427"/>
      <c r="S6" s="1427"/>
      <c r="T6" s="1427"/>
      <c r="U6" s="969"/>
      <c r="V6" s="969"/>
      <c r="W6" s="969"/>
      <c r="X6" s="969"/>
      <c r="Y6" s="969"/>
      <c r="Z6" s="969"/>
      <c r="AA6" s="969"/>
      <c r="AB6" s="969"/>
      <c r="AC6" s="1427"/>
      <c r="AD6" s="1427"/>
    </row>
    <row r="7" spans="1:30" s="138" customFormat="1" ht="25.5">
      <c r="A7" s="1429"/>
      <c r="B7" s="156" t="s">
        <v>6</v>
      </c>
      <c r="C7" s="969"/>
      <c r="D7" s="969"/>
      <c r="E7" s="969"/>
      <c r="F7" s="969"/>
      <c r="G7" s="969"/>
      <c r="H7" s="969"/>
      <c r="I7" s="969"/>
      <c r="J7" s="969"/>
      <c r="K7" s="969"/>
      <c r="L7" s="969"/>
      <c r="M7" s="969"/>
      <c r="N7" s="969"/>
      <c r="O7" s="969"/>
      <c r="P7" s="969"/>
      <c r="Q7" s="969"/>
      <c r="R7" s="1427"/>
      <c r="S7" s="1427"/>
      <c r="T7" s="1427"/>
      <c r="U7" s="969"/>
      <c r="V7" s="969"/>
      <c r="W7" s="969"/>
      <c r="X7" s="969"/>
      <c r="Y7" s="969"/>
      <c r="Z7" s="969"/>
      <c r="AA7" s="969"/>
      <c r="AB7" s="969"/>
      <c r="AC7" s="1427"/>
      <c r="AD7" s="1427"/>
    </row>
    <row r="8" spans="1:30" s="102" customFormat="1" ht="33" customHeight="1">
      <c r="A8" s="973"/>
      <c r="B8" s="1569" t="s">
        <v>503</v>
      </c>
      <c r="C8" s="969"/>
      <c r="D8" s="969"/>
      <c r="E8" s="969"/>
      <c r="F8" s="970"/>
      <c r="G8" s="970"/>
      <c r="H8" s="970"/>
      <c r="I8" s="970"/>
      <c r="J8" s="970"/>
      <c r="K8" s="970"/>
      <c r="L8" s="970"/>
      <c r="M8" s="970"/>
      <c r="N8" s="970"/>
      <c r="O8" s="970"/>
      <c r="P8" s="970"/>
      <c r="Q8" s="970"/>
      <c r="R8" s="1427"/>
      <c r="S8" s="1427"/>
      <c r="T8" s="1427"/>
      <c r="U8" s="969"/>
      <c r="V8" s="969"/>
      <c r="W8" s="969"/>
      <c r="X8" s="970"/>
      <c r="Y8" s="970"/>
      <c r="Z8" s="970"/>
      <c r="AA8" s="970"/>
      <c r="AB8" s="970"/>
      <c r="AC8" s="1427"/>
      <c r="AD8" s="1427"/>
    </row>
    <row r="9" spans="1:30" s="102" customFormat="1" ht="33" customHeight="1">
      <c r="A9" s="973"/>
      <c r="B9" s="1569" t="s">
        <v>1409</v>
      </c>
      <c r="C9" s="969"/>
      <c r="D9" s="969"/>
      <c r="E9" s="1648"/>
      <c r="G9" s="970"/>
      <c r="H9" s="970"/>
      <c r="I9" s="970"/>
      <c r="J9" s="970"/>
      <c r="K9" s="970"/>
      <c r="L9" s="970"/>
      <c r="M9" s="970"/>
      <c r="N9" s="970"/>
      <c r="O9" s="970"/>
      <c r="P9" s="970"/>
      <c r="Q9" s="970"/>
      <c r="R9" s="1427"/>
      <c r="S9" s="1427"/>
      <c r="T9" s="1427"/>
      <c r="U9" s="969"/>
      <c r="V9" s="969"/>
      <c r="W9" s="1648"/>
      <c r="X9" s="970"/>
      <c r="Y9" s="970"/>
      <c r="Z9" s="970"/>
      <c r="AA9" s="970"/>
      <c r="AB9" s="970"/>
      <c r="AC9" s="1427"/>
      <c r="AD9" s="1427"/>
    </row>
    <row r="10" spans="1:30" s="102" customFormat="1" ht="33" customHeight="1">
      <c r="A10" s="973"/>
      <c r="B10" s="1569" t="str">
        <f>CONCATENATE("If ",dms_TradingName," intends to treat expenditure on meter replacement as operating expenditure, separate meter replacement expenditure into new and refurbished.")</f>
        <v>If AusNet (Gas) intends to treat expenditure on meter replacement as operating expenditure, separate meter replacement expenditure into new and refurbished.</v>
      </c>
      <c r="C10" s="969"/>
      <c r="D10" s="969"/>
      <c r="E10" s="969"/>
      <c r="F10" s="970"/>
      <c r="G10" s="970"/>
      <c r="H10" s="970"/>
      <c r="I10" s="970"/>
      <c r="J10" s="970"/>
      <c r="K10" s="970"/>
      <c r="L10" s="970"/>
      <c r="M10" s="970"/>
      <c r="N10" s="970"/>
      <c r="O10" s="970"/>
      <c r="P10" s="970"/>
      <c r="Q10" s="970"/>
      <c r="R10" s="1427"/>
      <c r="S10" s="1427"/>
      <c r="T10" s="1427"/>
      <c r="U10" s="969"/>
      <c r="V10" s="969"/>
      <c r="W10" s="969"/>
      <c r="X10" s="970"/>
      <c r="Y10" s="970"/>
      <c r="Z10" s="970"/>
      <c r="AA10" s="970"/>
      <c r="AB10" s="970"/>
      <c r="AC10" s="1427"/>
      <c r="AD10" s="1427"/>
    </row>
    <row r="11" spans="1:30" s="102" customFormat="1" ht="20.100000000000001" customHeight="1">
      <c r="A11" s="973"/>
      <c r="B11" s="1569" t="s">
        <v>504</v>
      </c>
      <c r="C11" s="970"/>
      <c r="D11" s="970"/>
      <c r="E11" s="970"/>
      <c r="F11" s="970"/>
      <c r="G11" s="970"/>
      <c r="H11" s="970"/>
      <c r="I11" s="970"/>
      <c r="J11" s="970"/>
      <c r="K11" s="970"/>
      <c r="L11" s="970"/>
      <c r="M11" s="970"/>
      <c r="N11" s="970"/>
      <c r="O11" s="970"/>
      <c r="P11" s="970"/>
      <c r="Q11" s="970"/>
      <c r="R11" s="1427"/>
      <c r="S11" s="1427"/>
      <c r="T11" s="1427"/>
      <c r="U11" s="970"/>
      <c r="V11" s="970"/>
      <c r="W11" s="970"/>
      <c r="X11" s="970"/>
      <c r="Y11" s="970"/>
      <c r="Z11" s="970"/>
      <c r="AA11" s="970"/>
      <c r="AB11" s="970"/>
      <c r="AC11" s="1427"/>
      <c r="AD11" s="1427"/>
    </row>
    <row r="12" spans="1:30" s="102" customFormat="1" ht="20.100000000000001" customHeight="1">
      <c r="A12" s="973"/>
      <c r="B12" s="1569"/>
      <c r="C12" s="969"/>
      <c r="D12" s="969"/>
      <c r="E12" s="969"/>
      <c r="F12" s="970"/>
      <c r="G12" s="970"/>
      <c r="H12" s="970"/>
      <c r="I12" s="970"/>
      <c r="J12" s="970"/>
      <c r="K12" s="970"/>
      <c r="L12" s="970"/>
      <c r="M12" s="970"/>
      <c r="N12" s="970"/>
      <c r="O12" s="970"/>
      <c r="P12" s="970"/>
      <c r="Q12" s="970"/>
      <c r="R12" s="1427"/>
      <c r="S12" s="1427"/>
      <c r="T12" s="1427"/>
      <c r="U12" s="969"/>
      <c r="V12" s="969"/>
      <c r="W12" s="969"/>
      <c r="X12" s="970"/>
      <c r="Y12" s="970"/>
      <c r="Z12" s="970"/>
      <c r="AA12" s="970"/>
      <c r="AB12" s="970"/>
      <c r="AC12" s="1427"/>
      <c r="AD12" s="1427"/>
    </row>
    <row r="13" spans="1:30" s="138" customFormat="1" ht="20.100000000000001" customHeight="1">
      <c r="A13" s="1115"/>
      <c r="B13" s="574"/>
      <c r="C13" s="1115"/>
      <c r="D13" s="1115"/>
      <c r="E13" s="1115"/>
      <c r="F13" s="969"/>
      <c r="G13" s="1115"/>
      <c r="H13" s="1115"/>
      <c r="I13" s="1115"/>
      <c r="J13" s="1115"/>
      <c r="K13" s="1115"/>
      <c r="L13" s="1115"/>
      <c r="M13" s="969"/>
      <c r="N13" s="969"/>
      <c r="O13" s="969"/>
      <c r="P13" s="969"/>
      <c r="Q13" s="969"/>
      <c r="R13" s="1427"/>
      <c r="S13" s="1427"/>
      <c r="T13" s="1427"/>
      <c r="U13" s="1115"/>
      <c r="V13" s="1115"/>
      <c r="W13" s="1115"/>
      <c r="X13" s="969"/>
      <c r="Y13" s="1115"/>
      <c r="Z13" s="1115"/>
      <c r="AA13" s="1115"/>
      <c r="AB13" s="1115"/>
      <c r="AC13" s="1427"/>
      <c r="AD13" s="1427"/>
    </row>
    <row r="14" spans="1:30" ht="20.100000000000001" customHeight="1" thickBot="1">
      <c r="A14" s="1429"/>
      <c r="B14" s="1427"/>
      <c r="C14" s="1429"/>
      <c r="D14" s="1429"/>
      <c r="E14" s="1429"/>
      <c r="F14" s="1429"/>
      <c r="G14" s="1429"/>
      <c r="H14" s="1429"/>
      <c r="I14" s="1429"/>
      <c r="J14" s="1429"/>
      <c r="K14" s="1429"/>
      <c r="L14" s="1429"/>
      <c r="M14" s="1429"/>
      <c r="N14" s="1429"/>
      <c r="O14" s="1429"/>
      <c r="P14" s="1429"/>
      <c r="Q14" s="1429"/>
      <c r="U14" s="1429"/>
      <c r="V14" s="1429"/>
      <c r="W14" s="1429"/>
      <c r="X14" s="1429"/>
      <c r="Y14" s="1429"/>
      <c r="Z14" s="1429"/>
      <c r="AA14" s="1429"/>
      <c r="AB14" s="1429"/>
    </row>
    <row r="15" spans="1:30" s="138" customFormat="1" ht="27.75" customHeight="1" thickBot="1">
      <c r="A15" s="1429"/>
      <c r="B15" s="972" t="s">
        <v>548</v>
      </c>
      <c r="C15" s="989"/>
      <c r="D15" s="989"/>
      <c r="E15" s="989"/>
      <c r="F15" s="989"/>
      <c r="G15" s="989"/>
      <c r="H15" s="989"/>
      <c r="I15" s="989"/>
      <c r="J15" s="989"/>
      <c r="K15" s="989"/>
      <c r="L15" s="989"/>
      <c r="M15" s="989"/>
      <c r="N15" s="989"/>
      <c r="O15" s="989"/>
      <c r="P15" s="989"/>
      <c r="Q15" s="990"/>
      <c r="R15" s="1427"/>
      <c r="S15" s="1429"/>
      <c r="U15" s="856" t="s">
        <v>681</v>
      </c>
      <c r="V15" s="989"/>
      <c r="W15" s="989"/>
      <c r="X15" s="989"/>
      <c r="Y15" s="989"/>
      <c r="Z15" s="989"/>
      <c r="AA15" s="989"/>
      <c r="AB15" s="990"/>
    </row>
    <row r="16" spans="1:30" s="138" customFormat="1" ht="29.25" customHeight="1" thickBot="1">
      <c r="A16" s="1429"/>
      <c r="B16" s="1576" t="s">
        <v>552</v>
      </c>
      <c r="C16" s="1577"/>
      <c r="D16" s="1577"/>
      <c r="E16" s="1577"/>
      <c r="F16" s="1577"/>
      <c r="G16" s="1577"/>
      <c r="H16" s="1577"/>
      <c r="I16" s="1577"/>
      <c r="J16" s="1577"/>
      <c r="K16" s="1577"/>
      <c r="L16" s="1577"/>
      <c r="M16" s="1577"/>
      <c r="N16" s="1577"/>
      <c r="O16" s="1577"/>
      <c r="P16" s="1577"/>
      <c r="Q16" s="1578"/>
      <c r="R16" s="1427"/>
      <c r="S16" s="1429"/>
      <c r="U16" s="1576"/>
      <c r="V16" s="1577"/>
      <c r="W16" s="1577"/>
      <c r="X16" s="1577"/>
      <c r="Y16" s="1577"/>
      <c r="Z16" s="1577"/>
      <c r="AA16" s="1577"/>
      <c r="AB16" s="1578"/>
    </row>
    <row r="17" spans="1:33" s="73" customFormat="1" ht="16.5" customHeight="1">
      <c r="A17" s="809"/>
      <c r="B17" s="3909"/>
      <c r="C17" s="3620" t="s">
        <v>36</v>
      </c>
      <c r="D17" s="3549"/>
      <c r="E17" s="3549"/>
      <c r="F17" s="3549"/>
      <c r="G17" s="3549"/>
      <c r="H17" s="3602" t="s">
        <v>37</v>
      </c>
      <c r="I17" s="3603"/>
      <c r="J17" s="3603"/>
      <c r="K17" s="3603"/>
      <c r="L17" s="3603"/>
      <c r="M17" s="3543" t="s">
        <v>73</v>
      </c>
      <c r="N17" s="3543"/>
      <c r="O17" s="3543"/>
      <c r="P17" s="3543"/>
      <c r="Q17" s="3835"/>
      <c r="R17" s="1427"/>
      <c r="S17" s="1427"/>
      <c r="T17" s="1427"/>
      <c r="U17" s="3601" t="s">
        <v>36</v>
      </c>
      <c r="V17" s="3549"/>
      <c r="W17" s="3549"/>
      <c r="X17" s="3549"/>
      <c r="Y17" s="3549"/>
      <c r="Z17" s="3602" t="s">
        <v>37</v>
      </c>
      <c r="AA17" s="3603"/>
      <c r="AB17" s="3604"/>
      <c r="AC17" s="1427"/>
      <c r="AD17" s="1427"/>
      <c r="AE17" s="1427"/>
      <c r="AF17" s="1427"/>
      <c r="AG17" s="1427"/>
    </row>
    <row r="18" spans="1:33" ht="15" customHeight="1">
      <c r="A18" s="1115"/>
      <c r="B18" s="3737"/>
      <c r="C18" s="3550" t="s">
        <v>579</v>
      </c>
      <c r="D18" s="3551"/>
      <c r="E18" s="3551"/>
      <c r="F18" s="3551"/>
      <c r="G18" s="3551"/>
      <c r="H18" s="3551"/>
      <c r="I18" s="3551"/>
      <c r="J18" s="3595"/>
      <c r="K18" s="3589" t="str">
        <f>CONCATENATE("$0's, real ",dms_DollarReal)</f>
        <v>$0's, real December 2017</v>
      </c>
      <c r="L18" s="3590"/>
      <c r="M18" s="3590"/>
      <c r="N18" s="3590"/>
      <c r="O18" s="3590"/>
      <c r="P18" s="3590"/>
      <c r="Q18" s="3734"/>
      <c r="U18" s="3550" t="str">
        <f>CONCATENATE("$0's, real ",dms_DollarReal)</f>
        <v>$0's, real December 2017</v>
      </c>
      <c r="V18" s="3551"/>
      <c r="W18" s="3551"/>
      <c r="X18" s="3551"/>
      <c r="Y18" s="3551"/>
      <c r="Z18" s="3551"/>
      <c r="AA18" s="3551"/>
      <c r="AB18" s="3552"/>
    </row>
    <row r="19" spans="1:33" s="73" customFormat="1" ht="16.5" customHeight="1">
      <c r="A19" s="1427"/>
      <c r="B19" s="3737"/>
      <c r="C19" s="3550" t="s">
        <v>54</v>
      </c>
      <c r="D19" s="3551"/>
      <c r="E19" s="3551"/>
      <c r="F19" s="3551"/>
      <c r="G19" s="3551"/>
      <c r="H19" s="3551"/>
      <c r="I19" s="3551"/>
      <c r="J19" s="3595"/>
      <c r="K19" s="3589" t="s">
        <v>55</v>
      </c>
      <c r="L19" s="3590"/>
      <c r="M19" s="3590"/>
      <c r="N19" s="3590"/>
      <c r="O19" s="3590"/>
      <c r="P19" s="3590"/>
      <c r="Q19" s="3734"/>
      <c r="R19" s="1427"/>
      <c r="S19" s="1427"/>
      <c r="T19" s="1427"/>
      <c r="U19" s="3550" t="s">
        <v>54</v>
      </c>
      <c r="V19" s="3551"/>
      <c r="W19" s="3551"/>
      <c r="X19" s="3551"/>
      <c r="Y19" s="3551"/>
      <c r="Z19" s="3551"/>
      <c r="AA19" s="3551"/>
      <c r="AB19" s="3552"/>
      <c r="AC19" s="1427"/>
      <c r="AD19" s="1427"/>
    </row>
    <row r="20" spans="1:33" ht="12.75" customHeight="1" thickBot="1">
      <c r="B20" s="3910"/>
      <c r="C20" s="391">
        <f t="array" ref="C20:G20">PRCP</f>
        <v>2008</v>
      </c>
      <c r="D20" s="390">
        <v>2009</v>
      </c>
      <c r="E20" s="390">
        <v>2010</v>
      </c>
      <c r="F20" s="390">
        <v>2011</v>
      </c>
      <c r="G20" s="390">
        <v>2012</v>
      </c>
      <c r="H20" s="392">
        <f>CRCP_y1</f>
        <v>2013</v>
      </c>
      <c r="I20" s="392">
        <f>CRCP_y2</f>
        <v>2014</v>
      </c>
      <c r="J20" s="392">
        <f>CRCP_y3</f>
        <v>2015</v>
      </c>
      <c r="K20" s="392">
        <f>CRCP_y4</f>
        <v>2016</v>
      </c>
      <c r="L20" s="392">
        <f>CRCP_y5</f>
        <v>2017</v>
      </c>
      <c r="M20" s="390" t="str">
        <f t="array" ref="M20:Q20">FRCP</f>
        <v>2018</v>
      </c>
      <c r="N20" s="390">
        <v>2019</v>
      </c>
      <c r="O20" s="390">
        <v>2020</v>
      </c>
      <c r="P20" s="390">
        <v>2021</v>
      </c>
      <c r="Q20" s="786">
        <v>2022</v>
      </c>
      <c r="U20" s="1789">
        <f t="array" ref="U20:Y20">PRCP</f>
        <v>2008</v>
      </c>
      <c r="V20" s="390">
        <v>2009</v>
      </c>
      <c r="W20" s="390">
        <v>2010</v>
      </c>
      <c r="X20" s="390">
        <v>2011</v>
      </c>
      <c r="Y20" s="390">
        <v>2012</v>
      </c>
      <c r="Z20" s="392">
        <f>CRCP_y1</f>
        <v>2013</v>
      </c>
      <c r="AA20" s="392">
        <f>CRCP_y2</f>
        <v>2014</v>
      </c>
      <c r="AB20" s="603">
        <f>CRCP_y3</f>
        <v>2015</v>
      </c>
    </row>
    <row r="21" spans="1:33" s="138" customFormat="1" ht="21.75" customHeight="1" thickBot="1">
      <c r="A21" s="529"/>
      <c r="B21" s="858" t="s">
        <v>553</v>
      </c>
      <c r="C21" s="1572"/>
      <c r="D21" s="1572"/>
      <c r="E21" s="1572"/>
      <c r="F21" s="1572"/>
      <c r="G21" s="1572"/>
      <c r="H21" s="1572"/>
      <c r="I21" s="1572"/>
      <c r="J21" s="1572"/>
      <c r="K21" s="1572"/>
      <c r="L21" s="1572"/>
      <c r="M21" s="1572"/>
      <c r="N21" s="1572"/>
      <c r="O21" s="1572"/>
      <c r="P21" s="1572"/>
      <c r="Q21" s="1573"/>
      <c r="R21" s="1427"/>
      <c r="S21" s="1429"/>
      <c r="U21" s="1571"/>
      <c r="V21" s="1572"/>
      <c r="W21" s="1572"/>
      <c r="X21" s="1572"/>
      <c r="Y21" s="1572"/>
      <c r="Z21" s="1572"/>
      <c r="AA21" s="1572"/>
      <c r="AB21" s="1573"/>
    </row>
    <row r="22" spans="1:33" s="138" customFormat="1" ht="21.75" customHeight="1">
      <c r="A22" s="529"/>
      <c r="B22" s="3276" t="s">
        <v>1404</v>
      </c>
      <c r="C22" s="3277"/>
      <c r="D22" s="3277"/>
      <c r="E22" s="3277"/>
      <c r="F22" s="3277"/>
      <c r="G22" s="3277"/>
      <c r="H22" s="3277"/>
      <c r="I22" s="3277"/>
      <c r="J22" s="3277"/>
      <c r="K22" s="3277"/>
      <c r="L22" s="3277"/>
      <c r="M22" s="3277"/>
      <c r="N22" s="3277"/>
      <c r="O22" s="3277"/>
      <c r="P22" s="3277"/>
      <c r="Q22" s="3278"/>
      <c r="R22" s="1427"/>
      <c r="S22" s="1429"/>
      <c r="U22" s="2273"/>
      <c r="V22" s="1645"/>
      <c r="W22" s="1645"/>
      <c r="X22" s="1645"/>
      <c r="Y22" s="1645"/>
      <c r="Z22" s="1645"/>
      <c r="AA22" s="1645"/>
      <c r="AB22" s="1646"/>
    </row>
    <row r="23" spans="1:33" ht="20.100000000000001" customHeight="1" outlineLevel="1">
      <c r="B23" s="3269" t="s">
        <v>1373</v>
      </c>
      <c r="C23" s="3270"/>
      <c r="D23" s="3271"/>
      <c r="E23" s="3271"/>
      <c r="F23" s="3271"/>
      <c r="G23" s="3272"/>
      <c r="H23" s="3270"/>
      <c r="I23" s="3271"/>
      <c r="J23" s="3271"/>
      <c r="K23" s="3271"/>
      <c r="L23" s="3271"/>
      <c r="M23" s="3270"/>
      <c r="N23" s="3271"/>
      <c r="O23" s="3271"/>
      <c r="P23" s="3271"/>
      <c r="Q23" s="3272"/>
      <c r="U23" s="2274"/>
      <c r="V23" s="2275"/>
      <c r="W23" s="2275"/>
      <c r="X23" s="2275"/>
      <c r="Y23" s="2276"/>
      <c r="Z23" s="2274"/>
      <c r="AA23" s="2275"/>
      <c r="AB23" s="2276"/>
    </row>
    <row r="24" spans="1:33" ht="20.100000000000001" customHeight="1" outlineLevel="1">
      <c r="B24" s="1647" t="s">
        <v>1374</v>
      </c>
      <c r="C24" s="1631"/>
      <c r="D24" s="1632"/>
      <c r="E24" s="1632"/>
      <c r="F24" s="1632"/>
      <c r="G24" s="1633"/>
      <c r="H24" s="1631"/>
      <c r="I24" s="1632"/>
      <c r="J24" s="1632"/>
      <c r="K24" s="1632"/>
      <c r="L24" s="1632"/>
      <c r="M24" s="1631"/>
      <c r="N24" s="1632"/>
      <c r="O24" s="1632"/>
      <c r="P24" s="1632"/>
      <c r="Q24" s="1633"/>
      <c r="U24" s="2274"/>
      <c r="V24" s="2275"/>
      <c r="W24" s="2275"/>
      <c r="X24" s="2275"/>
      <c r="Y24" s="2276"/>
      <c r="Z24" s="2274"/>
      <c r="AA24" s="2275"/>
      <c r="AB24" s="2276"/>
    </row>
    <row r="25" spans="1:33" ht="20.100000000000001" customHeight="1" outlineLevel="1">
      <c r="B25" s="1647" t="s">
        <v>1375</v>
      </c>
      <c r="C25" s="1631"/>
      <c r="D25" s="1632"/>
      <c r="E25" s="1632"/>
      <c r="F25" s="1632"/>
      <c r="G25" s="1633"/>
      <c r="H25" s="1631"/>
      <c r="I25" s="1632"/>
      <c r="J25" s="1632"/>
      <c r="K25" s="1632"/>
      <c r="L25" s="1632"/>
      <c r="M25" s="1631"/>
      <c r="N25" s="1632"/>
      <c r="O25" s="1632"/>
      <c r="P25" s="1632"/>
      <c r="Q25" s="1633"/>
      <c r="U25" s="2274"/>
      <c r="V25" s="2275"/>
      <c r="W25" s="2275"/>
      <c r="X25" s="2275"/>
      <c r="Y25" s="2276"/>
      <c r="Z25" s="2274"/>
      <c r="AA25" s="2275"/>
      <c r="AB25" s="2276"/>
    </row>
    <row r="26" spans="1:33" ht="20.100000000000001" customHeight="1" outlineLevel="1">
      <c r="B26" s="1647" t="s">
        <v>1376</v>
      </c>
      <c r="C26" s="1631"/>
      <c r="D26" s="1632"/>
      <c r="E26" s="1632"/>
      <c r="F26" s="1632"/>
      <c r="G26" s="1633"/>
      <c r="H26" s="1631"/>
      <c r="I26" s="1632"/>
      <c r="J26" s="1632"/>
      <c r="K26" s="1632"/>
      <c r="L26" s="1632"/>
      <c r="M26" s="1631"/>
      <c r="N26" s="1632"/>
      <c r="O26" s="1632"/>
      <c r="P26" s="1632"/>
      <c r="Q26" s="1633"/>
      <c r="U26" s="2274"/>
      <c r="V26" s="2275"/>
      <c r="W26" s="2275"/>
      <c r="X26" s="2275"/>
      <c r="Y26" s="2276"/>
      <c r="Z26" s="2274"/>
      <c r="AA26" s="2275"/>
      <c r="AB26" s="2276"/>
    </row>
    <row r="27" spans="1:33" ht="20.100000000000001" customHeight="1" outlineLevel="1">
      <c r="B27" s="1647" t="s">
        <v>1377</v>
      </c>
      <c r="C27" s="1631"/>
      <c r="D27" s="1632"/>
      <c r="E27" s="1632"/>
      <c r="F27" s="1632"/>
      <c r="G27" s="1633"/>
      <c r="H27" s="1631"/>
      <c r="I27" s="1632"/>
      <c r="J27" s="1632"/>
      <c r="K27" s="1632"/>
      <c r="L27" s="1632"/>
      <c r="M27" s="1631"/>
      <c r="N27" s="1632"/>
      <c r="O27" s="1632"/>
      <c r="P27" s="1632"/>
      <c r="Q27" s="1633"/>
      <c r="U27" s="2274"/>
      <c r="V27" s="2275"/>
      <c r="W27" s="2275"/>
      <c r="X27" s="2275"/>
      <c r="Y27" s="2276"/>
      <c r="Z27" s="2274"/>
      <c r="AA27" s="2275"/>
      <c r="AB27" s="2276"/>
    </row>
    <row r="28" spans="1:33" ht="20.100000000000001" customHeight="1" outlineLevel="1">
      <c r="B28" s="1647" t="s">
        <v>1378</v>
      </c>
      <c r="C28" s="1631"/>
      <c r="D28" s="1632"/>
      <c r="E28" s="1632"/>
      <c r="F28" s="1632"/>
      <c r="G28" s="1633"/>
      <c r="H28" s="1631"/>
      <c r="I28" s="1632"/>
      <c r="J28" s="1632"/>
      <c r="K28" s="1632"/>
      <c r="L28" s="1632"/>
      <c r="M28" s="1631"/>
      <c r="N28" s="1632"/>
      <c r="O28" s="1632"/>
      <c r="P28" s="1632"/>
      <c r="Q28" s="1633"/>
      <c r="U28" s="2274"/>
      <c r="V28" s="2275"/>
      <c r="W28" s="2275"/>
      <c r="X28" s="2275"/>
      <c r="Y28" s="2276"/>
      <c r="Z28" s="2274"/>
      <c r="AA28" s="2275"/>
      <c r="AB28" s="2276"/>
    </row>
    <row r="29" spans="1:33" ht="20.100000000000001" customHeight="1" outlineLevel="1">
      <c r="B29" s="1647" t="s">
        <v>280</v>
      </c>
      <c r="C29" s="1631"/>
      <c r="D29" s="1632"/>
      <c r="E29" s="1632"/>
      <c r="F29" s="1632"/>
      <c r="G29" s="1633"/>
      <c r="H29" s="1631"/>
      <c r="I29" s="1632"/>
      <c r="J29" s="1632"/>
      <c r="K29" s="1632"/>
      <c r="L29" s="1632"/>
      <c r="M29" s="1631"/>
      <c r="N29" s="1632"/>
      <c r="O29" s="1632"/>
      <c r="P29" s="1632"/>
      <c r="Q29" s="1633"/>
      <c r="U29" s="2274"/>
      <c r="V29" s="2275"/>
      <c r="W29" s="2275"/>
      <c r="X29" s="2275"/>
      <c r="Y29" s="2276"/>
      <c r="Z29" s="2274"/>
      <c r="AA29" s="2275"/>
      <c r="AB29" s="2276"/>
    </row>
    <row r="30" spans="1:33" ht="20.100000000000001" customHeight="1" outlineLevel="1">
      <c r="B30" s="1647" t="s">
        <v>1379</v>
      </c>
      <c r="C30" s="1631"/>
      <c r="D30" s="1632"/>
      <c r="E30" s="1632"/>
      <c r="F30" s="1632"/>
      <c r="G30" s="1633"/>
      <c r="H30" s="1631"/>
      <c r="I30" s="1632"/>
      <c r="J30" s="1632"/>
      <c r="K30" s="1632"/>
      <c r="L30" s="1632"/>
      <c r="M30" s="1631"/>
      <c r="N30" s="1632"/>
      <c r="O30" s="1632"/>
      <c r="P30" s="1632"/>
      <c r="Q30" s="1633"/>
      <c r="U30" s="2274"/>
      <c r="V30" s="2275"/>
      <c r="W30" s="2275"/>
      <c r="X30" s="2275"/>
      <c r="Y30" s="2276"/>
      <c r="Z30" s="2274"/>
      <c r="AA30" s="2275"/>
      <c r="AB30" s="2276"/>
    </row>
    <row r="31" spans="1:33" ht="20.100000000000001" customHeight="1" outlineLevel="1">
      <c r="B31" s="1647" t="s">
        <v>1380</v>
      </c>
      <c r="C31" s="1631"/>
      <c r="D31" s="1632"/>
      <c r="E31" s="1632"/>
      <c r="F31" s="1632"/>
      <c r="G31" s="1633"/>
      <c r="H31" s="1631"/>
      <c r="I31" s="1632"/>
      <c r="J31" s="1632"/>
      <c r="K31" s="1632"/>
      <c r="L31" s="1632"/>
      <c r="M31" s="1631"/>
      <c r="N31" s="1632"/>
      <c r="O31" s="1632"/>
      <c r="P31" s="1632"/>
      <c r="Q31" s="1633"/>
      <c r="U31" s="2274"/>
      <c r="V31" s="2275"/>
      <c r="W31" s="2275"/>
      <c r="X31" s="2275"/>
      <c r="Y31" s="2276"/>
      <c r="Z31" s="2274"/>
      <c r="AA31" s="2275"/>
      <c r="AB31" s="2276"/>
    </row>
    <row r="32" spans="1:33" ht="20.100000000000001" customHeight="1" outlineLevel="1">
      <c r="B32" s="1647" t="s">
        <v>1381</v>
      </c>
      <c r="C32" s="1631"/>
      <c r="D32" s="1632"/>
      <c r="E32" s="1632"/>
      <c r="F32" s="1632"/>
      <c r="G32" s="1633"/>
      <c r="H32" s="1631"/>
      <c r="I32" s="1632"/>
      <c r="J32" s="1632"/>
      <c r="K32" s="1632"/>
      <c r="L32" s="1632"/>
      <c r="M32" s="1631"/>
      <c r="N32" s="1632"/>
      <c r="O32" s="1632"/>
      <c r="P32" s="1632"/>
      <c r="Q32" s="1633"/>
      <c r="U32" s="2274"/>
      <c r="V32" s="2275"/>
      <c r="W32" s="2275"/>
      <c r="X32" s="2275"/>
      <c r="Y32" s="2276"/>
      <c r="Z32" s="2274"/>
      <c r="AA32" s="2275"/>
      <c r="AB32" s="2276"/>
    </row>
    <row r="33" spans="2:28" ht="20.100000000000001" customHeight="1" outlineLevel="1">
      <c r="B33" s="1647" t="s">
        <v>1382</v>
      </c>
      <c r="C33" s="1631"/>
      <c r="D33" s="1632"/>
      <c r="E33" s="1632"/>
      <c r="F33" s="1632"/>
      <c r="G33" s="1633"/>
      <c r="H33" s="1631"/>
      <c r="I33" s="1632"/>
      <c r="J33" s="1632"/>
      <c r="K33" s="1632"/>
      <c r="L33" s="1632"/>
      <c r="M33" s="1631"/>
      <c r="N33" s="1632"/>
      <c r="O33" s="1632"/>
      <c r="P33" s="1632"/>
      <c r="Q33" s="1633"/>
      <c r="U33" s="2274"/>
      <c r="V33" s="2275"/>
      <c r="W33" s="2275"/>
      <c r="X33" s="2275"/>
      <c r="Y33" s="2276"/>
      <c r="Z33" s="2274"/>
      <c r="AA33" s="2275"/>
      <c r="AB33" s="2276"/>
    </row>
    <row r="34" spans="2:28" ht="20.100000000000001" customHeight="1" outlineLevel="1">
      <c r="B34" s="1647" t="s">
        <v>135</v>
      </c>
      <c r="C34" s="1631"/>
      <c r="D34" s="1632"/>
      <c r="E34" s="1632"/>
      <c r="F34" s="1632"/>
      <c r="G34" s="1633"/>
      <c r="H34" s="1631"/>
      <c r="I34" s="1632"/>
      <c r="J34" s="1632"/>
      <c r="K34" s="1632"/>
      <c r="L34" s="1632"/>
      <c r="M34" s="1631"/>
      <c r="N34" s="1632"/>
      <c r="O34" s="1632"/>
      <c r="P34" s="1632"/>
      <c r="Q34" s="1633"/>
      <c r="U34" s="2274"/>
      <c r="V34" s="2275"/>
      <c r="W34" s="2275"/>
      <c r="X34" s="2275"/>
      <c r="Y34" s="2276"/>
      <c r="Z34" s="2274"/>
      <c r="AA34" s="2275"/>
      <c r="AB34" s="2276"/>
    </row>
    <row r="35" spans="2:28" ht="20.100000000000001" customHeight="1" outlineLevel="1">
      <c r="B35" s="1647" t="s">
        <v>1383</v>
      </c>
      <c r="C35" s="1631"/>
      <c r="D35" s="1632"/>
      <c r="E35" s="1632"/>
      <c r="F35" s="1632"/>
      <c r="G35" s="1633"/>
      <c r="H35" s="1631"/>
      <c r="I35" s="1632"/>
      <c r="J35" s="1632"/>
      <c r="K35" s="1632"/>
      <c r="L35" s="1632"/>
      <c r="M35" s="1631"/>
      <c r="N35" s="1632"/>
      <c r="O35" s="1632"/>
      <c r="P35" s="1632"/>
      <c r="Q35" s="1633"/>
      <c r="U35" s="2274"/>
      <c r="V35" s="2275"/>
      <c r="W35" s="2275"/>
      <c r="X35" s="2275"/>
      <c r="Y35" s="2276"/>
      <c r="Z35" s="2274"/>
      <c r="AA35" s="2275"/>
      <c r="AB35" s="2276"/>
    </row>
    <row r="36" spans="2:28" ht="20.100000000000001" customHeight="1" outlineLevel="1">
      <c r="B36" s="1647" t="s">
        <v>1384</v>
      </c>
      <c r="C36" s="1631"/>
      <c r="D36" s="3283"/>
      <c r="E36" s="3283"/>
      <c r="F36" s="3283"/>
      <c r="G36" s="1633"/>
      <c r="H36" s="1631"/>
      <c r="I36" s="3283"/>
      <c r="J36" s="3283"/>
      <c r="K36" s="3283"/>
      <c r="L36" s="1632"/>
      <c r="M36" s="1631"/>
      <c r="N36" s="3283"/>
      <c r="O36" s="3283"/>
      <c r="P36" s="3283"/>
      <c r="Q36" s="1633"/>
      <c r="U36" s="2274"/>
      <c r="V36" s="2275"/>
      <c r="W36" s="2275"/>
      <c r="X36" s="2275"/>
      <c r="Y36" s="2276"/>
      <c r="Z36" s="2274"/>
      <c r="AA36" s="2275"/>
      <c r="AB36" s="2276"/>
    </row>
    <row r="37" spans="2:28" ht="20.100000000000001" customHeight="1" outlineLevel="1">
      <c r="B37" s="3275" t="s">
        <v>1400</v>
      </c>
      <c r="C37" s="3270">
        <f>SUM(C24:C36)</f>
        <v>0</v>
      </c>
      <c r="D37" s="3274">
        <f>SUM(D24:D36)</f>
        <v>0</v>
      </c>
      <c r="E37" s="3274">
        <f t="shared" ref="E37:P37" si="0">SUM(E24:E36)</f>
        <v>0</v>
      </c>
      <c r="F37" s="3274">
        <f>SUM(F24:F36)</f>
        <v>0</v>
      </c>
      <c r="G37" s="3272">
        <f t="shared" si="0"/>
        <v>0</v>
      </c>
      <c r="H37" s="3270">
        <f t="shared" si="0"/>
        <v>0</v>
      </c>
      <c r="I37" s="3274">
        <f t="shared" si="0"/>
        <v>0</v>
      </c>
      <c r="J37" s="3274">
        <f t="shared" si="0"/>
        <v>0</v>
      </c>
      <c r="K37" s="3274">
        <f t="shared" si="0"/>
        <v>0</v>
      </c>
      <c r="L37" s="3272">
        <f t="shared" si="0"/>
        <v>0</v>
      </c>
      <c r="M37" s="3270">
        <f t="shared" si="0"/>
        <v>0</v>
      </c>
      <c r="N37" s="3274">
        <f t="shared" si="0"/>
        <v>0</v>
      </c>
      <c r="O37" s="3274">
        <f t="shared" si="0"/>
        <v>0</v>
      </c>
      <c r="P37" s="3274">
        <f t="shared" si="0"/>
        <v>0</v>
      </c>
      <c r="Q37" s="3272">
        <f>SUM(Q24:Q36)</f>
        <v>0</v>
      </c>
      <c r="U37" s="2274"/>
      <c r="V37" s="2275"/>
      <c r="W37" s="2275"/>
      <c r="X37" s="2275"/>
      <c r="Y37" s="2276"/>
      <c r="Z37" s="2274"/>
      <c r="AA37" s="2275"/>
      <c r="AB37" s="2276"/>
    </row>
    <row r="38" spans="2:28" ht="20.100000000000001" customHeight="1" outlineLevel="1">
      <c r="B38" s="3269" t="s">
        <v>1385</v>
      </c>
      <c r="C38" s="3270"/>
      <c r="D38" s="3274"/>
      <c r="E38" s="3274"/>
      <c r="F38" s="3274"/>
      <c r="G38" s="3272"/>
      <c r="H38" s="3270"/>
      <c r="I38" s="3274"/>
      <c r="J38" s="3274"/>
      <c r="K38" s="3274"/>
      <c r="L38" s="3272"/>
      <c r="M38" s="3270"/>
      <c r="N38" s="3274"/>
      <c r="O38" s="3274"/>
      <c r="P38" s="3274"/>
      <c r="Q38" s="3272"/>
      <c r="U38" s="2274"/>
      <c r="V38" s="2275"/>
      <c r="W38" s="2275"/>
      <c r="X38" s="2275"/>
      <c r="Y38" s="2276"/>
      <c r="Z38" s="2274"/>
      <c r="AA38" s="2275"/>
      <c r="AB38" s="2276"/>
    </row>
    <row r="39" spans="2:28" ht="20.100000000000001" customHeight="1" outlineLevel="1">
      <c r="B39" s="1647" t="s">
        <v>1386</v>
      </c>
      <c r="C39" s="1631"/>
      <c r="D39" s="1632"/>
      <c r="E39" s="1632"/>
      <c r="F39" s="1632"/>
      <c r="G39" s="1633"/>
      <c r="H39" s="1631"/>
      <c r="I39" s="1632"/>
      <c r="J39" s="1632"/>
      <c r="K39" s="1632"/>
      <c r="L39" s="1632"/>
      <c r="M39" s="1631"/>
      <c r="N39" s="1632"/>
      <c r="O39" s="1632"/>
      <c r="P39" s="1632"/>
      <c r="Q39" s="1633"/>
      <c r="U39" s="2274"/>
      <c r="V39" s="2275"/>
      <c r="W39" s="2275"/>
      <c r="X39" s="2275"/>
      <c r="Y39" s="2276"/>
      <c r="Z39" s="2274"/>
      <c r="AA39" s="2275"/>
      <c r="AB39" s="2276"/>
    </row>
    <row r="40" spans="2:28" ht="20.100000000000001" customHeight="1" outlineLevel="1">
      <c r="B40" s="1647" t="s">
        <v>1387</v>
      </c>
      <c r="C40" s="1631"/>
      <c r="D40" s="1632"/>
      <c r="E40" s="1632"/>
      <c r="F40" s="1632"/>
      <c r="G40" s="1633"/>
      <c r="H40" s="1631"/>
      <c r="I40" s="1632"/>
      <c r="J40" s="1632"/>
      <c r="K40" s="1632"/>
      <c r="L40" s="1632"/>
      <c r="M40" s="1631"/>
      <c r="N40" s="1632"/>
      <c r="O40" s="1632"/>
      <c r="P40" s="1632"/>
      <c r="Q40" s="1633"/>
      <c r="U40" s="2274"/>
      <c r="V40" s="2275"/>
      <c r="W40" s="2275"/>
      <c r="X40" s="2275"/>
      <c r="Y40" s="2276"/>
      <c r="Z40" s="2274"/>
      <c r="AA40" s="2275"/>
      <c r="AB40" s="2276"/>
    </row>
    <row r="41" spans="2:28" ht="20.100000000000001" customHeight="1" outlineLevel="1">
      <c r="B41" s="1647" t="s">
        <v>60</v>
      </c>
      <c r="C41" s="1631"/>
      <c r="D41" s="1632"/>
      <c r="E41" s="1632"/>
      <c r="F41" s="1632"/>
      <c r="G41" s="1633"/>
      <c r="H41" s="1631"/>
      <c r="I41" s="1632"/>
      <c r="J41" s="1632"/>
      <c r="K41" s="1632"/>
      <c r="L41" s="1632"/>
      <c r="M41" s="1631"/>
      <c r="N41" s="1632"/>
      <c r="O41" s="1632"/>
      <c r="P41" s="1632"/>
      <c r="Q41" s="1633"/>
      <c r="U41" s="2274"/>
      <c r="V41" s="2275"/>
      <c r="W41" s="2275"/>
      <c r="X41" s="2275"/>
      <c r="Y41" s="2276"/>
      <c r="Z41" s="2274"/>
      <c r="AA41" s="2275"/>
      <c r="AB41" s="2276"/>
    </row>
    <row r="42" spans="2:28" ht="20.100000000000001" customHeight="1" outlineLevel="1">
      <c r="B42" s="1647" t="s">
        <v>1388</v>
      </c>
      <c r="C42" s="1631"/>
      <c r="D42" s="1632"/>
      <c r="E42" s="1632"/>
      <c r="F42" s="1632"/>
      <c r="G42" s="1633"/>
      <c r="H42" s="1631"/>
      <c r="I42" s="1632"/>
      <c r="J42" s="1632"/>
      <c r="K42" s="1632"/>
      <c r="L42" s="1632"/>
      <c r="M42" s="1631"/>
      <c r="N42" s="1632"/>
      <c r="O42" s="1632"/>
      <c r="P42" s="1632"/>
      <c r="Q42" s="1633"/>
      <c r="U42" s="2274"/>
      <c r="V42" s="2275"/>
      <c r="W42" s="2275"/>
      <c r="X42" s="2275"/>
      <c r="Y42" s="2276"/>
      <c r="Z42" s="2274"/>
      <c r="AA42" s="2275"/>
      <c r="AB42" s="2276"/>
    </row>
    <row r="43" spans="2:28" ht="20.100000000000001" customHeight="1" outlineLevel="1">
      <c r="B43" s="1647" t="s">
        <v>1389</v>
      </c>
      <c r="C43" s="1631"/>
      <c r="D43" s="1632"/>
      <c r="E43" s="1632"/>
      <c r="F43" s="1632"/>
      <c r="G43" s="1633"/>
      <c r="H43" s="1631"/>
      <c r="I43" s="1632"/>
      <c r="J43" s="1632"/>
      <c r="K43" s="1632"/>
      <c r="L43" s="1632"/>
      <c r="M43" s="1631"/>
      <c r="N43" s="1632"/>
      <c r="O43" s="1632"/>
      <c r="P43" s="1632"/>
      <c r="Q43" s="1633"/>
      <c r="U43" s="2274"/>
      <c r="V43" s="2275"/>
      <c r="W43" s="2275"/>
      <c r="X43" s="2275"/>
      <c r="Y43" s="2276"/>
      <c r="Z43" s="2274"/>
      <c r="AA43" s="2275"/>
      <c r="AB43" s="2276"/>
    </row>
    <row r="44" spans="2:28" ht="20.100000000000001" customHeight="1" outlineLevel="1">
      <c r="B44" s="1647" t="s">
        <v>61</v>
      </c>
      <c r="C44" s="1631"/>
      <c r="D44" s="1632"/>
      <c r="E44" s="1632"/>
      <c r="F44" s="1632"/>
      <c r="G44" s="1633"/>
      <c r="H44" s="1631"/>
      <c r="I44" s="1632"/>
      <c r="J44" s="1632"/>
      <c r="K44" s="1632"/>
      <c r="L44" s="1632"/>
      <c r="M44" s="1631"/>
      <c r="N44" s="1632"/>
      <c r="O44" s="1632"/>
      <c r="P44" s="1632"/>
      <c r="Q44" s="1633"/>
      <c r="U44" s="2274"/>
      <c r="V44" s="2275"/>
      <c r="W44" s="2275"/>
      <c r="X44" s="2275"/>
      <c r="Y44" s="2276"/>
      <c r="Z44" s="2274"/>
      <c r="AA44" s="2275"/>
      <c r="AB44" s="2276"/>
    </row>
    <row r="45" spans="2:28" ht="20.100000000000001" customHeight="1" outlineLevel="1">
      <c r="B45" s="1647" t="s">
        <v>1390</v>
      </c>
      <c r="C45" s="1631"/>
      <c r="D45" s="1632"/>
      <c r="E45" s="1632"/>
      <c r="F45" s="1632"/>
      <c r="G45" s="1633"/>
      <c r="H45" s="1631"/>
      <c r="I45" s="1632"/>
      <c r="J45" s="1632"/>
      <c r="K45" s="1632"/>
      <c r="L45" s="1632"/>
      <c r="M45" s="1631"/>
      <c r="N45" s="1632"/>
      <c r="O45" s="1632"/>
      <c r="P45" s="1632"/>
      <c r="Q45" s="1633"/>
      <c r="U45" s="2274"/>
      <c r="V45" s="2275"/>
      <c r="W45" s="2275"/>
      <c r="X45" s="2275"/>
      <c r="Y45" s="2276"/>
      <c r="Z45" s="2274"/>
      <c r="AA45" s="2275"/>
      <c r="AB45" s="2276"/>
    </row>
    <row r="46" spans="2:28" ht="20.100000000000001" customHeight="1" outlineLevel="1">
      <c r="B46" s="1647" t="s">
        <v>62</v>
      </c>
      <c r="C46" s="1631"/>
      <c r="D46" s="1632"/>
      <c r="E46" s="1632"/>
      <c r="F46" s="1632"/>
      <c r="G46" s="1633"/>
      <c r="H46" s="1631"/>
      <c r="I46" s="1632"/>
      <c r="J46" s="1632"/>
      <c r="K46" s="1632"/>
      <c r="L46" s="1632"/>
      <c r="M46" s="1631"/>
      <c r="N46" s="1632"/>
      <c r="O46" s="1632"/>
      <c r="P46" s="1632"/>
      <c r="Q46" s="1633"/>
      <c r="U46" s="2274"/>
      <c r="V46" s="2275"/>
      <c r="W46" s="2275"/>
      <c r="X46" s="2275"/>
      <c r="Y46" s="2276"/>
      <c r="Z46" s="2274"/>
      <c r="AA46" s="2275"/>
      <c r="AB46" s="2276"/>
    </row>
    <row r="47" spans="2:28" ht="20.100000000000001" customHeight="1" outlineLevel="1">
      <c r="B47" s="3273" t="s">
        <v>1391</v>
      </c>
      <c r="C47" s="3270">
        <f>SUM(C39:C46)</f>
        <v>0</v>
      </c>
      <c r="D47" s="3274">
        <f>SUM(D39:D46)</f>
        <v>0</v>
      </c>
      <c r="E47" s="3274">
        <f t="shared" ref="E47:F47" si="1">SUM(E39:E46)</f>
        <v>0</v>
      </c>
      <c r="F47" s="3274">
        <f t="shared" si="1"/>
        <v>0</v>
      </c>
      <c r="G47" s="3272">
        <f>SUM(G39:G46)</f>
        <v>0</v>
      </c>
      <c r="H47" s="3270">
        <f>SUM(H39:H46)</f>
        <v>0</v>
      </c>
      <c r="I47" s="3274">
        <f>SUM(I39:I46)</f>
        <v>0</v>
      </c>
      <c r="J47" s="3274">
        <f t="shared" ref="J47:K47" si="2">SUM(J39:J46)</f>
        <v>0</v>
      </c>
      <c r="K47" s="3274">
        <f t="shared" si="2"/>
        <v>0</v>
      </c>
      <c r="L47" s="3272">
        <f>SUM(L39:L46)</f>
        <v>0</v>
      </c>
      <c r="M47" s="3270">
        <f>SUM(M39:M46)</f>
        <v>0</v>
      </c>
      <c r="N47" s="3274">
        <f>SUM(N39:N46)</f>
        <v>0</v>
      </c>
      <c r="O47" s="3274">
        <f t="shared" ref="O47" si="3">SUM(O39:O46)</f>
        <v>0</v>
      </c>
      <c r="P47" s="3274">
        <f>SUM(P39:P46)</f>
        <v>0</v>
      </c>
      <c r="Q47" s="3272">
        <f>SUM(Q39:Q46)</f>
        <v>0</v>
      </c>
      <c r="U47" s="2274"/>
      <c r="V47" s="2275"/>
      <c r="W47" s="2275"/>
      <c r="X47" s="2275"/>
      <c r="Y47" s="2276"/>
      <c r="Z47" s="2274"/>
      <c r="AA47" s="2275"/>
      <c r="AB47" s="2276"/>
    </row>
    <row r="48" spans="2:28" ht="20.100000000000001" customHeight="1" outlineLevel="1" thickBot="1">
      <c r="B48" s="3279" t="s">
        <v>1399</v>
      </c>
      <c r="C48" s="1636">
        <f t="shared" ref="C48:Q48" si="4">C37+C47</f>
        <v>0</v>
      </c>
      <c r="D48" s="1637">
        <f t="shared" si="4"/>
        <v>0</v>
      </c>
      <c r="E48" s="1637">
        <f t="shared" si="4"/>
        <v>0</v>
      </c>
      <c r="F48" s="1637">
        <f t="shared" si="4"/>
        <v>0</v>
      </c>
      <c r="G48" s="1638">
        <f t="shared" si="4"/>
        <v>0</v>
      </c>
      <c r="H48" s="1636">
        <f t="shared" si="4"/>
        <v>0</v>
      </c>
      <c r="I48" s="1637">
        <f t="shared" si="4"/>
        <v>0</v>
      </c>
      <c r="J48" s="1637">
        <f t="shared" si="4"/>
        <v>0</v>
      </c>
      <c r="K48" s="1637">
        <f t="shared" si="4"/>
        <v>0</v>
      </c>
      <c r="L48" s="1638">
        <f t="shared" si="4"/>
        <v>0</v>
      </c>
      <c r="M48" s="1636">
        <f t="shared" si="4"/>
        <v>0</v>
      </c>
      <c r="N48" s="1637">
        <f t="shared" si="4"/>
        <v>0</v>
      </c>
      <c r="O48" s="1637">
        <f t="shared" si="4"/>
        <v>0</v>
      </c>
      <c r="P48" s="1637">
        <f t="shared" si="4"/>
        <v>0</v>
      </c>
      <c r="Q48" s="1638">
        <f t="shared" si="4"/>
        <v>0</v>
      </c>
      <c r="U48" s="2272">
        <f t="shared" ref="U48:AB48" si="5">SUM(U23:U47)</f>
        <v>0</v>
      </c>
      <c r="V48" s="1634">
        <f t="shared" si="5"/>
        <v>0</v>
      </c>
      <c r="W48" s="1634">
        <f t="shared" si="5"/>
        <v>0</v>
      </c>
      <c r="X48" s="1634">
        <f t="shared" si="5"/>
        <v>0</v>
      </c>
      <c r="Y48" s="1635">
        <f t="shared" si="5"/>
        <v>0</v>
      </c>
      <c r="Z48" s="2272">
        <f t="shared" si="5"/>
        <v>0</v>
      </c>
      <c r="AA48" s="1634">
        <f t="shared" si="5"/>
        <v>0</v>
      </c>
      <c r="AB48" s="1635">
        <f t="shared" si="5"/>
        <v>0</v>
      </c>
    </row>
    <row r="49" spans="1:33" ht="20.100000000000001" customHeight="1" outlineLevel="1" thickBot="1">
      <c r="B49" s="3276" t="s">
        <v>1405</v>
      </c>
      <c r="C49" s="3277"/>
      <c r="D49" s="3277"/>
      <c r="E49" s="3277"/>
      <c r="F49" s="3277"/>
      <c r="G49" s="3277"/>
      <c r="H49" s="3277"/>
      <c r="I49" s="3277"/>
      <c r="J49" s="3277"/>
      <c r="K49" s="3277"/>
      <c r="L49" s="3277"/>
      <c r="M49" s="3277"/>
      <c r="N49" s="3277"/>
      <c r="O49" s="3277"/>
      <c r="P49" s="3277"/>
      <c r="Q49" s="3278"/>
      <c r="U49" s="978" t="e">
        <f>#REF!+U48</f>
        <v>#REF!</v>
      </c>
      <c r="V49" s="974" t="e">
        <f>#REF!+V48</f>
        <v>#REF!</v>
      </c>
      <c r="W49" s="974" t="e">
        <f>#REF!+W48</f>
        <v>#REF!</v>
      </c>
      <c r="X49" s="974" t="e">
        <f>#REF!+X48</f>
        <v>#REF!</v>
      </c>
      <c r="Y49" s="979" t="e">
        <f>#REF!+Y48</f>
        <v>#REF!</v>
      </c>
      <c r="Z49" s="978" t="e">
        <f>#REF!+Z48</f>
        <v>#REF!</v>
      </c>
      <c r="AA49" s="974" t="e">
        <f>#REF!+AA48</f>
        <v>#REF!</v>
      </c>
      <c r="AB49" s="979" t="e">
        <f>#REF!+AB48</f>
        <v>#REF!</v>
      </c>
    </row>
    <row r="50" spans="1:33" s="138" customFormat="1" ht="21.75" customHeight="1">
      <c r="A50" s="529"/>
      <c r="B50" s="1647" t="s">
        <v>1394</v>
      </c>
      <c r="C50" s="976"/>
      <c r="D50" s="971"/>
      <c r="E50" s="971"/>
      <c r="F50" s="971"/>
      <c r="G50" s="977"/>
      <c r="H50" s="976"/>
      <c r="I50" s="971"/>
      <c r="J50" s="971"/>
      <c r="K50" s="971"/>
      <c r="L50" s="971"/>
      <c r="M50" s="976"/>
      <c r="N50" s="971"/>
      <c r="O50" s="971"/>
      <c r="P50" s="971"/>
      <c r="Q50" s="977"/>
      <c r="R50" s="1427"/>
      <c r="S50" s="1429"/>
      <c r="U50" s="2273"/>
      <c r="V50" s="1645"/>
      <c r="W50" s="1645"/>
      <c r="X50" s="1645"/>
      <c r="Y50" s="1645"/>
      <c r="Z50" s="1645"/>
      <c r="AA50" s="1645"/>
      <c r="AB50" s="1646"/>
    </row>
    <row r="51" spans="1:33" ht="20.100000000000001" customHeight="1" outlineLevel="1">
      <c r="B51" s="1647" t="s">
        <v>1395</v>
      </c>
      <c r="C51" s="1631"/>
      <c r="D51" s="1632"/>
      <c r="E51" s="1632"/>
      <c r="F51" s="1632"/>
      <c r="G51" s="1633"/>
      <c r="H51" s="976"/>
      <c r="I51" s="971"/>
      <c r="J51" s="971"/>
      <c r="K51" s="971"/>
      <c r="L51" s="971"/>
      <c r="M51" s="976"/>
      <c r="N51" s="971"/>
      <c r="O51" s="971"/>
      <c r="P51" s="971"/>
      <c r="Q51" s="977"/>
      <c r="U51" s="2248"/>
      <c r="V51" s="2249"/>
      <c r="W51" s="2249"/>
      <c r="X51" s="2249"/>
      <c r="Y51" s="2253"/>
      <c r="Z51" s="2248"/>
      <c r="AA51" s="2249"/>
      <c r="AB51" s="2253"/>
    </row>
    <row r="52" spans="1:33" ht="20.100000000000001" customHeight="1" outlineLevel="1">
      <c r="B52" s="1647" t="s">
        <v>1396</v>
      </c>
      <c r="C52" s="1631"/>
      <c r="D52" s="1632"/>
      <c r="E52" s="1632"/>
      <c r="F52" s="1632"/>
      <c r="G52" s="1633"/>
      <c r="H52" s="976"/>
      <c r="I52" s="971"/>
      <c r="J52" s="971"/>
      <c r="K52" s="971"/>
      <c r="L52" s="971"/>
      <c r="M52" s="976"/>
      <c r="N52" s="971"/>
      <c r="O52" s="971"/>
      <c r="P52" s="971"/>
      <c r="Q52" s="977"/>
      <c r="U52" s="1639"/>
      <c r="V52" s="1640"/>
      <c r="W52" s="1640"/>
      <c r="X52" s="1640"/>
      <c r="Y52" s="1641"/>
      <c r="Z52" s="2248"/>
      <c r="AA52" s="2249"/>
      <c r="AB52" s="2253"/>
    </row>
    <row r="53" spans="1:33" ht="20.100000000000001" customHeight="1" outlineLevel="1">
      <c r="B53" s="1647" t="s">
        <v>1397</v>
      </c>
      <c r="C53" s="1631"/>
      <c r="D53" s="1632"/>
      <c r="E53" s="1632"/>
      <c r="F53" s="1632"/>
      <c r="G53" s="1633"/>
      <c r="H53" s="976"/>
      <c r="I53" s="971"/>
      <c r="J53" s="971"/>
      <c r="K53" s="971"/>
      <c r="L53" s="971"/>
      <c r="M53" s="976"/>
      <c r="N53" s="971"/>
      <c r="O53" s="971"/>
      <c r="P53" s="971"/>
      <c r="Q53" s="977"/>
      <c r="U53" s="1639"/>
      <c r="V53" s="1640"/>
      <c r="W53" s="1640"/>
      <c r="X53" s="1640"/>
      <c r="Y53" s="1641"/>
      <c r="Z53" s="2248"/>
      <c r="AA53" s="2249"/>
      <c r="AB53" s="2253"/>
    </row>
    <row r="54" spans="1:33" ht="20.100000000000001" customHeight="1" outlineLevel="1" thickBot="1">
      <c r="B54" s="3287" t="s">
        <v>1392</v>
      </c>
      <c r="C54" s="3284">
        <f t="shared" ref="C54:Q54" si="6">SUM(C50:C53)</f>
        <v>0</v>
      </c>
      <c r="D54" s="3285">
        <f t="shared" si="6"/>
        <v>0</v>
      </c>
      <c r="E54" s="3285">
        <f t="shared" si="6"/>
        <v>0</v>
      </c>
      <c r="F54" s="3285">
        <f t="shared" si="6"/>
        <v>0</v>
      </c>
      <c r="G54" s="3286">
        <f t="shared" si="6"/>
        <v>0</v>
      </c>
      <c r="H54" s="3284">
        <f t="shared" si="6"/>
        <v>0</v>
      </c>
      <c r="I54" s="3285">
        <f t="shared" si="6"/>
        <v>0</v>
      </c>
      <c r="J54" s="3285">
        <f t="shared" si="6"/>
        <v>0</v>
      </c>
      <c r="K54" s="3285">
        <f t="shared" si="6"/>
        <v>0</v>
      </c>
      <c r="L54" s="3285">
        <f t="shared" si="6"/>
        <v>0</v>
      </c>
      <c r="M54" s="3284">
        <f t="shared" si="6"/>
        <v>0</v>
      </c>
      <c r="N54" s="3285">
        <f t="shared" si="6"/>
        <v>0</v>
      </c>
      <c r="O54" s="3285">
        <f t="shared" si="6"/>
        <v>0</v>
      </c>
      <c r="P54" s="3285">
        <f t="shared" si="6"/>
        <v>0</v>
      </c>
      <c r="Q54" s="3286">
        <f t="shared" si="6"/>
        <v>0</v>
      </c>
      <c r="U54" s="2248"/>
      <c r="V54" s="2249"/>
      <c r="W54" s="2249"/>
      <c r="X54" s="2249"/>
      <c r="Y54" s="2253"/>
      <c r="Z54" s="2248"/>
      <c r="AA54" s="2249"/>
      <c r="AB54" s="2253"/>
    </row>
    <row r="55" spans="1:33" ht="20.100000000000001" customHeight="1" thickBot="1">
      <c r="B55" s="3268" t="s">
        <v>1402</v>
      </c>
      <c r="C55" s="3288">
        <f t="shared" ref="C55:Q55" si="7">C54+C48</f>
        <v>0</v>
      </c>
      <c r="D55" s="3281">
        <f t="shared" si="7"/>
        <v>0</v>
      </c>
      <c r="E55" s="3281">
        <f t="shared" si="7"/>
        <v>0</v>
      </c>
      <c r="F55" s="3281">
        <f t="shared" si="7"/>
        <v>0</v>
      </c>
      <c r="G55" s="3282">
        <f t="shared" si="7"/>
        <v>0</v>
      </c>
      <c r="H55" s="3280">
        <f t="shared" si="7"/>
        <v>0</v>
      </c>
      <c r="I55" s="3281">
        <f t="shared" si="7"/>
        <v>0</v>
      </c>
      <c r="J55" s="3281">
        <f t="shared" si="7"/>
        <v>0</v>
      </c>
      <c r="K55" s="3281">
        <f t="shared" si="7"/>
        <v>0</v>
      </c>
      <c r="L55" s="3281">
        <f t="shared" si="7"/>
        <v>0</v>
      </c>
      <c r="M55" s="3280">
        <f t="shared" si="7"/>
        <v>0</v>
      </c>
      <c r="N55" s="3281">
        <f t="shared" si="7"/>
        <v>0</v>
      </c>
      <c r="O55" s="3281">
        <f t="shared" si="7"/>
        <v>0</v>
      </c>
      <c r="P55" s="3281">
        <f t="shared" si="7"/>
        <v>0</v>
      </c>
      <c r="Q55" s="3282">
        <f t="shared" si="7"/>
        <v>0</v>
      </c>
      <c r="U55" s="1473">
        <f t="shared" ref="U55:AB55" si="8">SUM(U51:U54)</f>
        <v>0</v>
      </c>
      <c r="V55" s="1474">
        <f t="shared" si="8"/>
        <v>0</v>
      </c>
      <c r="W55" s="1474">
        <f t="shared" si="8"/>
        <v>0</v>
      </c>
      <c r="X55" s="1474">
        <f t="shared" si="8"/>
        <v>0</v>
      </c>
      <c r="Y55" s="1475">
        <f t="shared" si="8"/>
        <v>0</v>
      </c>
      <c r="Z55" s="1473">
        <f t="shared" si="8"/>
        <v>0</v>
      </c>
      <c r="AA55" s="1474">
        <f t="shared" si="8"/>
        <v>0</v>
      </c>
      <c r="AB55" s="1475">
        <f t="shared" si="8"/>
        <v>0</v>
      </c>
    </row>
    <row r="56" spans="1:33" ht="30" customHeight="1" thickBot="1">
      <c r="B56" s="1861" t="s">
        <v>125</v>
      </c>
      <c r="C56" s="3962"/>
      <c r="D56" s="3962"/>
      <c r="E56" s="3962"/>
      <c r="F56" s="3962"/>
      <c r="G56" s="3962"/>
      <c r="H56" s="3962"/>
      <c r="I56" s="3962"/>
      <c r="J56" s="3962"/>
      <c r="K56" s="3962"/>
      <c r="L56" s="3962"/>
      <c r="M56" s="3962"/>
      <c r="N56" s="3962"/>
      <c r="O56" s="3962"/>
      <c r="P56" s="3962"/>
      <c r="Q56" s="3963"/>
      <c r="U56" s="1642" t="e">
        <f t="shared" ref="U56:AB56" si="9">U55+U49</f>
        <v>#REF!</v>
      </c>
      <c r="V56" s="1643" t="e">
        <f t="shared" si="9"/>
        <v>#REF!</v>
      </c>
      <c r="W56" s="1643" t="e">
        <f t="shared" si="9"/>
        <v>#REF!</v>
      </c>
      <c r="X56" s="1643" t="e">
        <f t="shared" si="9"/>
        <v>#REF!</v>
      </c>
      <c r="Y56" s="1644" t="e">
        <f t="shared" si="9"/>
        <v>#REF!</v>
      </c>
      <c r="Z56" s="1642" t="e">
        <f t="shared" si="9"/>
        <v>#REF!</v>
      </c>
      <c r="AA56" s="1643" t="e">
        <f t="shared" si="9"/>
        <v>#REF!</v>
      </c>
      <c r="AB56" s="1644" t="e">
        <f t="shared" si="9"/>
        <v>#REF!</v>
      </c>
    </row>
    <row r="57" spans="1:33" s="138" customFormat="1" ht="39" customHeight="1" thickBot="1">
      <c r="A57" s="1427"/>
      <c r="B57" s="1429"/>
      <c r="C57" s="1429"/>
      <c r="D57" s="1429"/>
      <c r="E57" s="1429"/>
      <c r="F57" s="1429"/>
      <c r="G57" s="1429"/>
      <c r="H57" s="1429"/>
      <c r="I57" s="1429"/>
      <c r="J57" s="1429"/>
      <c r="K57" s="1429"/>
      <c r="L57" s="1429"/>
      <c r="M57" s="1429"/>
      <c r="N57" s="1429"/>
      <c r="O57" s="1429"/>
      <c r="P57" s="1429"/>
      <c r="Q57" s="1429"/>
      <c r="R57" s="1427"/>
      <c r="S57" s="1427"/>
      <c r="T57" s="1427"/>
      <c r="U57" s="1427"/>
      <c r="V57" s="1427"/>
      <c r="W57" s="1427"/>
      <c r="X57" s="1427"/>
      <c r="Y57" s="1427"/>
      <c r="Z57" s="1427"/>
      <c r="AA57" s="1427"/>
      <c r="AB57" s="1427"/>
    </row>
    <row r="58" spans="1:33" s="73" customFormat="1" ht="16.5" customHeight="1">
      <c r="A58" s="1427"/>
      <c r="B58" s="3909"/>
      <c r="C58" s="3956" t="s">
        <v>36</v>
      </c>
      <c r="D58" s="3957"/>
      <c r="E58" s="3957"/>
      <c r="F58" s="3957"/>
      <c r="G58" s="3958"/>
      <c r="H58" s="3959" t="s">
        <v>37</v>
      </c>
      <c r="I58" s="3960"/>
      <c r="J58" s="3960"/>
      <c r="K58" s="3960"/>
      <c r="L58" s="3961"/>
      <c r="M58" s="1427"/>
      <c r="N58" s="1427"/>
      <c r="O58" s="1427"/>
      <c r="P58" s="1427"/>
      <c r="Q58" s="1427"/>
      <c r="R58" s="1427"/>
      <c r="S58" s="1427"/>
      <c r="T58" s="1427"/>
      <c r="U58" s="1427"/>
      <c r="V58" s="1427"/>
      <c r="W58" s="1427"/>
      <c r="X58" s="1427"/>
      <c r="Y58" s="1427"/>
      <c r="Z58" s="1427"/>
      <c r="AA58" s="1427"/>
      <c r="AB58" s="1427"/>
      <c r="AC58" s="1427"/>
      <c r="AD58" s="1427"/>
      <c r="AE58" s="1427"/>
      <c r="AF58" s="1427"/>
      <c r="AG58" s="1427"/>
    </row>
    <row r="59" spans="1:33" ht="15" customHeight="1">
      <c r="B59" s="3736"/>
      <c r="C59" s="3550" t="str">
        <f>CONCATENATE("$0's, real ",dms_DollarReal)</f>
        <v>$0's, real December 2017</v>
      </c>
      <c r="D59" s="3551"/>
      <c r="E59" s="3551"/>
      <c r="F59" s="3551"/>
      <c r="G59" s="3551"/>
      <c r="H59" s="3551"/>
      <c r="I59" s="3551"/>
      <c r="J59" s="3551"/>
      <c r="K59" s="3551"/>
      <c r="L59" s="3552"/>
      <c r="U59" s="1427"/>
    </row>
    <row r="60" spans="1:33" s="73" customFormat="1" ht="16.5" customHeight="1">
      <c r="A60" s="1427"/>
      <c r="B60" s="3736"/>
      <c r="C60" s="3550" t="s">
        <v>74</v>
      </c>
      <c r="D60" s="3551"/>
      <c r="E60" s="3551"/>
      <c r="F60" s="3551"/>
      <c r="G60" s="3551"/>
      <c r="H60" s="3551"/>
      <c r="I60" s="3551"/>
      <c r="J60" s="3551"/>
      <c r="K60" s="3551"/>
      <c r="L60" s="3552"/>
      <c r="M60" s="1427"/>
      <c r="N60" s="1427"/>
      <c r="O60" s="1427"/>
      <c r="P60" s="1427"/>
      <c r="Q60" s="1427"/>
      <c r="R60" s="1427"/>
      <c r="S60" s="1427"/>
      <c r="T60" s="1427"/>
      <c r="U60" s="1427"/>
      <c r="V60" s="1427"/>
      <c r="W60" s="1427"/>
      <c r="X60" s="1427"/>
      <c r="Y60" s="1427"/>
      <c r="Z60" s="1427"/>
      <c r="AA60" s="1427"/>
      <c r="AB60" s="1427"/>
      <c r="AC60" s="1427"/>
      <c r="AD60" s="1427"/>
    </row>
    <row r="61" spans="1:33" ht="12.75" customHeight="1" thickBot="1">
      <c r="B61" s="3955"/>
      <c r="C61" s="391">
        <f t="array" ref="C61:G61">PRCP</f>
        <v>2008</v>
      </c>
      <c r="D61" s="390">
        <v>2009</v>
      </c>
      <c r="E61" s="390">
        <v>2010</v>
      </c>
      <c r="F61" s="390">
        <v>2011</v>
      </c>
      <c r="G61" s="390">
        <v>2012</v>
      </c>
      <c r="H61" s="392">
        <f>CRCP_y1</f>
        <v>2013</v>
      </c>
      <c r="I61" s="392">
        <f>CRCP_y2</f>
        <v>2014</v>
      </c>
      <c r="J61" s="392">
        <f>CRCP_y3</f>
        <v>2015</v>
      </c>
      <c r="K61" s="392">
        <f>CRCP_y4</f>
        <v>2016</v>
      </c>
      <c r="L61" s="603">
        <f>CRCP_y5</f>
        <v>2017</v>
      </c>
      <c r="U61" s="1427"/>
    </row>
    <row r="62" spans="1:33" s="138" customFormat="1" ht="21.75" customHeight="1" thickBot="1">
      <c r="A62" s="529"/>
      <c r="B62" s="858" t="s">
        <v>554</v>
      </c>
      <c r="C62" s="1572"/>
      <c r="D62" s="1572"/>
      <c r="E62" s="1572"/>
      <c r="F62" s="1572"/>
      <c r="G62" s="1572"/>
      <c r="H62" s="1572"/>
      <c r="I62" s="1572"/>
      <c r="J62" s="1572"/>
      <c r="K62" s="1572"/>
      <c r="L62" s="1573"/>
      <c r="M62" s="1427"/>
      <c r="N62" s="1427"/>
      <c r="O62" s="1427"/>
      <c r="P62" s="1427"/>
      <c r="Q62" s="1427"/>
      <c r="R62" s="1427"/>
      <c r="S62" s="1429"/>
      <c r="U62" s="1427"/>
      <c r="V62" s="1427"/>
      <c r="W62" s="1427"/>
      <c r="X62" s="1427"/>
      <c r="Y62" s="1427"/>
      <c r="Z62" s="1427"/>
      <c r="AA62" s="1427"/>
      <c r="AB62" s="1427"/>
    </row>
    <row r="63" spans="1:33" s="138" customFormat="1" ht="21.75" customHeight="1">
      <c r="A63" s="529"/>
      <c r="B63" s="3276" t="s">
        <v>1403</v>
      </c>
      <c r="C63" s="3277"/>
      <c r="D63" s="3277"/>
      <c r="E63" s="3277"/>
      <c r="F63" s="3277"/>
      <c r="G63" s="3277"/>
      <c r="H63" s="3277"/>
      <c r="I63" s="3277"/>
      <c r="J63" s="3277"/>
      <c r="K63" s="3277"/>
      <c r="L63" s="3278"/>
      <c r="M63" s="1427"/>
      <c r="N63" s="1427"/>
      <c r="O63" s="1427"/>
      <c r="P63" s="1427"/>
      <c r="Q63" s="1427"/>
      <c r="R63" s="1427"/>
      <c r="S63" s="1429"/>
      <c r="U63" s="1427"/>
      <c r="V63" s="1427"/>
      <c r="W63" s="1427"/>
      <c r="X63" s="1427"/>
      <c r="Y63" s="1427"/>
      <c r="Z63" s="1427"/>
      <c r="AA63" s="1427"/>
      <c r="AB63" s="1427"/>
    </row>
    <row r="64" spans="1:33" ht="20.100000000000001" customHeight="1" outlineLevel="1">
      <c r="B64" s="3269" t="s">
        <v>1373</v>
      </c>
      <c r="C64" s="3270"/>
      <c r="D64" s="3271"/>
      <c r="E64" s="3271"/>
      <c r="F64" s="3271"/>
      <c r="G64" s="3272"/>
      <c r="H64" s="3270"/>
      <c r="I64" s="3271"/>
      <c r="J64" s="3271"/>
      <c r="K64" s="3271"/>
      <c r="L64" s="3272"/>
      <c r="U64" s="1427"/>
    </row>
    <row r="65" spans="1:28" ht="20.100000000000001" customHeight="1" outlineLevel="1">
      <c r="B65" s="1647" t="s">
        <v>1374</v>
      </c>
      <c r="C65" s="1631"/>
      <c r="D65" s="1632"/>
      <c r="E65" s="1632"/>
      <c r="F65" s="1632"/>
      <c r="G65" s="1633"/>
      <c r="H65" s="1631"/>
      <c r="I65" s="1632"/>
      <c r="J65" s="1632"/>
      <c r="K65" s="1632"/>
      <c r="L65" s="1633"/>
      <c r="U65" s="1427"/>
    </row>
    <row r="66" spans="1:28" ht="20.100000000000001" customHeight="1" outlineLevel="1">
      <c r="B66" s="1647" t="s">
        <v>1375</v>
      </c>
      <c r="C66" s="1631"/>
      <c r="D66" s="1632"/>
      <c r="E66" s="1632"/>
      <c r="F66" s="1632"/>
      <c r="G66" s="1633"/>
      <c r="H66" s="1631"/>
      <c r="I66" s="1632"/>
      <c r="J66" s="1632"/>
      <c r="K66" s="1632"/>
      <c r="L66" s="1633"/>
      <c r="U66" s="1427"/>
    </row>
    <row r="67" spans="1:28" ht="20.100000000000001" customHeight="1" outlineLevel="1">
      <c r="B67" s="1647" t="s">
        <v>1376</v>
      </c>
      <c r="C67" s="1631"/>
      <c r="D67" s="1632"/>
      <c r="E67" s="1632"/>
      <c r="F67" s="1632"/>
      <c r="G67" s="1633"/>
      <c r="H67" s="1631"/>
      <c r="I67" s="1632"/>
      <c r="J67" s="1632"/>
      <c r="K67" s="1632"/>
      <c r="L67" s="1633"/>
      <c r="U67" s="1427"/>
    </row>
    <row r="68" spans="1:28" ht="20.100000000000001" customHeight="1" outlineLevel="1">
      <c r="B68" s="1647" t="s">
        <v>1377</v>
      </c>
      <c r="C68" s="1631"/>
      <c r="D68" s="1632"/>
      <c r="E68" s="1632"/>
      <c r="F68" s="1632"/>
      <c r="G68" s="1633"/>
      <c r="H68" s="1631"/>
      <c r="I68" s="1632"/>
      <c r="J68" s="1632"/>
      <c r="K68" s="1632"/>
      <c r="L68" s="1633"/>
      <c r="U68" s="1427"/>
    </row>
    <row r="69" spans="1:28" ht="20.100000000000001" customHeight="1" outlineLevel="1">
      <c r="B69" s="1647" t="s">
        <v>1378</v>
      </c>
      <c r="C69" s="1631"/>
      <c r="D69" s="1632"/>
      <c r="E69" s="1632"/>
      <c r="F69" s="1632"/>
      <c r="G69" s="1633"/>
      <c r="H69" s="1631"/>
      <c r="I69" s="1632"/>
      <c r="J69" s="1632"/>
      <c r="K69" s="1632"/>
      <c r="L69" s="1633"/>
      <c r="U69" s="1427"/>
    </row>
    <row r="70" spans="1:28" ht="20.100000000000001" customHeight="1" outlineLevel="1">
      <c r="B70" s="1647" t="s">
        <v>280</v>
      </c>
      <c r="C70" s="1631"/>
      <c r="D70" s="1632"/>
      <c r="E70" s="1632"/>
      <c r="F70" s="1632"/>
      <c r="G70" s="1633"/>
      <c r="H70" s="1631"/>
      <c r="I70" s="1632"/>
      <c r="J70" s="1632"/>
      <c r="K70" s="1632"/>
      <c r="L70" s="1633"/>
      <c r="U70" s="1427"/>
    </row>
    <row r="71" spans="1:28" ht="20.100000000000001" customHeight="1" outlineLevel="1">
      <c r="B71" s="1647" t="s">
        <v>1379</v>
      </c>
      <c r="C71" s="1631"/>
      <c r="D71" s="1632"/>
      <c r="E71" s="1632"/>
      <c r="F71" s="1632"/>
      <c r="G71" s="1633"/>
      <c r="H71" s="1631"/>
      <c r="I71" s="1632"/>
      <c r="J71" s="1632"/>
      <c r="K71" s="1632"/>
      <c r="L71" s="1633"/>
      <c r="U71" s="1427"/>
    </row>
    <row r="72" spans="1:28" ht="20.100000000000001" customHeight="1" outlineLevel="1">
      <c r="B72" s="1647" t="s">
        <v>1380</v>
      </c>
      <c r="C72" s="1631"/>
      <c r="D72" s="1632"/>
      <c r="E72" s="1632"/>
      <c r="F72" s="1632"/>
      <c r="G72" s="1633"/>
      <c r="H72" s="1631"/>
      <c r="I72" s="1632"/>
      <c r="J72" s="1632"/>
      <c r="K72" s="1632"/>
      <c r="L72" s="1633"/>
      <c r="U72" s="1427"/>
    </row>
    <row r="73" spans="1:28" s="138" customFormat="1" ht="21.75" customHeight="1">
      <c r="A73" s="529"/>
      <c r="B73" s="1647" t="s">
        <v>1381</v>
      </c>
      <c r="C73" s="1631"/>
      <c r="D73" s="1632"/>
      <c r="E73" s="1632"/>
      <c r="F73" s="1632"/>
      <c r="G73" s="1633"/>
      <c r="H73" s="1631"/>
      <c r="I73" s="1632"/>
      <c r="J73" s="1632"/>
      <c r="K73" s="1632"/>
      <c r="L73" s="1633"/>
      <c r="M73" s="1427"/>
      <c r="N73" s="1427"/>
      <c r="O73" s="1427"/>
      <c r="P73" s="1427"/>
      <c r="Q73" s="1427"/>
      <c r="R73" s="1427"/>
      <c r="S73" s="1429"/>
      <c r="U73" s="1427"/>
      <c r="V73" s="1427"/>
      <c r="W73" s="1427"/>
      <c r="X73" s="1427"/>
      <c r="Y73" s="1427"/>
      <c r="Z73" s="1427"/>
      <c r="AA73" s="1427"/>
      <c r="AB73" s="1427"/>
    </row>
    <row r="74" spans="1:28" ht="20.100000000000001" customHeight="1" outlineLevel="1">
      <c r="B74" s="1647" t="s">
        <v>1382</v>
      </c>
      <c r="C74" s="1631"/>
      <c r="D74" s="1632"/>
      <c r="E74" s="1632"/>
      <c r="F74" s="1632"/>
      <c r="G74" s="1633"/>
      <c r="H74" s="1631"/>
      <c r="I74" s="1632"/>
      <c r="J74" s="1632"/>
      <c r="K74" s="1632"/>
      <c r="L74" s="1633"/>
      <c r="U74" s="1427"/>
    </row>
    <row r="75" spans="1:28" ht="20.100000000000001" customHeight="1" outlineLevel="1">
      <c r="B75" s="1647" t="s">
        <v>135</v>
      </c>
      <c r="C75" s="1631"/>
      <c r="D75" s="1632"/>
      <c r="E75" s="1632"/>
      <c r="F75" s="1632"/>
      <c r="G75" s="1633"/>
      <c r="H75" s="1631"/>
      <c r="I75" s="1632"/>
      <c r="J75" s="1632"/>
      <c r="K75" s="1632"/>
      <c r="L75" s="1633"/>
      <c r="U75" s="1427"/>
    </row>
    <row r="76" spans="1:28" ht="20.100000000000001" customHeight="1" outlineLevel="1">
      <c r="B76" s="1647" t="s">
        <v>1383</v>
      </c>
      <c r="C76" s="1631"/>
      <c r="D76" s="1632"/>
      <c r="E76" s="1632"/>
      <c r="F76" s="1632"/>
      <c r="G76" s="1633"/>
      <c r="H76" s="1631"/>
      <c r="I76" s="1632"/>
      <c r="J76" s="1632"/>
      <c r="K76" s="1632"/>
      <c r="L76" s="1633"/>
      <c r="U76" s="1427"/>
    </row>
    <row r="77" spans="1:28" ht="20.100000000000001" customHeight="1" outlineLevel="1">
      <c r="B77" s="1647" t="s">
        <v>1384</v>
      </c>
      <c r="C77" s="1631"/>
      <c r="D77" s="3283"/>
      <c r="E77" s="3283"/>
      <c r="F77" s="3283"/>
      <c r="G77" s="1633"/>
      <c r="H77" s="1631"/>
      <c r="I77" s="3283"/>
      <c r="J77" s="3283"/>
      <c r="K77" s="3283"/>
      <c r="L77" s="1633"/>
      <c r="U77" s="1427"/>
    </row>
    <row r="78" spans="1:28" ht="20.100000000000001" customHeight="1" outlineLevel="1">
      <c r="B78" s="3275" t="s">
        <v>1400</v>
      </c>
      <c r="C78" s="3270">
        <f>SUM(C65:C77)</f>
        <v>0</v>
      </c>
      <c r="D78" s="3274">
        <f>SUM(D65:D77)</f>
        <v>0</v>
      </c>
      <c r="E78" s="3274">
        <f t="shared" ref="E78" si="10">SUM(E65:E77)</f>
        <v>0</v>
      </c>
      <c r="F78" s="3274">
        <f>SUM(F65:F77)</f>
        <v>0</v>
      </c>
      <c r="G78" s="3272">
        <f t="shared" ref="G78:L78" si="11">SUM(G65:G77)</f>
        <v>0</v>
      </c>
      <c r="H78" s="3270">
        <f t="shared" si="11"/>
        <v>0</v>
      </c>
      <c r="I78" s="3274">
        <f t="shared" si="11"/>
        <v>0</v>
      </c>
      <c r="J78" s="3274">
        <f t="shared" si="11"/>
        <v>0</v>
      </c>
      <c r="K78" s="3274">
        <f t="shared" si="11"/>
        <v>0</v>
      </c>
      <c r="L78" s="3272">
        <f t="shared" si="11"/>
        <v>0</v>
      </c>
      <c r="U78" s="1427"/>
    </row>
    <row r="79" spans="1:28" ht="20.100000000000001" customHeight="1" outlineLevel="1">
      <c r="B79" s="3269" t="s">
        <v>1385</v>
      </c>
      <c r="C79" s="3270"/>
      <c r="D79" s="3274"/>
      <c r="E79" s="3274"/>
      <c r="F79" s="3274"/>
      <c r="G79" s="3272"/>
      <c r="H79" s="3270"/>
      <c r="I79" s="3274"/>
      <c r="J79" s="3274"/>
      <c r="K79" s="3274"/>
      <c r="L79" s="3272"/>
      <c r="U79" s="1427"/>
    </row>
    <row r="80" spans="1:28" ht="20.100000000000001" customHeight="1" outlineLevel="1">
      <c r="B80" s="1647" t="s">
        <v>1386</v>
      </c>
      <c r="C80" s="1631"/>
      <c r="D80" s="1632"/>
      <c r="E80" s="1632"/>
      <c r="F80" s="1632"/>
      <c r="G80" s="1633"/>
      <c r="H80" s="1631"/>
      <c r="I80" s="1632"/>
      <c r="J80" s="1632"/>
      <c r="K80" s="1632"/>
      <c r="L80" s="1633"/>
      <c r="U80" s="1427"/>
    </row>
    <row r="81" spans="2:21" ht="20.100000000000001" customHeight="1" outlineLevel="1">
      <c r="B81" s="1647" t="s">
        <v>1387</v>
      </c>
      <c r="C81" s="1631"/>
      <c r="D81" s="1632"/>
      <c r="E81" s="1632"/>
      <c r="F81" s="1632"/>
      <c r="G81" s="1633"/>
      <c r="H81" s="1631"/>
      <c r="I81" s="1632"/>
      <c r="J81" s="1632"/>
      <c r="K81" s="1632"/>
      <c r="L81" s="1633"/>
      <c r="U81" s="1427"/>
    </row>
    <row r="82" spans="2:21" ht="20.100000000000001" customHeight="1" outlineLevel="1">
      <c r="B82" s="1647" t="s">
        <v>60</v>
      </c>
      <c r="C82" s="1631"/>
      <c r="D82" s="1632"/>
      <c r="E82" s="1632"/>
      <c r="F82" s="1632"/>
      <c r="G82" s="1633"/>
      <c r="H82" s="1631"/>
      <c r="I82" s="1632"/>
      <c r="J82" s="1632"/>
      <c r="K82" s="1632"/>
      <c r="L82" s="1633"/>
      <c r="U82" s="1427"/>
    </row>
    <row r="83" spans="2:21" ht="20.100000000000001" customHeight="1" outlineLevel="1">
      <c r="B83" s="1647" t="s">
        <v>1388</v>
      </c>
      <c r="C83" s="1631"/>
      <c r="D83" s="1632"/>
      <c r="E83" s="1632"/>
      <c r="F83" s="1632"/>
      <c r="G83" s="1633"/>
      <c r="H83" s="1631"/>
      <c r="I83" s="1632"/>
      <c r="J83" s="1632"/>
      <c r="K83" s="1632"/>
      <c r="L83" s="1633"/>
      <c r="U83" s="1427"/>
    </row>
    <row r="84" spans="2:21" ht="20.100000000000001" customHeight="1" outlineLevel="1">
      <c r="B84" s="1647" t="s">
        <v>1389</v>
      </c>
      <c r="C84" s="1631"/>
      <c r="D84" s="1632"/>
      <c r="E84" s="1632"/>
      <c r="F84" s="1632"/>
      <c r="G84" s="1633"/>
      <c r="H84" s="1631"/>
      <c r="I84" s="1632"/>
      <c r="J84" s="1632"/>
      <c r="K84" s="1632"/>
      <c r="L84" s="1633"/>
      <c r="U84" s="1427"/>
    </row>
    <row r="85" spans="2:21" ht="20.100000000000001" customHeight="1" outlineLevel="1">
      <c r="B85" s="1647" t="s">
        <v>61</v>
      </c>
      <c r="C85" s="1631"/>
      <c r="D85" s="1632"/>
      <c r="E85" s="1632"/>
      <c r="F85" s="1632"/>
      <c r="G85" s="1633"/>
      <c r="H85" s="1631"/>
      <c r="I85" s="1632"/>
      <c r="J85" s="1632"/>
      <c r="K85" s="1632"/>
      <c r="L85" s="1633"/>
      <c r="U85" s="1427"/>
    </row>
    <row r="86" spans="2:21" ht="20.100000000000001" customHeight="1" outlineLevel="1">
      <c r="B86" s="1647" t="s">
        <v>1390</v>
      </c>
      <c r="C86" s="1631"/>
      <c r="D86" s="1632"/>
      <c r="E86" s="1632"/>
      <c r="F86" s="1632"/>
      <c r="G86" s="1633"/>
      <c r="H86" s="1631"/>
      <c r="I86" s="1632"/>
      <c r="J86" s="1632"/>
      <c r="K86" s="1632"/>
      <c r="L86" s="1633"/>
      <c r="U86" s="1427"/>
    </row>
    <row r="87" spans="2:21" ht="20.100000000000001" customHeight="1" outlineLevel="1">
      <c r="B87" s="1647" t="s">
        <v>62</v>
      </c>
      <c r="C87" s="1631"/>
      <c r="D87" s="1632"/>
      <c r="E87" s="1632"/>
      <c r="F87" s="1632"/>
      <c r="G87" s="1633"/>
      <c r="H87" s="1631"/>
      <c r="I87" s="1632"/>
      <c r="J87" s="1632"/>
      <c r="K87" s="1632"/>
      <c r="L87" s="1633"/>
      <c r="U87" s="1427"/>
    </row>
    <row r="88" spans="2:21" ht="20.100000000000001" customHeight="1" outlineLevel="1">
      <c r="B88" s="3273" t="s">
        <v>1391</v>
      </c>
      <c r="C88" s="3270">
        <f>SUM(C80:C87)</f>
        <v>0</v>
      </c>
      <c r="D88" s="3274">
        <f>SUM(D80:D87)</f>
        <v>0</v>
      </c>
      <c r="E88" s="3274">
        <f t="shared" ref="E88:F88" si="12">SUM(E80:E87)</f>
        <v>0</v>
      </c>
      <c r="F88" s="3274">
        <f t="shared" si="12"/>
        <v>0</v>
      </c>
      <c r="G88" s="3272">
        <f>SUM(G80:G87)</f>
        <v>0</v>
      </c>
      <c r="H88" s="3270">
        <f>SUM(H80:H87)</f>
        <v>0</v>
      </c>
      <c r="I88" s="3274">
        <f>SUM(I80:I87)</f>
        <v>0</v>
      </c>
      <c r="J88" s="3274">
        <f t="shared" ref="J88:K88" si="13">SUM(J80:J87)</f>
        <v>0</v>
      </c>
      <c r="K88" s="3274">
        <f t="shared" si="13"/>
        <v>0</v>
      </c>
      <c r="L88" s="3272">
        <f>SUM(L80:L87)</f>
        <v>0</v>
      </c>
      <c r="U88" s="1427"/>
    </row>
    <row r="89" spans="2:21" ht="20.100000000000001" customHeight="1" outlineLevel="1" thickBot="1">
      <c r="B89" s="3279" t="s">
        <v>1399</v>
      </c>
      <c r="C89" s="1636">
        <f t="shared" ref="C89:L89" si="14">C78+C88</f>
        <v>0</v>
      </c>
      <c r="D89" s="1637">
        <f t="shared" si="14"/>
        <v>0</v>
      </c>
      <c r="E89" s="1637">
        <f t="shared" si="14"/>
        <v>0</v>
      </c>
      <c r="F89" s="1637">
        <f t="shared" si="14"/>
        <v>0</v>
      </c>
      <c r="G89" s="1638">
        <f t="shared" si="14"/>
        <v>0</v>
      </c>
      <c r="H89" s="1636">
        <f t="shared" si="14"/>
        <v>0</v>
      </c>
      <c r="I89" s="1637">
        <f t="shared" si="14"/>
        <v>0</v>
      </c>
      <c r="J89" s="1637">
        <f t="shared" si="14"/>
        <v>0</v>
      </c>
      <c r="K89" s="1637">
        <f t="shared" si="14"/>
        <v>0</v>
      </c>
      <c r="L89" s="1638">
        <f t="shared" si="14"/>
        <v>0</v>
      </c>
      <c r="U89" s="1427"/>
    </row>
    <row r="90" spans="2:21" ht="20.100000000000001" customHeight="1" outlineLevel="1">
      <c r="B90" s="3276" t="s">
        <v>1406</v>
      </c>
      <c r="C90" s="3277"/>
      <c r="D90" s="3277"/>
      <c r="E90" s="3277"/>
      <c r="F90" s="3277"/>
      <c r="G90" s="3277"/>
      <c r="H90" s="3277"/>
      <c r="I90" s="3277"/>
      <c r="J90" s="3277"/>
      <c r="K90" s="3277"/>
      <c r="L90" s="3278"/>
      <c r="U90" s="1427"/>
    </row>
    <row r="91" spans="2:21" ht="20.100000000000001" customHeight="1" outlineLevel="1">
      <c r="B91" s="1647" t="s">
        <v>1394</v>
      </c>
      <c r="C91" s="976"/>
      <c r="D91" s="971"/>
      <c r="E91" s="971"/>
      <c r="F91" s="971"/>
      <c r="G91" s="977"/>
      <c r="H91" s="976"/>
      <c r="I91" s="971"/>
      <c r="J91" s="971"/>
      <c r="K91" s="971"/>
      <c r="L91" s="977"/>
      <c r="U91" s="1427"/>
    </row>
    <row r="92" spans="2:21" ht="20.100000000000001" customHeight="1" outlineLevel="1">
      <c r="B92" s="1647" t="s">
        <v>1395</v>
      </c>
      <c r="C92" s="1631"/>
      <c r="D92" s="1632"/>
      <c r="E92" s="1632"/>
      <c r="F92" s="1632"/>
      <c r="G92" s="1633"/>
      <c r="H92" s="976"/>
      <c r="I92" s="971"/>
      <c r="J92" s="971"/>
      <c r="K92" s="971"/>
      <c r="L92" s="977"/>
      <c r="U92" s="1427"/>
    </row>
    <row r="93" spans="2:21" ht="20.100000000000001" customHeight="1" outlineLevel="1">
      <c r="B93" s="1647" t="s">
        <v>1396</v>
      </c>
      <c r="C93" s="1631"/>
      <c r="D93" s="1632"/>
      <c r="E93" s="1632"/>
      <c r="F93" s="1632"/>
      <c r="G93" s="1633"/>
      <c r="H93" s="976"/>
      <c r="I93" s="971"/>
      <c r="J93" s="971"/>
      <c r="K93" s="971"/>
      <c r="L93" s="977"/>
      <c r="U93" s="1427"/>
    </row>
    <row r="94" spans="2:21" ht="20.100000000000001" customHeight="1" outlineLevel="1">
      <c r="B94" s="1647" t="s">
        <v>1397</v>
      </c>
      <c r="C94" s="1631"/>
      <c r="D94" s="1632"/>
      <c r="E94" s="1632"/>
      <c r="F94" s="1632"/>
      <c r="G94" s="1633"/>
      <c r="H94" s="976"/>
      <c r="I94" s="971"/>
      <c r="J94" s="971"/>
      <c r="K94" s="971"/>
      <c r="L94" s="977"/>
      <c r="U94" s="1427"/>
    </row>
    <row r="95" spans="2:21" ht="20.100000000000001" customHeight="1" outlineLevel="1" thickBot="1">
      <c r="B95" s="3287" t="s">
        <v>1392</v>
      </c>
      <c r="C95" s="3284">
        <f t="shared" ref="C95:L95" si="15">SUM(C91:C94)</f>
        <v>0</v>
      </c>
      <c r="D95" s="3285">
        <f t="shared" si="15"/>
        <v>0</v>
      </c>
      <c r="E95" s="3285">
        <f t="shared" si="15"/>
        <v>0</v>
      </c>
      <c r="F95" s="3285">
        <f t="shared" si="15"/>
        <v>0</v>
      </c>
      <c r="G95" s="3286">
        <f t="shared" si="15"/>
        <v>0</v>
      </c>
      <c r="H95" s="3284">
        <f t="shared" si="15"/>
        <v>0</v>
      </c>
      <c r="I95" s="3285">
        <f t="shared" si="15"/>
        <v>0</v>
      </c>
      <c r="J95" s="3285">
        <f t="shared" si="15"/>
        <v>0</v>
      </c>
      <c r="K95" s="3285">
        <f t="shared" si="15"/>
        <v>0</v>
      </c>
      <c r="L95" s="3286">
        <f t="shared" si="15"/>
        <v>0</v>
      </c>
      <c r="U95" s="1427"/>
    </row>
    <row r="96" spans="2:21" ht="20.100000000000001" customHeight="1" outlineLevel="1" thickBot="1">
      <c r="B96" s="3268" t="s">
        <v>1402</v>
      </c>
      <c r="C96" s="3288">
        <f t="shared" ref="C96:L96" si="16">C95+C89</f>
        <v>0</v>
      </c>
      <c r="D96" s="3281">
        <f t="shared" si="16"/>
        <v>0</v>
      </c>
      <c r="E96" s="3281">
        <f t="shared" si="16"/>
        <v>0</v>
      </c>
      <c r="F96" s="3281">
        <f t="shared" si="16"/>
        <v>0</v>
      </c>
      <c r="G96" s="3282">
        <f t="shared" si="16"/>
        <v>0</v>
      </c>
      <c r="H96" s="3280">
        <f t="shared" si="16"/>
        <v>0</v>
      </c>
      <c r="I96" s="3281">
        <f t="shared" si="16"/>
        <v>0</v>
      </c>
      <c r="J96" s="3281">
        <f t="shared" si="16"/>
        <v>0</v>
      </c>
      <c r="K96" s="3281">
        <f t="shared" si="16"/>
        <v>0</v>
      </c>
      <c r="L96" s="3282">
        <f t="shared" si="16"/>
        <v>0</v>
      </c>
      <c r="U96" s="1427"/>
    </row>
    <row r="97" spans="1:28" s="138" customFormat="1" ht="20.100000000000001" customHeight="1" thickBot="1">
      <c r="A97" s="1427"/>
      <c r="B97" s="3267" t="s">
        <v>125</v>
      </c>
      <c r="C97" s="748"/>
      <c r="D97" s="310"/>
      <c r="E97" s="310"/>
      <c r="F97" s="310"/>
      <c r="G97" s="310"/>
      <c r="H97" s="310"/>
      <c r="I97" s="310"/>
      <c r="J97" s="310"/>
      <c r="K97" s="310"/>
      <c r="L97" s="458"/>
      <c r="M97" s="1427"/>
      <c r="N97" s="1427"/>
      <c r="O97" s="1427"/>
      <c r="P97" s="1427"/>
      <c r="Q97" s="1427"/>
      <c r="R97" s="1427"/>
      <c r="S97" s="1427"/>
      <c r="T97" s="1427"/>
      <c r="U97" s="1427"/>
      <c r="V97" s="1427"/>
      <c r="W97" s="1427"/>
      <c r="X97" s="1427"/>
      <c r="Y97" s="1427"/>
      <c r="Z97" s="1427"/>
      <c r="AA97" s="1427"/>
      <c r="AB97" s="1427"/>
    </row>
    <row r="98" spans="1:28" ht="37.5" customHeight="1">
      <c r="B98" s="138"/>
      <c r="C98" s="120"/>
      <c r="D98" s="120"/>
      <c r="E98" s="120"/>
      <c r="F98" s="120"/>
      <c r="G98" s="120"/>
      <c r="H98" s="120"/>
      <c r="I98" s="980"/>
      <c r="J98" s="980"/>
      <c r="K98" s="980"/>
      <c r="L98" s="980"/>
      <c r="M98" s="1429"/>
      <c r="N98" s="1429"/>
      <c r="O98" s="1429"/>
      <c r="P98" s="1429"/>
      <c r="Q98" s="1429"/>
      <c r="U98" s="1427"/>
    </row>
    <row r="99" spans="1:28" ht="38.25" customHeight="1">
      <c r="B99" s="1427"/>
      <c r="C99" s="1429"/>
      <c r="D99" s="138"/>
      <c r="E99" s="138"/>
      <c r="F99" s="138"/>
      <c r="G99" s="138"/>
      <c r="H99" s="138"/>
      <c r="I99" s="138"/>
      <c r="J99" s="138"/>
      <c r="U99" s="1427"/>
    </row>
    <row r="100" spans="1:28" s="138" customFormat="1" ht="20.100000000000001" customHeight="1">
      <c r="A100" s="1427"/>
      <c r="B100" s="981"/>
      <c r="C100" s="981"/>
      <c r="D100" s="981"/>
      <c r="E100" s="981"/>
      <c r="F100" s="981"/>
      <c r="G100" s="981"/>
      <c r="H100" s="981"/>
      <c r="I100" s="981"/>
      <c r="J100" s="981"/>
      <c r="K100" s="1427"/>
      <c r="L100" s="1427"/>
      <c r="M100" s="1427"/>
      <c r="N100" s="1427"/>
      <c r="O100" s="1427"/>
      <c r="P100" s="1427"/>
      <c r="Q100" s="1427"/>
      <c r="R100" s="1427"/>
      <c r="S100" s="1427"/>
      <c r="T100" s="1427"/>
      <c r="U100" s="1427"/>
      <c r="V100" s="1427"/>
      <c r="W100" s="1427"/>
    </row>
    <row r="101" spans="1:28" s="138" customFormat="1" ht="21.75" customHeight="1">
      <c r="A101" s="1427"/>
      <c r="B101" s="981"/>
      <c r="C101" s="981"/>
      <c r="D101" s="981"/>
      <c r="E101" s="981"/>
      <c r="F101" s="981"/>
      <c r="G101" s="1429"/>
      <c r="H101" s="1429"/>
      <c r="I101" s="1429"/>
      <c r="J101" s="1429"/>
      <c r="N101" s="1427"/>
      <c r="O101" s="1427"/>
      <c r="P101" s="1427"/>
      <c r="Q101" s="1427"/>
      <c r="R101" s="1427"/>
      <c r="S101" s="1427"/>
      <c r="T101" s="1427"/>
      <c r="U101" s="1427"/>
    </row>
    <row r="102" spans="1:28" s="138" customFormat="1" ht="20.100000000000001" customHeight="1">
      <c r="A102" s="1427"/>
      <c r="B102" s="981"/>
      <c r="C102" s="981"/>
      <c r="D102" s="981"/>
      <c r="E102" s="981"/>
      <c r="F102" s="981"/>
      <c r="G102" s="1429"/>
      <c r="H102" s="1429"/>
      <c r="I102" s="1429"/>
      <c r="J102" s="1429"/>
      <c r="K102" s="1427"/>
      <c r="L102" s="1427"/>
      <c r="M102" s="1427"/>
      <c r="N102" s="1427"/>
      <c r="O102" s="1427"/>
      <c r="P102" s="1427"/>
      <c r="Q102" s="1427"/>
      <c r="R102" s="1427"/>
      <c r="S102" s="1427"/>
      <c r="T102" s="1427"/>
      <c r="U102" s="1427"/>
      <c r="V102" s="1427"/>
      <c r="W102" s="1427"/>
    </row>
    <row r="103" spans="1:28" s="138" customFormat="1" ht="20.100000000000001" customHeight="1">
      <c r="A103" s="1427"/>
      <c r="B103" s="1429"/>
      <c r="C103" s="981"/>
      <c r="D103" s="981"/>
      <c r="E103" s="981"/>
      <c r="F103" s="981"/>
      <c r="G103" s="1429"/>
      <c r="H103" s="1429"/>
      <c r="I103" s="1429"/>
      <c r="J103" s="1429"/>
      <c r="K103" s="1427"/>
      <c r="L103" s="1427"/>
      <c r="M103" s="1427"/>
      <c r="N103" s="1427"/>
      <c r="O103" s="1427"/>
      <c r="P103" s="1427"/>
      <c r="Q103" s="1427"/>
      <c r="R103" s="1427"/>
      <c r="S103" s="1427"/>
      <c r="T103" s="1427"/>
      <c r="U103" s="1427"/>
      <c r="V103" s="1427"/>
      <c r="W103" s="1427"/>
    </row>
    <row r="104" spans="1:28" ht="20.100000000000001" customHeight="1">
      <c r="B104" s="1115"/>
      <c r="C104" s="1115"/>
      <c r="D104" s="1115"/>
      <c r="E104" s="1115"/>
      <c r="F104" s="1429"/>
      <c r="G104" s="1429"/>
      <c r="H104" s="1429"/>
      <c r="I104" s="1429"/>
      <c r="J104" s="1429"/>
      <c r="U104" s="1427"/>
    </row>
    <row r="105" spans="1:28" ht="20.100000000000001" customHeight="1">
      <c r="B105" s="1115"/>
      <c r="C105" s="1115"/>
      <c r="D105" s="1115"/>
      <c r="E105" s="1115"/>
      <c r="F105" s="1429"/>
      <c r="G105" s="1429"/>
      <c r="H105" s="1429"/>
      <c r="I105" s="1429"/>
      <c r="J105" s="1429"/>
      <c r="U105" s="1427"/>
    </row>
    <row r="106" spans="1:28" ht="20.100000000000001" customHeight="1">
      <c r="B106" s="1115"/>
      <c r="C106" s="1115"/>
      <c r="D106" s="1115"/>
      <c r="E106" s="1115"/>
      <c r="F106" s="1429"/>
      <c r="G106" s="1429"/>
      <c r="H106" s="1429"/>
      <c r="I106" s="1429"/>
      <c r="J106" s="1429"/>
      <c r="U106" s="1427"/>
    </row>
    <row r="107" spans="1:28" ht="20.100000000000001" customHeight="1">
      <c r="B107" s="1115"/>
      <c r="C107" s="1115"/>
      <c r="D107" s="1115"/>
      <c r="E107" s="1115"/>
      <c r="F107" s="1429"/>
      <c r="G107" s="1429"/>
      <c r="H107" s="1429"/>
      <c r="I107" s="1429"/>
      <c r="J107" s="1429"/>
      <c r="U107" s="1427"/>
    </row>
    <row r="108" spans="1:28" ht="20.100000000000001" customHeight="1">
      <c r="B108" s="1115"/>
      <c r="C108" s="1115"/>
      <c r="D108" s="1115"/>
      <c r="E108" s="1115"/>
      <c r="F108" s="1429"/>
      <c r="G108" s="1429"/>
      <c r="H108" s="1429"/>
      <c r="I108" s="1429"/>
      <c r="J108" s="1429"/>
      <c r="U108" s="1427"/>
    </row>
    <row r="109" spans="1:28" ht="20.100000000000001" customHeight="1">
      <c r="B109" s="1115"/>
      <c r="C109" s="1115"/>
      <c r="D109" s="1115"/>
      <c r="E109" s="1115"/>
      <c r="F109" s="1429"/>
      <c r="G109" s="1429"/>
      <c r="H109" s="1429"/>
      <c r="I109" s="1429"/>
      <c r="J109" s="1429"/>
      <c r="U109" s="1427"/>
    </row>
    <row r="110" spans="1:28" ht="20.100000000000001" customHeight="1">
      <c r="B110" s="1115"/>
      <c r="C110" s="1115"/>
      <c r="D110" s="1115"/>
      <c r="E110" s="1115"/>
      <c r="F110" s="1429"/>
      <c r="G110" s="1429"/>
      <c r="H110" s="1429"/>
      <c r="I110" s="1429"/>
      <c r="J110" s="1429"/>
      <c r="U110" s="1427"/>
    </row>
    <row r="111" spans="1:28" ht="20.100000000000001" customHeight="1">
      <c r="B111" s="1115"/>
      <c r="C111" s="1115"/>
      <c r="D111" s="1115"/>
      <c r="E111" s="1115"/>
      <c r="F111" s="1429"/>
      <c r="G111" s="1429"/>
      <c r="H111" s="1429"/>
      <c r="I111" s="1429"/>
      <c r="J111" s="1429"/>
      <c r="U111" s="1427"/>
    </row>
    <row r="112" spans="1:28" ht="20.100000000000001" customHeight="1">
      <c r="A112" s="1429"/>
      <c r="B112" s="1115"/>
      <c r="C112" s="1115"/>
      <c r="D112" s="1115"/>
      <c r="E112" s="1115"/>
      <c r="F112" s="1429"/>
      <c r="G112" s="1429"/>
      <c r="H112" s="1429"/>
      <c r="I112" s="1429"/>
      <c r="J112" s="1429"/>
      <c r="U112" s="1427"/>
    </row>
    <row r="113" spans="1:21" ht="20.100000000000001" customHeight="1">
      <c r="A113" s="1429"/>
      <c r="B113" s="1115"/>
      <c r="C113" s="1115"/>
      <c r="D113" s="1115"/>
      <c r="E113" s="1115"/>
      <c r="F113" s="1429"/>
      <c r="G113" s="1429"/>
      <c r="H113" s="1429"/>
      <c r="I113" s="1429"/>
      <c r="J113" s="1429"/>
      <c r="U113" s="1427"/>
    </row>
    <row r="114" spans="1:21" ht="20.100000000000001" customHeight="1">
      <c r="A114" s="1429"/>
      <c r="B114" s="1115"/>
      <c r="C114" s="1115"/>
      <c r="D114" s="1115"/>
      <c r="E114" s="1115"/>
      <c r="F114" s="1429"/>
      <c r="G114" s="1429"/>
      <c r="H114" s="1429"/>
      <c r="I114" s="1429"/>
      <c r="J114" s="1429"/>
      <c r="U114" s="1427"/>
    </row>
    <row r="115" spans="1:21" ht="20.100000000000001" customHeight="1">
      <c r="A115" s="1429"/>
      <c r="B115" s="1115"/>
      <c r="C115" s="1115"/>
      <c r="D115" s="1115"/>
      <c r="E115" s="1115"/>
      <c r="F115" s="1429"/>
      <c r="G115" s="1429"/>
      <c r="H115" s="1429"/>
      <c r="I115" s="1429"/>
      <c r="J115" s="1429"/>
      <c r="U115" s="1427"/>
    </row>
    <row r="116" spans="1:21" ht="20.100000000000001" customHeight="1">
      <c r="A116" s="1115"/>
      <c r="B116" s="1115"/>
      <c r="C116" s="1115"/>
      <c r="D116" s="1115"/>
      <c r="E116" s="1115"/>
      <c r="F116" s="1429"/>
      <c r="G116" s="1429"/>
      <c r="H116" s="1429"/>
      <c r="I116" s="1429"/>
      <c r="J116" s="1429"/>
      <c r="U116" s="1427"/>
    </row>
    <row r="117" spans="1:21" ht="20.100000000000001" customHeight="1">
      <c r="A117" s="1115"/>
      <c r="B117" s="1429"/>
      <c r="C117" s="1429"/>
      <c r="D117" s="1429"/>
      <c r="E117" s="1429"/>
      <c r="F117" s="1429"/>
      <c r="G117" s="1429"/>
      <c r="H117" s="1429"/>
      <c r="I117" s="1429"/>
      <c r="J117" s="1429"/>
      <c r="U117" s="1427"/>
    </row>
    <row r="118" spans="1:21" ht="20.100000000000001" customHeight="1">
      <c r="A118" s="1429"/>
      <c r="B118" s="1433"/>
      <c r="C118" s="1433"/>
      <c r="D118" s="1433"/>
      <c r="E118" s="1433"/>
      <c r="F118" s="1433"/>
      <c r="U118" s="1427"/>
    </row>
    <row r="119" spans="1:21" ht="38.25" customHeight="1">
      <c r="B119" s="1433"/>
      <c r="C119" s="1433"/>
      <c r="D119" s="1433"/>
      <c r="E119" s="1433"/>
      <c r="F119" s="1433"/>
      <c r="N119" s="77"/>
      <c r="T119" s="1433"/>
      <c r="U119" s="1433"/>
    </row>
    <row r="120" spans="1:21" ht="20.100000000000001" customHeight="1">
      <c r="B120" s="1427"/>
      <c r="C120" s="1427"/>
      <c r="N120" s="77"/>
      <c r="T120" s="1433"/>
      <c r="U120" s="1433"/>
    </row>
    <row r="121" spans="1:21" ht="20.100000000000001" customHeight="1">
      <c r="B121" s="1427"/>
      <c r="C121" s="1427"/>
      <c r="N121" s="77"/>
      <c r="U121" s="1427"/>
    </row>
    <row r="122" spans="1:21" ht="20.100000000000001" customHeight="1">
      <c r="B122" s="1427"/>
      <c r="C122" s="1427"/>
      <c r="N122" s="77"/>
      <c r="U122" s="1427"/>
    </row>
  </sheetData>
  <mergeCells count="18">
    <mergeCell ref="U17:Y17"/>
    <mergeCell ref="Z17:AB17"/>
    <mergeCell ref="U18:AB18"/>
    <mergeCell ref="U19:AB19"/>
    <mergeCell ref="B17:B20"/>
    <mergeCell ref="C17:G17"/>
    <mergeCell ref="H17:L17"/>
    <mergeCell ref="M17:Q17"/>
    <mergeCell ref="C18:J18"/>
    <mergeCell ref="K18:Q18"/>
    <mergeCell ref="C19:J19"/>
    <mergeCell ref="K19:Q19"/>
    <mergeCell ref="C56:Q56"/>
    <mergeCell ref="B58:B61"/>
    <mergeCell ref="C58:G58"/>
    <mergeCell ref="H58:L58"/>
    <mergeCell ref="C59:L59"/>
    <mergeCell ref="C60:L60"/>
  </mergeCells>
  <pageMargins left="0.75" right="0.75" top="1" bottom="1" header="0.5" footer="0.5"/>
  <pageSetup paperSize="9" orientation="portrait" r:id="rId1"/>
  <headerFooter alignWithMargins="0"/>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AE63"/>
  <sheetViews>
    <sheetView showGridLines="0" zoomScale="85" zoomScaleNormal="85" workbookViewId="0"/>
  </sheetViews>
  <sheetFormatPr defaultColWidth="9.140625" defaultRowHeight="12.75"/>
  <cols>
    <col min="1" max="1" width="13.42578125" style="3052" customWidth="1"/>
    <col min="2" max="2" width="81.28515625" style="3344" bestFit="1" customWidth="1"/>
    <col min="3" max="3" width="35.5703125" style="3344" bestFit="1" customWidth="1"/>
    <col min="4" max="4" width="17.7109375" style="3052" customWidth="1"/>
    <col min="5" max="10" width="15.7109375" style="3052" customWidth="1"/>
    <col min="11" max="12" width="17.7109375" style="3052" customWidth="1"/>
    <col min="13" max="15" width="15.7109375" style="3052" customWidth="1"/>
    <col min="16" max="17" width="17.7109375" style="3052" customWidth="1"/>
    <col min="18" max="19" width="11.5703125" style="3052" bestFit="1" customWidth="1"/>
    <col min="20" max="23" width="9.140625" style="3052"/>
    <col min="24" max="24" width="15.28515625" style="3052" customWidth="1"/>
    <col min="25" max="31" width="8.7109375" style="3052" customWidth="1"/>
    <col min="32" max="16384" width="9.140625" style="3052"/>
  </cols>
  <sheetData>
    <row r="1" spans="1:31" s="3053" customFormat="1" ht="24.95" customHeight="1">
      <c r="B1" s="3050" t="s">
        <v>303</v>
      </c>
      <c r="C1" s="3307"/>
      <c r="D1" s="3307"/>
      <c r="E1" s="3307"/>
      <c r="F1" s="3307"/>
      <c r="G1" s="3307"/>
      <c r="H1" s="3307"/>
      <c r="I1" s="3307"/>
      <c r="J1" s="3052"/>
      <c r="K1" s="3052"/>
      <c r="L1" s="3052"/>
      <c r="M1" s="3052"/>
      <c r="N1" s="3052"/>
      <c r="O1" s="3052"/>
      <c r="P1" s="3052"/>
      <c r="Q1" s="3052"/>
      <c r="R1" s="3052"/>
      <c r="S1" s="3052"/>
      <c r="T1" s="3052"/>
      <c r="U1" s="3052"/>
      <c r="V1" s="3052"/>
      <c r="W1" s="3052"/>
      <c r="X1" s="3052"/>
      <c r="Y1" s="3052"/>
      <c r="Z1" s="3052"/>
      <c r="AA1" s="3052"/>
      <c r="AB1" s="3052"/>
      <c r="AC1" s="3052"/>
      <c r="AD1" s="3052"/>
      <c r="AE1" s="3052"/>
    </row>
    <row r="2" spans="1:31" s="3053" customFormat="1" ht="24.95" customHeight="1">
      <c r="B2" s="3054" t="s">
        <v>889</v>
      </c>
      <c r="C2" s="3054"/>
      <c r="D2" s="3054"/>
      <c r="E2" s="3054"/>
      <c r="F2" s="3054"/>
      <c r="G2" s="3054"/>
      <c r="H2" s="3054"/>
      <c r="I2" s="3054"/>
      <c r="J2" s="3052"/>
      <c r="K2" s="3052"/>
      <c r="L2" s="3052"/>
      <c r="M2" s="3052"/>
      <c r="N2" s="3052"/>
      <c r="O2" s="3052"/>
      <c r="P2" s="3052"/>
      <c r="Q2" s="3052"/>
      <c r="R2" s="3052"/>
      <c r="S2" s="3052"/>
      <c r="T2" s="3052"/>
      <c r="U2" s="3052"/>
      <c r="V2" s="3052"/>
      <c r="W2" s="3052"/>
      <c r="X2" s="3052"/>
      <c r="Y2" s="3052"/>
      <c r="Z2" s="3052"/>
      <c r="AA2" s="3052"/>
      <c r="AB2" s="3052"/>
      <c r="AC2" s="3052"/>
      <c r="AD2" s="3052"/>
      <c r="AE2" s="3052"/>
    </row>
    <row r="3" spans="1:31" s="3053" customFormat="1" ht="24.95" customHeight="1">
      <c r="B3" s="3054" t="s">
        <v>1553</v>
      </c>
      <c r="C3" s="3054"/>
      <c r="D3" s="3056"/>
      <c r="E3" s="3056"/>
      <c r="F3" s="3056"/>
      <c r="G3" s="3056"/>
      <c r="H3" s="3056"/>
      <c r="I3" s="3056"/>
      <c r="J3" s="3052"/>
      <c r="K3" s="3052"/>
      <c r="L3" s="3052"/>
      <c r="M3" s="3052"/>
      <c r="N3" s="3052"/>
      <c r="O3" s="3052"/>
      <c r="P3" s="3052"/>
      <c r="Q3" s="3052"/>
      <c r="R3" s="3052"/>
      <c r="S3" s="3052"/>
      <c r="T3" s="3052"/>
      <c r="U3" s="3052"/>
      <c r="V3" s="3052"/>
      <c r="W3" s="3052"/>
      <c r="X3" s="3052"/>
      <c r="Y3" s="3052"/>
      <c r="Z3" s="3052"/>
      <c r="AA3" s="3052"/>
      <c r="AB3" s="3052"/>
      <c r="AC3" s="3052"/>
      <c r="AD3" s="3052"/>
      <c r="AE3" s="3052"/>
    </row>
    <row r="4" spans="1:31" s="3053" customFormat="1" ht="24" customHeight="1">
      <c r="B4" s="3057" t="s">
        <v>1462</v>
      </c>
      <c r="C4" s="3057"/>
      <c r="D4" s="3308"/>
      <c r="E4" s="3308"/>
      <c r="F4" s="3308"/>
      <c r="G4" s="3308"/>
      <c r="H4" s="3308"/>
      <c r="I4" s="3308"/>
      <c r="J4" s="3052"/>
      <c r="K4" s="3052"/>
      <c r="L4" s="3052"/>
      <c r="M4" s="3052"/>
      <c r="N4" s="3052"/>
      <c r="O4" s="3052"/>
      <c r="P4" s="3052"/>
      <c r="Q4" s="3052"/>
      <c r="R4" s="3052"/>
      <c r="S4" s="3052"/>
      <c r="T4" s="3052"/>
      <c r="U4" s="3052"/>
      <c r="V4" s="3052"/>
      <c r="W4" s="3052"/>
      <c r="X4" s="3052"/>
      <c r="Y4" s="3052"/>
      <c r="Z4" s="3052"/>
      <c r="AA4" s="3052"/>
      <c r="AB4" s="3052"/>
      <c r="AC4" s="3052"/>
      <c r="AD4" s="3052"/>
      <c r="AE4" s="3052"/>
    </row>
    <row r="5" spans="1:31" ht="12.75" customHeight="1">
      <c r="A5" s="3309"/>
      <c r="B5" s="3309"/>
      <c r="C5" s="3309"/>
      <c r="D5" s="3309"/>
      <c r="E5" s="3309"/>
      <c r="F5" s="3309"/>
      <c r="G5" s="3309"/>
      <c r="H5" s="3309"/>
      <c r="I5" s="3309"/>
    </row>
    <row r="6" spans="1:31" ht="12.75" customHeight="1">
      <c r="A6" s="3309"/>
      <c r="B6" s="3309"/>
      <c r="C6" s="3309"/>
      <c r="D6" s="3309"/>
      <c r="E6" s="3309"/>
      <c r="F6" s="3309"/>
      <c r="G6" s="3309"/>
      <c r="H6" s="3309"/>
      <c r="I6" s="3309"/>
    </row>
    <row r="7" spans="1:31" s="3147" customFormat="1" ht="12.75" customHeight="1">
      <c r="A7" s="3309"/>
      <c r="B7" s="3310"/>
      <c r="C7" s="3310"/>
      <c r="D7" s="3310"/>
      <c r="E7" s="3310"/>
      <c r="F7" s="3310"/>
      <c r="G7" s="3310"/>
      <c r="H7" s="3310"/>
      <c r="I7" s="3310"/>
      <c r="J7" s="3052"/>
      <c r="K7" s="3052"/>
      <c r="L7" s="3052"/>
      <c r="M7" s="3052"/>
      <c r="N7" s="3052"/>
      <c r="O7" s="3052"/>
      <c r="P7" s="3052"/>
      <c r="Q7" s="3052"/>
      <c r="R7" s="3052"/>
      <c r="S7" s="3052"/>
      <c r="T7" s="3052"/>
      <c r="U7" s="3052"/>
      <c r="V7" s="3052"/>
      <c r="W7" s="3052"/>
      <c r="X7" s="3052"/>
      <c r="Y7" s="3052"/>
      <c r="Z7" s="3052"/>
      <c r="AA7" s="3052"/>
      <c r="AB7" s="3052"/>
      <c r="AC7" s="3052"/>
      <c r="AD7" s="3052"/>
      <c r="AE7" s="3052"/>
    </row>
    <row r="8" spans="1:31" s="3147" customFormat="1" ht="12.75" customHeight="1">
      <c r="A8" s="3309"/>
      <c r="B8" s="3311" t="s">
        <v>59</v>
      </c>
      <c r="C8" s="3311"/>
      <c r="D8" s="3310"/>
      <c r="E8" s="3310"/>
      <c r="F8" s="3310"/>
      <c r="G8" s="3310"/>
      <c r="H8" s="3310"/>
      <c r="I8" s="3310"/>
      <c r="J8" s="3052"/>
      <c r="K8" s="3052"/>
      <c r="L8" s="3052"/>
      <c r="M8" s="3052"/>
      <c r="N8" s="3052"/>
      <c r="O8" s="3052"/>
      <c r="P8" s="3052"/>
      <c r="Q8" s="3052"/>
      <c r="R8" s="3052"/>
      <c r="S8" s="3052"/>
      <c r="T8" s="3052"/>
      <c r="U8" s="3052"/>
      <c r="V8" s="3052"/>
      <c r="W8" s="3052"/>
      <c r="X8" s="3052"/>
      <c r="Y8" s="3052"/>
      <c r="Z8" s="3052"/>
      <c r="AA8" s="3052"/>
      <c r="AB8" s="3052"/>
      <c r="AC8" s="3052"/>
      <c r="AD8" s="3052"/>
      <c r="AE8" s="3052"/>
    </row>
    <row r="9" spans="1:31" s="3315" customFormat="1" ht="35.25" customHeight="1">
      <c r="A9" s="3312"/>
      <c r="B9" s="3313" t="s">
        <v>1554</v>
      </c>
      <c r="C9" s="3313"/>
      <c r="D9" s="3314"/>
      <c r="E9" s="3314"/>
      <c r="F9" s="3314"/>
      <c r="G9" s="3314"/>
      <c r="H9" s="3314"/>
      <c r="I9" s="3314"/>
      <c r="J9" s="3221"/>
      <c r="K9" s="3221"/>
      <c r="L9" s="3221"/>
      <c r="M9" s="3221"/>
      <c r="N9" s="3221"/>
      <c r="O9" s="3221"/>
      <c r="P9" s="3221"/>
      <c r="Q9" s="3221"/>
      <c r="R9" s="3221"/>
      <c r="S9" s="3221"/>
      <c r="T9" s="3221"/>
      <c r="U9" s="3221"/>
      <c r="V9" s="3221"/>
      <c r="W9" s="3221"/>
      <c r="X9" s="3221"/>
      <c r="Y9" s="3221"/>
      <c r="Z9" s="3221"/>
      <c r="AA9" s="3221"/>
      <c r="AB9" s="3221"/>
      <c r="AC9" s="3221"/>
      <c r="AD9" s="3221"/>
      <c r="AE9" s="3221"/>
    </row>
    <row r="10" spans="1:31" s="3315" customFormat="1" ht="40.5" customHeight="1">
      <c r="A10" s="3316"/>
      <c r="B10" s="3313" t="s">
        <v>489</v>
      </c>
      <c r="C10" s="3313"/>
      <c r="D10" s="3314"/>
      <c r="E10" s="3314"/>
      <c r="F10" s="3314"/>
      <c r="G10" s="3314"/>
      <c r="H10" s="3314"/>
      <c r="I10" s="3314"/>
      <c r="J10" s="3221"/>
      <c r="K10" s="3221"/>
      <c r="L10" s="3221"/>
      <c r="M10" s="3221"/>
      <c r="N10" s="3221"/>
      <c r="O10" s="3221"/>
      <c r="P10" s="3221"/>
      <c r="Q10" s="3221"/>
      <c r="R10" s="3221"/>
      <c r="S10" s="3221"/>
      <c r="T10" s="3221"/>
      <c r="U10" s="3221"/>
      <c r="V10" s="3221"/>
      <c r="W10" s="3221"/>
      <c r="X10" s="3221"/>
      <c r="Y10" s="3221"/>
      <c r="Z10" s="3221"/>
      <c r="AA10" s="3221"/>
      <c r="AB10" s="3221"/>
      <c r="AC10" s="3221"/>
      <c r="AD10" s="3221"/>
      <c r="AE10" s="3221"/>
    </row>
    <row r="11" spans="1:31" s="3315" customFormat="1" ht="13.5" customHeight="1">
      <c r="A11" s="3316"/>
      <c r="B11" s="3313" t="s">
        <v>80</v>
      </c>
      <c r="C11" s="3313"/>
      <c r="D11" s="3314"/>
      <c r="E11" s="3314"/>
      <c r="F11" s="3314"/>
      <c r="G11" s="3314"/>
      <c r="H11" s="3314"/>
      <c r="I11" s="3314"/>
      <c r="J11" s="3221"/>
      <c r="K11" s="3221"/>
      <c r="L11" s="3221"/>
      <c r="M11" s="3221"/>
      <c r="N11" s="3221"/>
      <c r="O11" s="3221"/>
      <c r="P11" s="3221"/>
      <c r="Q11" s="3221"/>
      <c r="R11" s="3221"/>
      <c r="S11" s="3221"/>
      <c r="T11" s="3221"/>
      <c r="U11" s="3221"/>
      <c r="V11" s="3221"/>
      <c r="W11" s="3221"/>
      <c r="X11" s="3221"/>
      <c r="Y11" s="3221"/>
      <c r="Z11" s="3221"/>
      <c r="AA11" s="3221"/>
      <c r="AB11" s="3221"/>
      <c r="AC11" s="3221"/>
      <c r="AD11" s="3221"/>
      <c r="AE11" s="3221"/>
    </row>
    <row r="12" spans="1:31" s="3147" customFormat="1" ht="14.25" customHeight="1">
      <c r="A12" s="3317"/>
      <c r="B12" s="3317"/>
      <c r="C12" s="3317"/>
      <c r="D12" s="3317"/>
      <c r="E12" s="3317"/>
      <c r="F12" s="3317"/>
      <c r="G12" s="3317"/>
      <c r="H12" s="3317"/>
      <c r="I12" s="3317"/>
      <c r="J12" s="3052"/>
      <c r="K12" s="3052"/>
      <c r="L12" s="3052"/>
      <c r="M12" s="3052"/>
      <c r="N12" s="3052"/>
      <c r="O12" s="3052"/>
      <c r="P12" s="3052"/>
      <c r="Q12" s="3052"/>
      <c r="R12" s="3052"/>
      <c r="S12" s="3052"/>
      <c r="T12" s="3052"/>
      <c r="U12" s="3052"/>
      <c r="V12" s="3052"/>
      <c r="W12" s="3052"/>
      <c r="X12" s="3052"/>
      <c r="Y12" s="3052"/>
      <c r="Z12" s="3052"/>
      <c r="AA12" s="3052"/>
      <c r="AB12" s="3052"/>
      <c r="AC12" s="3052"/>
      <c r="AD12" s="3052"/>
      <c r="AE12" s="3052"/>
    </row>
    <row r="13" spans="1:31" ht="37.5" customHeight="1" thickBot="1">
      <c r="A13" s="3309"/>
      <c r="B13" s="3052"/>
      <c r="C13" s="3052"/>
      <c r="D13" s="3309"/>
      <c r="E13" s="3309"/>
      <c r="F13" s="3309"/>
      <c r="G13" s="3309"/>
      <c r="H13" s="3309"/>
      <c r="I13" s="3309"/>
    </row>
    <row r="14" spans="1:31" ht="20.25" customHeight="1" thickBot="1">
      <c r="A14" s="3309"/>
      <c r="B14" s="3318" t="s">
        <v>555</v>
      </c>
      <c r="C14" s="3319"/>
      <c r="D14" s="3319"/>
      <c r="E14" s="3319"/>
      <c r="F14" s="3319"/>
      <c r="G14" s="3319"/>
      <c r="H14" s="3319"/>
      <c r="I14" s="3320"/>
    </row>
    <row r="15" spans="1:31" ht="25.5" customHeight="1" thickBot="1">
      <c r="A15" s="3309"/>
      <c r="B15" s="3321" t="s">
        <v>505</v>
      </c>
      <c r="C15" s="3322"/>
      <c r="D15" s="3322"/>
      <c r="E15" s="3322"/>
      <c r="F15" s="3322"/>
      <c r="G15" s="3322"/>
      <c r="H15" s="3322"/>
      <c r="I15" s="3323"/>
    </row>
    <row r="16" spans="1:31" ht="42" customHeight="1">
      <c r="A16" s="3309"/>
      <c r="B16" s="3973"/>
      <c r="C16" s="3982" t="s">
        <v>37</v>
      </c>
      <c r="D16" s="3983"/>
      <c r="E16" s="3965" t="s">
        <v>73</v>
      </c>
      <c r="F16" s="3965"/>
      <c r="G16" s="3965"/>
      <c r="H16" s="3965"/>
      <c r="I16" s="3966"/>
    </row>
    <row r="17" spans="1:29" ht="12.75" customHeight="1">
      <c r="A17" s="3309"/>
      <c r="B17" s="3974"/>
      <c r="C17" s="3976" t="s">
        <v>1552</v>
      </c>
      <c r="D17" s="3977"/>
      <c r="E17" s="3977"/>
      <c r="F17" s="3977"/>
      <c r="G17" s="3977"/>
      <c r="H17" s="3977"/>
      <c r="I17" s="3978"/>
    </row>
    <row r="18" spans="1:29" ht="12.75" customHeight="1">
      <c r="A18" s="3309"/>
      <c r="B18" s="3974"/>
      <c r="C18" s="3979" t="s">
        <v>55</v>
      </c>
      <c r="D18" s="3980"/>
      <c r="E18" s="3980"/>
      <c r="F18" s="3980"/>
      <c r="G18" s="3980"/>
      <c r="H18" s="3980"/>
      <c r="I18" s="3981"/>
    </row>
    <row r="19" spans="1:29" ht="13.5" customHeight="1" thickBot="1">
      <c r="A19" s="3309"/>
      <c r="B19" s="3975"/>
      <c r="C19" s="3324">
        <v>2016</v>
      </c>
      <c r="D19" s="3325">
        <v>2017</v>
      </c>
      <c r="E19" s="3326" t="s">
        <v>768</v>
      </c>
      <c r="F19" s="3326">
        <v>2019</v>
      </c>
      <c r="G19" s="3326">
        <v>2020</v>
      </c>
      <c r="H19" s="3326">
        <v>2021</v>
      </c>
      <c r="I19" s="3327">
        <v>2022</v>
      </c>
    </row>
    <row r="20" spans="1:29">
      <c r="A20" s="3309"/>
      <c r="B20" s="3328" t="s">
        <v>1450</v>
      </c>
      <c r="C20" s="3385"/>
      <c r="D20" s="3380"/>
      <c r="E20" s="3329"/>
      <c r="F20" s="3330"/>
      <c r="G20" s="3330"/>
      <c r="H20" s="3330"/>
      <c r="I20" s="3331"/>
    </row>
    <row r="21" spans="1:29">
      <c r="A21" s="3309"/>
      <c r="B21" s="3328" t="s">
        <v>1452</v>
      </c>
      <c r="C21" s="3378"/>
      <c r="D21" s="3381"/>
      <c r="E21" s="3332"/>
      <c r="F21" s="3333"/>
      <c r="G21" s="3333"/>
      <c r="H21" s="3333"/>
      <c r="I21" s="3334"/>
    </row>
    <row r="22" spans="1:29">
      <c r="A22" s="3309"/>
      <c r="B22" s="3328" t="s">
        <v>490</v>
      </c>
      <c r="C22" s="3378"/>
      <c r="D22" s="3381"/>
      <c r="E22" s="3332"/>
      <c r="F22" s="3333"/>
      <c r="G22" s="3333"/>
      <c r="H22" s="3333"/>
      <c r="I22" s="3334"/>
    </row>
    <row r="23" spans="1:29">
      <c r="A23" s="3309"/>
      <c r="B23" s="3328" t="s">
        <v>491</v>
      </c>
      <c r="C23" s="3378"/>
      <c r="D23" s="3381"/>
      <c r="E23" s="3332"/>
      <c r="F23" s="3333"/>
      <c r="G23" s="3333"/>
      <c r="H23" s="3333"/>
      <c r="I23" s="3334"/>
    </row>
    <row r="24" spans="1:29">
      <c r="A24" s="3309"/>
      <c r="B24" s="3328" t="s">
        <v>1451</v>
      </c>
      <c r="C24" s="3379"/>
      <c r="D24" s="3382"/>
      <c r="E24" s="3335"/>
      <c r="F24" s="3336"/>
      <c r="G24" s="3336"/>
      <c r="H24" s="3336"/>
      <c r="I24" s="3337"/>
    </row>
    <row r="25" spans="1:29" ht="13.5" thickBot="1">
      <c r="A25" s="3309"/>
      <c r="B25" s="3328" t="s">
        <v>1449</v>
      </c>
      <c r="C25" s="3379"/>
      <c r="D25" s="3383"/>
      <c r="E25" s="3338"/>
      <c r="F25" s="3339"/>
      <c r="G25" s="3339"/>
      <c r="H25" s="3339"/>
      <c r="I25" s="3340"/>
    </row>
    <row r="26" spans="1:29" ht="13.5" thickBot="1">
      <c r="A26" s="3309"/>
      <c r="B26" s="3341" t="s">
        <v>208</v>
      </c>
      <c r="C26" s="3386">
        <f>SUM(C20:C25)</f>
        <v>0</v>
      </c>
      <c r="D26" s="3384">
        <f>SUM(D20:D25)</f>
        <v>0</v>
      </c>
      <c r="E26" s="3342">
        <f t="shared" ref="E26:I26" si="0">SUM(E20:E25)</f>
        <v>0</v>
      </c>
      <c r="F26" s="3342">
        <f t="shared" si="0"/>
        <v>0</v>
      </c>
      <c r="G26" s="3342">
        <f t="shared" si="0"/>
        <v>0</v>
      </c>
      <c r="H26" s="3342">
        <f t="shared" si="0"/>
        <v>0</v>
      </c>
      <c r="I26" s="3343">
        <f t="shared" si="0"/>
        <v>0</v>
      </c>
    </row>
    <row r="27" spans="1:29" ht="13.5" thickBot="1"/>
    <row r="28" spans="1:29" ht="37.5" customHeight="1" thickBot="1">
      <c r="B28" s="3321" t="s">
        <v>1440</v>
      </c>
      <c r="C28" s="3322"/>
      <c r="D28" s="3345"/>
      <c r="E28" s="3345"/>
      <c r="F28" s="3345"/>
      <c r="G28" s="3345"/>
      <c r="H28" s="3345"/>
      <c r="I28" s="3346"/>
      <c r="K28" s="3309"/>
      <c r="L28" s="3147"/>
      <c r="M28" s="3147"/>
      <c r="N28" s="3147"/>
      <c r="O28" s="3147"/>
      <c r="P28" s="3147"/>
      <c r="Q28" s="3147"/>
      <c r="R28" s="3147"/>
    </row>
    <row r="29" spans="1:29" ht="38.25" customHeight="1">
      <c r="B29" s="3347"/>
      <c r="C29" s="3348"/>
      <c r="D29" s="3349"/>
      <c r="E29" s="3964" t="s">
        <v>73</v>
      </c>
      <c r="F29" s="3965"/>
      <c r="G29" s="3965"/>
      <c r="H29" s="3965"/>
      <c r="I29" s="3966"/>
      <c r="J29" s="3350"/>
      <c r="K29" s="3350"/>
      <c r="L29" s="3350"/>
      <c r="M29" s="3350"/>
      <c r="N29" s="3350"/>
      <c r="O29" s="3350"/>
      <c r="P29" s="3350"/>
      <c r="Q29" s="3350"/>
      <c r="R29" s="3350"/>
    </row>
    <row r="30" spans="1:29" s="3147" customFormat="1" ht="20.100000000000001" customHeight="1">
      <c r="A30" s="3052"/>
      <c r="B30" s="3351"/>
      <c r="C30" s="3352"/>
      <c r="D30" s="3353"/>
      <c r="E30" s="3967" t="s">
        <v>1552</v>
      </c>
      <c r="F30" s="3968"/>
      <c r="G30" s="3968"/>
      <c r="H30" s="3968"/>
      <c r="I30" s="3969"/>
      <c r="J30" s="3350"/>
      <c r="K30" s="3350"/>
      <c r="L30" s="3350"/>
      <c r="M30" s="3350"/>
      <c r="N30" s="3350"/>
      <c r="O30" s="3309"/>
      <c r="P30" s="3309"/>
      <c r="Q30" s="3309"/>
      <c r="R30" s="3309"/>
      <c r="S30" s="3052"/>
      <c r="T30" s="3052"/>
      <c r="U30" s="3052"/>
      <c r="V30" s="3052"/>
      <c r="W30" s="3052"/>
      <c r="X30" s="3052"/>
      <c r="Y30" s="3052"/>
      <c r="Z30" s="3052"/>
      <c r="AA30" s="3052"/>
      <c r="AB30" s="3052"/>
      <c r="AC30" s="3052"/>
    </row>
    <row r="31" spans="1:29" s="3147" customFormat="1" ht="21.75" customHeight="1">
      <c r="A31" s="3052"/>
      <c r="B31" s="3351"/>
      <c r="C31" s="3352"/>
      <c r="D31" s="3353"/>
      <c r="E31" s="3967" t="s">
        <v>55</v>
      </c>
      <c r="F31" s="3968"/>
      <c r="G31" s="3968"/>
      <c r="H31" s="3968"/>
      <c r="I31" s="3969"/>
      <c r="J31" s="3350"/>
      <c r="K31" s="3350"/>
      <c r="L31" s="3350"/>
      <c r="M31" s="3350"/>
      <c r="N31" s="3350"/>
      <c r="O31" s="3309"/>
      <c r="P31" s="3309"/>
      <c r="Q31" s="3309"/>
      <c r="R31" s="3309"/>
      <c r="V31" s="3052"/>
      <c r="W31" s="3052"/>
      <c r="X31" s="3052"/>
      <c r="Y31" s="3052"/>
      <c r="Z31" s="3052"/>
      <c r="AA31" s="3052"/>
      <c r="AB31" s="3052"/>
      <c r="AC31" s="3052"/>
    </row>
    <row r="32" spans="1:29" s="3147" customFormat="1" ht="20.100000000000001" customHeight="1" thickBot="1">
      <c r="A32" s="3052"/>
      <c r="B32" s="3354"/>
      <c r="C32" s="3355"/>
      <c r="D32" s="3356"/>
      <c r="E32" s="3357" t="s">
        <v>768</v>
      </c>
      <c r="F32" s="3358">
        <v>2019</v>
      </c>
      <c r="G32" s="3358">
        <v>2020</v>
      </c>
      <c r="H32" s="3358">
        <v>2021</v>
      </c>
      <c r="I32" s="3359">
        <v>2022</v>
      </c>
      <c r="J32" s="3309"/>
      <c r="K32" s="3350"/>
      <c r="L32" s="3350"/>
      <c r="M32" s="3350"/>
      <c r="N32" s="3350"/>
      <c r="O32" s="3309"/>
      <c r="P32" s="3309"/>
      <c r="Q32" s="3309"/>
      <c r="R32" s="3309"/>
      <c r="S32" s="3052"/>
      <c r="T32" s="3052"/>
      <c r="U32" s="3052"/>
      <c r="V32" s="3052"/>
      <c r="W32" s="3052"/>
      <c r="X32" s="3052"/>
      <c r="Y32" s="3052"/>
      <c r="Z32" s="3052"/>
      <c r="AA32" s="3052"/>
      <c r="AB32" s="3052"/>
      <c r="AC32" s="3052"/>
    </row>
    <row r="33" spans="1:29" s="3147" customFormat="1" ht="20.100000000000001" customHeight="1">
      <c r="A33" s="3052"/>
      <c r="B33" s="3360" t="s">
        <v>45</v>
      </c>
      <c r="C33" s="3361" t="s">
        <v>20</v>
      </c>
      <c r="D33" s="3361"/>
      <c r="E33" s="3362"/>
      <c r="F33" s="3363"/>
      <c r="G33" s="3363"/>
      <c r="H33" s="3363"/>
      <c r="I33" s="3364"/>
      <c r="J33" s="3350"/>
      <c r="K33" s="3350"/>
      <c r="L33" s="3350"/>
      <c r="M33" s="3350"/>
      <c r="N33" s="3309"/>
      <c r="O33" s="3309"/>
      <c r="P33" s="3309"/>
      <c r="Q33" s="3309"/>
      <c r="R33" s="3350"/>
      <c r="S33" s="3052"/>
      <c r="T33" s="3052"/>
      <c r="U33" s="3052"/>
      <c r="V33" s="3052"/>
      <c r="W33" s="3052"/>
      <c r="X33" s="3052"/>
      <c r="Y33" s="3052"/>
      <c r="Z33" s="3052"/>
      <c r="AA33" s="3052"/>
      <c r="AB33" s="3052"/>
      <c r="AC33" s="3052"/>
    </row>
    <row r="34" spans="1:29" s="3147" customFormat="1" ht="20.100000000000001" customHeight="1">
      <c r="A34" s="3052"/>
      <c r="B34" s="3365" t="s">
        <v>88</v>
      </c>
      <c r="C34" s="3366" t="s">
        <v>11</v>
      </c>
      <c r="D34" s="3367"/>
      <c r="E34" s="3368"/>
      <c r="F34" s="3369"/>
      <c r="G34" s="3369"/>
      <c r="H34" s="3369"/>
      <c r="I34" s="3370"/>
      <c r="J34" s="3317"/>
      <c r="K34" s="3317"/>
      <c r="L34" s="3317"/>
      <c r="M34" s="3317"/>
      <c r="N34" s="3309"/>
      <c r="O34" s="3309"/>
      <c r="P34" s="3309"/>
      <c r="Q34" s="3309"/>
      <c r="R34" s="3309"/>
      <c r="S34" s="3052"/>
      <c r="T34" s="3052"/>
      <c r="U34" s="3052"/>
      <c r="V34" s="3052"/>
      <c r="W34" s="3052"/>
      <c r="X34" s="3052"/>
      <c r="Y34" s="3052"/>
      <c r="Z34" s="3052"/>
      <c r="AA34" s="3052"/>
      <c r="AB34" s="3052"/>
      <c r="AC34" s="3052"/>
    </row>
    <row r="35" spans="1:29" ht="20.100000000000001" customHeight="1">
      <c r="B35" s="3365" t="s">
        <v>88</v>
      </c>
      <c r="C35" s="3366" t="s">
        <v>11</v>
      </c>
      <c r="D35" s="3367"/>
      <c r="E35" s="3368"/>
      <c r="F35" s="3369"/>
      <c r="G35" s="3369"/>
      <c r="H35" s="3369"/>
      <c r="I35" s="3370"/>
      <c r="J35" s="3317"/>
      <c r="K35" s="3317"/>
      <c r="L35" s="3317"/>
      <c r="M35" s="3317"/>
      <c r="N35" s="3309"/>
      <c r="O35" s="3309"/>
      <c r="P35" s="3309"/>
      <c r="Q35" s="3309"/>
      <c r="R35" s="3309"/>
    </row>
    <row r="36" spans="1:29" ht="20.100000000000001" customHeight="1">
      <c r="B36" s="3365" t="s">
        <v>88</v>
      </c>
      <c r="C36" s="3366" t="s">
        <v>11</v>
      </c>
      <c r="D36" s="3367"/>
      <c r="E36" s="3368"/>
      <c r="F36" s="3369"/>
      <c r="G36" s="3369"/>
      <c r="H36" s="3369"/>
      <c r="I36" s="3370"/>
      <c r="J36" s="3317"/>
      <c r="K36" s="3317"/>
      <c r="L36" s="3317"/>
      <c r="M36" s="3317"/>
      <c r="N36" s="3309"/>
      <c r="O36" s="3309"/>
      <c r="P36" s="3309"/>
      <c r="Q36" s="3309"/>
      <c r="R36" s="3309"/>
    </row>
    <row r="37" spans="1:29" ht="20.100000000000001" customHeight="1">
      <c r="B37" s="3365" t="s">
        <v>88</v>
      </c>
      <c r="C37" s="3366" t="s">
        <v>11</v>
      </c>
      <c r="D37" s="3367"/>
      <c r="E37" s="3368"/>
      <c r="F37" s="3369"/>
      <c r="G37" s="3369"/>
      <c r="H37" s="3369"/>
      <c r="I37" s="3370"/>
      <c r="J37" s="3317"/>
      <c r="K37" s="3317"/>
      <c r="L37" s="3317"/>
      <c r="M37" s="3317"/>
      <c r="N37" s="3309"/>
      <c r="O37" s="3309"/>
      <c r="P37" s="3309"/>
      <c r="Q37" s="3309"/>
      <c r="R37" s="3309"/>
    </row>
    <row r="38" spans="1:29" ht="20.100000000000001" customHeight="1">
      <c r="B38" s="3365" t="s">
        <v>88</v>
      </c>
      <c r="C38" s="3366" t="s">
        <v>11</v>
      </c>
      <c r="D38" s="3367"/>
      <c r="E38" s="3368"/>
      <c r="F38" s="3369"/>
      <c r="G38" s="3369"/>
      <c r="H38" s="3369"/>
      <c r="I38" s="3370"/>
      <c r="J38" s="3317"/>
      <c r="K38" s="3317"/>
      <c r="L38" s="3317"/>
      <c r="M38" s="3317"/>
      <c r="N38" s="3309"/>
      <c r="O38" s="3309"/>
      <c r="P38" s="3309"/>
      <c r="Q38" s="3309"/>
      <c r="R38" s="3309"/>
    </row>
    <row r="39" spans="1:29" ht="20.100000000000001" customHeight="1">
      <c r="B39" s="3365" t="s">
        <v>88</v>
      </c>
      <c r="C39" s="3366" t="s">
        <v>11</v>
      </c>
      <c r="D39" s="3367"/>
      <c r="E39" s="3368"/>
      <c r="F39" s="3369"/>
      <c r="G39" s="3369"/>
      <c r="H39" s="3369"/>
      <c r="I39" s="3370"/>
      <c r="J39" s="3317"/>
      <c r="K39" s="3317"/>
      <c r="L39" s="3317"/>
      <c r="M39" s="3317"/>
      <c r="N39" s="3309"/>
      <c r="O39" s="3309"/>
      <c r="P39" s="3309"/>
      <c r="Q39" s="3309"/>
      <c r="R39" s="3309"/>
    </row>
    <row r="40" spans="1:29" ht="20.100000000000001" customHeight="1">
      <c r="B40" s="3365" t="s">
        <v>88</v>
      </c>
      <c r="C40" s="3366" t="s">
        <v>11</v>
      </c>
      <c r="D40" s="3367"/>
      <c r="E40" s="3368"/>
      <c r="F40" s="3369"/>
      <c r="G40" s="3369"/>
      <c r="H40" s="3369"/>
      <c r="I40" s="3370"/>
      <c r="J40" s="3317"/>
      <c r="K40" s="3317"/>
      <c r="L40" s="3317"/>
      <c r="M40" s="3317"/>
      <c r="N40" s="3309"/>
      <c r="O40" s="3309"/>
      <c r="P40" s="3309"/>
      <c r="Q40" s="3309"/>
      <c r="R40" s="3309"/>
    </row>
    <row r="41" spans="1:29" ht="20.100000000000001" customHeight="1">
      <c r="B41" s="3365" t="s">
        <v>88</v>
      </c>
      <c r="C41" s="3366" t="s">
        <v>11</v>
      </c>
      <c r="D41" s="3367"/>
      <c r="E41" s="3368"/>
      <c r="F41" s="3369"/>
      <c r="G41" s="3369"/>
      <c r="H41" s="3369"/>
      <c r="I41" s="3370"/>
      <c r="J41" s="3317"/>
      <c r="K41" s="3317"/>
      <c r="L41" s="3317"/>
      <c r="M41" s="3317"/>
      <c r="N41" s="3309"/>
      <c r="O41" s="3309"/>
      <c r="P41" s="3309"/>
      <c r="Q41" s="3309"/>
      <c r="R41" s="3309"/>
    </row>
    <row r="42" spans="1:29" ht="20.100000000000001" customHeight="1">
      <c r="B42" s="3365" t="s">
        <v>88</v>
      </c>
      <c r="C42" s="3366" t="s">
        <v>11</v>
      </c>
      <c r="D42" s="3367"/>
      <c r="E42" s="3368"/>
      <c r="F42" s="3369"/>
      <c r="G42" s="3369"/>
      <c r="H42" s="3369"/>
      <c r="I42" s="3370"/>
      <c r="J42" s="3317"/>
      <c r="K42" s="3317"/>
      <c r="L42" s="3317"/>
      <c r="M42" s="3317"/>
      <c r="N42" s="3309"/>
      <c r="O42" s="3309"/>
      <c r="P42" s="3309"/>
      <c r="Q42" s="3309"/>
      <c r="R42" s="3309"/>
    </row>
    <row r="43" spans="1:29" ht="20.100000000000001" customHeight="1">
      <c r="A43" s="3309"/>
      <c r="B43" s="3365" t="s">
        <v>88</v>
      </c>
      <c r="C43" s="3366" t="s">
        <v>11</v>
      </c>
      <c r="D43" s="3367"/>
      <c r="E43" s="3368"/>
      <c r="F43" s="3369"/>
      <c r="G43" s="3369"/>
      <c r="H43" s="3369"/>
      <c r="I43" s="3370"/>
      <c r="J43" s="3317"/>
      <c r="K43" s="3317"/>
      <c r="L43" s="3317"/>
      <c r="M43" s="3317"/>
      <c r="N43" s="3309"/>
      <c r="O43" s="3309"/>
      <c r="P43" s="3309"/>
      <c r="Q43" s="3309"/>
      <c r="R43" s="3309"/>
    </row>
    <row r="44" spans="1:29" ht="20.100000000000001" customHeight="1">
      <c r="A44" s="3309"/>
      <c r="B44" s="3365" t="s">
        <v>88</v>
      </c>
      <c r="C44" s="3366" t="s">
        <v>11</v>
      </c>
      <c r="D44" s="3367"/>
      <c r="E44" s="3368"/>
      <c r="F44" s="3369"/>
      <c r="G44" s="3369"/>
      <c r="H44" s="3369"/>
      <c r="I44" s="3370"/>
      <c r="J44" s="3317"/>
      <c r="K44" s="3317"/>
      <c r="L44" s="3317"/>
      <c r="M44" s="3317"/>
      <c r="N44" s="3309"/>
      <c r="O44" s="3309"/>
      <c r="P44" s="3309"/>
      <c r="Q44" s="3309"/>
      <c r="R44" s="3309"/>
    </row>
    <row r="45" spans="1:29" ht="20.100000000000001" customHeight="1">
      <c r="A45" s="3309"/>
      <c r="B45" s="3365" t="s">
        <v>88</v>
      </c>
      <c r="C45" s="3366" t="s">
        <v>11</v>
      </c>
      <c r="D45" s="3367"/>
      <c r="E45" s="3368"/>
      <c r="F45" s="3369"/>
      <c r="G45" s="3369"/>
      <c r="H45" s="3369"/>
      <c r="I45" s="3370"/>
      <c r="J45" s="3317"/>
      <c r="K45" s="3317"/>
      <c r="L45" s="3317"/>
      <c r="M45" s="3317"/>
      <c r="N45" s="3309"/>
      <c r="O45" s="3309"/>
      <c r="P45" s="3309"/>
      <c r="Q45" s="3309"/>
      <c r="R45" s="3309"/>
    </row>
    <row r="46" spans="1:29" ht="20.100000000000001" customHeight="1" thickBot="1">
      <c r="A46" s="3309"/>
      <c r="B46" s="3371" t="s">
        <v>46</v>
      </c>
      <c r="C46" s="3372"/>
      <c r="D46" s="3372"/>
      <c r="E46" s="3373">
        <f>SUM(E34:E45)</f>
        <v>0</v>
      </c>
      <c r="F46" s="3374">
        <f>SUM(F34:F45)</f>
        <v>0</v>
      </c>
      <c r="G46" s="3374">
        <f>SUM(G34:G45)</f>
        <v>0</v>
      </c>
      <c r="H46" s="3374">
        <f>SUM(H34:H45)</f>
        <v>0</v>
      </c>
      <c r="I46" s="3375">
        <f>SUM(I34:I45)</f>
        <v>0</v>
      </c>
      <c r="J46" s="3317"/>
      <c r="K46" s="3317"/>
      <c r="L46" s="3317"/>
      <c r="M46" s="3317"/>
      <c r="N46" s="3309"/>
      <c r="O46" s="3309"/>
      <c r="P46" s="3309"/>
      <c r="Q46" s="3309"/>
      <c r="R46" s="3309"/>
    </row>
    <row r="47" spans="1:29" ht="20.100000000000001" customHeight="1" thickBot="1">
      <c r="A47" s="3317"/>
      <c r="B47" s="3376" t="s">
        <v>125</v>
      </c>
      <c r="C47" s="3377"/>
      <c r="D47" s="3377"/>
      <c r="E47" s="3970"/>
      <c r="F47" s="3971"/>
      <c r="G47" s="3971"/>
      <c r="H47" s="3971"/>
      <c r="I47" s="3972"/>
      <c r="J47" s="3309"/>
      <c r="K47" s="3309"/>
      <c r="L47" s="3309"/>
      <c r="M47" s="3309"/>
      <c r="N47" s="3309"/>
      <c r="O47" s="3309"/>
      <c r="P47" s="3309"/>
      <c r="Q47" s="3309"/>
      <c r="R47" s="3309"/>
    </row>
    <row r="48" spans="1:29" ht="13.5" thickBot="1"/>
    <row r="49" spans="2:9" ht="16.5" thickBot="1">
      <c r="B49" s="3321" t="s">
        <v>1445</v>
      </c>
      <c r="C49" s="3322"/>
      <c r="D49" s="3345"/>
      <c r="E49" s="3345"/>
      <c r="F49" s="3345"/>
      <c r="G49" s="3345"/>
      <c r="H49" s="3345"/>
      <c r="I49" s="3346"/>
    </row>
    <row r="50" spans="2:9" ht="20.25">
      <c r="B50" s="3347"/>
      <c r="C50" s="3348"/>
      <c r="D50" s="3349"/>
      <c r="E50" s="3964" t="s">
        <v>73</v>
      </c>
      <c r="F50" s="3965"/>
      <c r="G50" s="3965"/>
      <c r="H50" s="3965"/>
      <c r="I50" s="3966"/>
    </row>
    <row r="51" spans="2:9">
      <c r="B51" s="3351"/>
      <c r="C51" s="3352"/>
      <c r="D51" s="3353"/>
      <c r="E51" s="3967" t="s">
        <v>1552</v>
      </c>
      <c r="F51" s="3968"/>
      <c r="G51" s="3968"/>
      <c r="H51" s="3968"/>
      <c r="I51" s="3969"/>
    </row>
    <row r="52" spans="2:9">
      <c r="B52" s="3351"/>
      <c r="C52" s="3352"/>
      <c r="D52" s="3353"/>
      <c r="E52" s="3967" t="s">
        <v>55</v>
      </c>
      <c r="F52" s="3968"/>
      <c r="G52" s="3968"/>
      <c r="H52" s="3968"/>
      <c r="I52" s="3969"/>
    </row>
    <row r="53" spans="2:9" ht="21" thickBot="1">
      <c r="B53" s="3354"/>
      <c r="C53" s="3355"/>
      <c r="D53" s="3356"/>
      <c r="E53" s="3357" t="s">
        <v>768</v>
      </c>
      <c r="F53" s="3358">
        <v>2019</v>
      </c>
      <c r="G53" s="3358">
        <v>2020</v>
      </c>
      <c r="H53" s="3358">
        <v>2021</v>
      </c>
      <c r="I53" s="3359">
        <v>2022</v>
      </c>
    </row>
    <row r="54" spans="2:9">
      <c r="B54" s="3360" t="s">
        <v>1442</v>
      </c>
      <c r="C54" s="3361"/>
      <c r="D54" s="3361"/>
      <c r="E54" s="3362"/>
      <c r="F54" s="3363"/>
      <c r="G54" s="3363"/>
      <c r="H54" s="3363"/>
      <c r="I54" s="3364"/>
    </row>
    <row r="55" spans="2:9">
      <c r="B55" s="3387" t="s">
        <v>1443</v>
      </c>
      <c r="C55" s="3390"/>
      <c r="D55" s="3389"/>
      <c r="E55" s="3368"/>
      <c r="F55" s="3369"/>
      <c r="G55" s="3369"/>
      <c r="H55" s="3369"/>
      <c r="I55" s="3370"/>
    </row>
    <row r="56" spans="2:9">
      <c r="B56" s="3387" t="s">
        <v>1443</v>
      </c>
      <c r="C56" s="3390"/>
      <c r="D56" s="3389"/>
      <c r="E56" s="3368"/>
      <c r="F56" s="3369"/>
      <c r="G56" s="3369"/>
      <c r="H56" s="3369"/>
      <c r="I56" s="3370"/>
    </row>
    <row r="57" spans="2:9">
      <c r="B57" s="3387" t="s">
        <v>1443</v>
      </c>
      <c r="C57" s="3390"/>
      <c r="D57" s="3389"/>
      <c r="E57" s="3368"/>
      <c r="F57" s="3369"/>
      <c r="G57" s="3369"/>
      <c r="H57" s="3369"/>
      <c r="I57" s="3370"/>
    </row>
    <row r="58" spans="2:9">
      <c r="B58" s="3387" t="s">
        <v>1443</v>
      </c>
      <c r="C58" s="3390"/>
      <c r="D58" s="3389"/>
      <c r="E58" s="3368"/>
      <c r="F58" s="3369"/>
      <c r="G58" s="3369"/>
      <c r="H58" s="3369"/>
      <c r="I58" s="3370"/>
    </row>
    <row r="59" spans="2:9">
      <c r="B59" s="3387" t="s">
        <v>1443</v>
      </c>
      <c r="C59" s="3390"/>
      <c r="D59" s="3389"/>
      <c r="E59" s="3368"/>
      <c r="F59" s="3369"/>
      <c r="G59" s="3369"/>
      <c r="H59" s="3369"/>
      <c r="I59" s="3370"/>
    </row>
    <row r="60" spans="2:9">
      <c r="B60" s="3387" t="s">
        <v>1443</v>
      </c>
      <c r="C60" s="3390"/>
      <c r="D60" s="3389"/>
      <c r="E60" s="3368"/>
      <c r="F60" s="3369"/>
      <c r="G60" s="3369"/>
      <c r="H60" s="3369"/>
      <c r="I60" s="3370"/>
    </row>
    <row r="61" spans="2:9">
      <c r="B61" s="3387" t="s">
        <v>1443</v>
      </c>
      <c r="C61" s="3390"/>
      <c r="D61" s="3389"/>
      <c r="E61" s="3368"/>
      <c r="F61" s="3369"/>
      <c r="G61" s="3369"/>
      <c r="H61" s="3369"/>
      <c r="I61" s="3370"/>
    </row>
    <row r="62" spans="2:9" ht="13.5" thickBot="1">
      <c r="B62" s="3388" t="s">
        <v>1444</v>
      </c>
      <c r="C62" s="3391"/>
      <c r="D62" s="3389"/>
      <c r="E62" s="3373">
        <f>SUM(E55:E61)</f>
        <v>0</v>
      </c>
      <c r="F62" s="3374">
        <f>SUM(F55:F61)</f>
        <v>0</v>
      </c>
      <c r="G62" s="3374">
        <f>SUM(G55:G61)</f>
        <v>0</v>
      </c>
      <c r="H62" s="3374">
        <f>SUM(H55:H61)</f>
        <v>0</v>
      </c>
      <c r="I62" s="3375">
        <f>SUM(I55:I61)</f>
        <v>0</v>
      </c>
    </row>
    <row r="63" spans="2:9" ht="13.5" thickBot="1">
      <c r="B63" s="3376" t="s">
        <v>125</v>
      </c>
      <c r="C63" s="3377"/>
      <c r="D63" s="3377"/>
      <c r="E63" s="3970"/>
      <c r="F63" s="3971"/>
      <c r="G63" s="3971"/>
      <c r="H63" s="3971"/>
      <c r="I63" s="3972"/>
    </row>
  </sheetData>
  <mergeCells count="13">
    <mergeCell ref="E30:I30"/>
    <mergeCell ref="B16:B19"/>
    <mergeCell ref="E16:I16"/>
    <mergeCell ref="C17:I17"/>
    <mergeCell ref="C18:I18"/>
    <mergeCell ref="E29:I29"/>
    <mergeCell ref="C16:D16"/>
    <mergeCell ref="E50:I50"/>
    <mergeCell ref="E51:I51"/>
    <mergeCell ref="E52:I52"/>
    <mergeCell ref="E63:I63"/>
    <mergeCell ref="E31:I31"/>
    <mergeCell ref="E47:I47"/>
  </mergeCells>
  <dataValidations count="1">
    <dataValidation type="list" allowBlank="1" showInputMessage="1" showErrorMessage="1" sqref="C34:D45">
      <formula1>"yes,no,select"</formula1>
    </dataValidation>
  </dataValidations>
  <pageMargins left="0.75" right="0.75" top="1" bottom="1" header="0.5" footer="0.5"/>
  <pageSetup paperSize="9" orientation="portrait" r:id="rId1"/>
  <headerFooter alignWithMargins="0"/>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autoPageBreaks="0" fitToPage="1"/>
  </sheetPr>
  <dimension ref="A1:AH81"/>
  <sheetViews>
    <sheetView showGridLines="0" topLeftCell="B55" zoomScale="85" zoomScaleNormal="85" zoomScalePageLayoutView="85" workbookViewId="0"/>
  </sheetViews>
  <sheetFormatPr defaultColWidth="9.140625" defaultRowHeight="15"/>
  <cols>
    <col min="1" max="1" width="22.42578125" style="2370" hidden="1" customWidth="1"/>
    <col min="2" max="2" width="20.85546875" style="2379" customWidth="1"/>
    <col min="3" max="3" width="85.85546875" style="2374" customWidth="1"/>
    <col min="4" max="10" width="15.28515625" style="2374" customWidth="1"/>
    <col min="11" max="11" width="24.85546875" style="2374" customWidth="1"/>
    <col min="12" max="23" width="15.28515625" style="2374" customWidth="1"/>
    <col min="24" max="24" width="15.85546875" style="2374" customWidth="1"/>
    <col min="25" max="25" width="11" style="2331" bestFit="1" customWidth="1"/>
    <col min="26" max="26" width="10.5703125" style="2331" bestFit="1" customWidth="1"/>
    <col min="27" max="27" width="10.7109375" style="2331" bestFit="1" customWidth="1"/>
    <col min="28" max="28" width="11" style="2331" bestFit="1" customWidth="1"/>
    <col min="29" max="29" width="9.28515625" style="2331" customWidth="1"/>
    <col min="30" max="30" width="11" style="2331" bestFit="1" customWidth="1"/>
    <col min="31" max="32" width="10.5703125" style="2331" bestFit="1" customWidth="1"/>
    <col min="33" max="33" width="9.85546875" style="2331" customWidth="1"/>
    <col min="34" max="16384" width="9.140625" style="2374"/>
  </cols>
  <sheetData>
    <row r="1" spans="1:34" ht="22.5" customHeight="1">
      <c r="B1" s="2371"/>
      <c r="C1" s="3050" t="str">
        <f>IF(dms_DataQuality="backcast",INDEX(dms_Worksheet_List,MATCH(dms_Model,dms_Model_List))&amp;" BACKCAST",INDEX(dms_Worksheet_List,MATCH(dms_Model,dms_Model_List)))</f>
        <v>REGULATORY REPORTING STATEMENT</v>
      </c>
      <c r="D1" s="2333"/>
      <c r="E1" s="2333"/>
      <c r="F1" s="2333"/>
      <c r="G1" s="2333"/>
      <c r="H1" s="2333"/>
      <c r="I1" s="2372"/>
      <c r="J1" s="2372"/>
      <c r="K1" s="2372"/>
      <c r="L1" s="2372"/>
      <c r="M1" s="2372"/>
      <c r="N1" s="2372"/>
      <c r="O1" s="2372"/>
      <c r="P1" s="2372"/>
      <c r="Q1" s="2372"/>
      <c r="R1" s="2372"/>
      <c r="S1" s="2372"/>
      <c r="T1" s="2372"/>
      <c r="U1" s="2372"/>
      <c r="V1" s="2372"/>
      <c r="W1" s="2372"/>
      <c r="X1" s="2372"/>
      <c r="AH1" s="2373"/>
    </row>
    <row r="2" spans="1:34" ht="24" customHeight="1">
      <c r="B2" s="2371"/>
      <c r="C2" s="3054" t="str">
        <f>INDEX(dms_TradingNameFull_List,MATCH(dms_TradingName,dms_TradingName_List))</f>
        <v>AusNet Gas Services</v>
      </c>
      <c r="D2" s="2332"/>
      <c r="E2" s="2332"/>
      <c r="F2" s="2332"/>
      <c r="G2" s="2332"/>
      <c r="H2" s="2332"/>
      <c r="I2" s="2372"/>
      <c r="J2" s="2372"/>
      <c r="K2" s="2372"/>
      <c r="L2" s="2372"/>
      <c r="M2" s="2372"/>
      <c r="N2" s="2372"/>
      <c r="O2" s="2372"/>
      <c r="P2" s="2372"/>
      <c r="Q2" s="2372"/>
      <c r="R2" s="2372"/>
      <c r="S2" s="2372"/>
      <c r="T2" s="2372"/>
      <c r="U2" s="2372"/>
      <c r="V2" s="2372"/>
      <c r="W2" s="2372"/>
      <c r="X2" s="2372"/>
      <c r="AH2" s="2373"/>
    </row>
    <row r="3" spans="1:34" ht="27" customHeight="1">
      <c r="B3" s="2371"/>
      <c r="C3" s="3054" t="str">
        <f ca="1">IF(SUM(dms_SingleYear_Model)&gt;0,CRY,CONCATENATE(FRCP_y1," to ",dms_MultiYear_FinalYear_Result))</f>
        <v>2018 to 2022</v>
      </c>
      <c r="D3" s="2333"/>
      <c r="E3" s="2333"/>
      <c r="F3" s="2333"/>
      <c r="G3" s="2333"/>
      <c r="H3" s="2333"/>
      <c r="I3" s="2372"/>
      <c r="J3" s="2372"/>
      <c r="K3" s="2372"/>
      <c r="L3" s="2372"/>
      <c r="M3" s="2372"/>
      <c r="N3" s="2372"/>
      <c r="O3" s="2372"/>
      <c r="P3" s="2372"/>
      <c r="Q3" s="2372"/>
      <c r="R3" s="2372"/>
      <c r="S3" s="2372"/>
      <c r="T3" s="2372"/>
      <c r="U3" s="2372"/>
      <c r="V3" s="2372"/>
      <c r="W3" s="2372"/>
      <c r="X3" s="2372"/>
      <c r="AH3" s="2373"/>
    </row>
    <row r="4" spans="1:34" s="2334" customFormat="1" ht="24" customHeight="1">
      <c r="B4" s="2331"/>
      <c r="C4" s="2375" t="s">
        <v>1426</v>
      </c>
      <c r="D4" s="2375"/>
      <c r="E4" s="2375"/>
      <c r="F4" s="2375"/>
      <c r="G4" s="2375"/>
      <c r="H4" s="2375"/>
      <c r="I4" s="2375"/>
      <c r="J4" s="2375"/>
      <c r="K4" s="2375"/>
      <c r="L4" s="2375"/>
      <c r="M4" s="2375"/>
      <c r="N4" s="2375"/>
      <c r="O4" s="2375"/>
      <c r="P4" s="2375"/>
      <c r="Q4" s="2375"/>
      <c r="R4" s="2375"/>
      <c r="S4" s="2375"/>
      <c r="T4" s="2375"/>
      <c r="U4" s="2375"/>
      <c r="V4" s="2375"/>
      <c r="W4" s="2375"/>
      <c r="X4" s="2375"/>
      <c r="Y4" s="2331"/>
      <c r="Z4" s="2331"/>
      <c r="AA4" s="2331"/>
      <c r="AB4" s="2331"/>
      <c r="AC4" s="2331"/>
      <c r="AD4" s="2331"/>
      <c r="AE4" s="2331"/>
    </row>
    <row r="5" spans="1:34" ht="24" customHeight="1">
      <c r="B5" s="2371"/>
      <c r="C5" s="2376"/>
      <c r="D5" s="2376"/>
      <c r="E5" s="2376"/>
      <c r="F5" s="2376"/>
      <c r="G5" s="2376"/>
      <c r="H5" s="2376"/>
    </row>
    <row r="6" spans="1:34">
      <c r="B6" s="2371"/>
      <c r="C6" s="2377"/>
      <c r="D6" s="2377"/>
      <c r="E6" s="2377"/>
      <c r="F6" s="2377"/>
      <c r="G6" s="2377"/>
      <c r="H6" s="2377"/>
      <c r="I6" s="2377"/>
      <c r="J6" s="2377"/>
      <c r="K6" s="2377"/>
      <c r="L6" s="2377"/>
      <c r="M6" s="2377"/>
      <c r="N6" s="2377"/>
      <c r="O6" s="2377"/>
      <c r="P6" s="2377"/>
      <c r="Q6" s="2377"/>
      <c r="R6" s="2377"/>
      <c r="S6" s="2377"/>
      <c r="T6" s="2378"/>
      <c r="U6" s="2378"/>
      <c r="V6" s="2378"/>
      <c r="W6" s="2378"/>
      <c r="X6" s="2378"/>
      <c r="AH6" s="2378"/>
    </row>
    <row r="7" spans="1:34" ht="25.5" customHeight="1">
      <c r="C7" s="2380" t="s">
        <v>59</v>
      </c>
      <c r="D7" s="2380"/>
      <c r="E7" s="2380"/>
      <c r="F7" s="2380"/>
      <c r="G7" s="2380"/>
      <c r="H7" s="2380"/>
      <c r="I7" s="2380"/>
      <c r="J7" s="2380"/>
      <c r="K7" s="2380"/>
      <c r="L7" s="2380"/>
      <c r="M7" s="2381"/>
      <c r="N7" s="2381"/>
      <c r="O7" s="2381"/>
      <c r="P7" s="2381"/>
      <c r="Q7" s="2381"/>
      <c r="R7" s="2381"/>
      <c r="S7" s="2381"/>
      <c r="T7" s="2381"/>
      <c r="U7" s="2381"/>
      <c r="V7" s="2381"/>
      <c r="W7" s="2381"/>
      <c r="X7" s="2381"/>
      <c r="AH7" s="2382"/>
    </row>
    <row r="8" spans="1:34" ht="212.25" customHeight="1">
      <c r="C8" s="4017" t="s">
        <v>1416</v>
      </c>
      <c r="D8" s="4017"/>
      <c r="E8" s="4017"/>
      <c r="F8" s="4017"/>
      <c r="G8" s="4017"/>
      <c r="H8" s="4017"/>
      <c r="I8" s="4017"/>
      <c r="J8" s="4017"/>
      <c r="K8" s="4017"/>
      <c r="L8" s="4017"/>
      <c r="M8" s="2383"/>
      <c r="N8" s="2383"/>
      <c r="O8" s="2383"/>
      <c r="P8" s="2383"/>
      <c r="Q8" s="2383"/>
      <c r="R8" s="2383"/>
      <c r="S8" s="2383"/>
      <c r="T8" s="2384"/>
      <c r="U8" s="2384"/>
      <c r="V8" s="2384"/>
      <c r="W8" s="2384"/>
      <c r="X8" s="2384"/>
      <c r="AH8" s="2385"/>
    </row>
    <row r="9" spans="1:34">
      <c r="C9" s="2384"/>
      <c r="D9" s="2384"/>
      <c r="E9" s="2384"/>
      <c r="F9" s="2384"/>
      <c r="G9" s="2384"/>
      <c r="H9" s="2384"/>
      <c r="I9" s="2384"/>
      <c r="J9" s="2384"/>
      <c r="K9" s="2384"/>
      <c r="L9" s="2384"/>
      <c r="M9" s="2384"/>
      <c r="N9" s="2384"/>
      <c r="O9" s="2384"/>
      <c r="P9" s="2384"/>
      <c r="Q9" s="2384"/>
      <c r="R9" s="2384"/>
      <c r="S9" s="2384"/>
      <c r="T9" s="2384"/>
      <c r="U9" s="2384"/>
      <c r="V9" s="2384"/>
      <c r="W9" s="2384"/>
      <c r="X9" s="2384"/>
      <c r="AH9" s="2386"/>
    </row>
    <row r="10" spans="1:34" ht="15.75" thickBot="1">
      <c r="C10" s="2387"/>
      <c r="D10" s="2388"/>
      <c r="E10" s="2388"/>
      <c r="F10" s="2388"/>
      <c r="G10" s="2388"/>
      <c r="H10" s="2388"/>
      <c r="I10" s="2389"/>
      <c r="J10" s="2331"/>
      <c r="K10" s="2331"/>
      <c r="L10" s="2331"/>
      <c r="M10" s="2331"/>
      <c r="N10" s="2331"/>
      <c r="O10" s="2331"/>
      <c r="P10" s="2331"/>
      <c r="Q10" s="2331"/>
      <c r="R10" s="2331"/>
      <c r="S10" s="2331"/>
      <c r="T10" s="2331"/>
      <c r="U10" s="2331"/>
      <c r="V10" s="2331"/>
      <c r="W10" s="2331"/>
      <c r="X10" s="2331"/>
      <c r="AH10" s="2386"/>
    </row>
    <row r="11" spans="1:34" s="2391" customFormat="1" ht="24.75" customHeight="1" thickBot="1">
      <c r="A11" s="2390"/>
      <c r="C11" s="2392" t="s">
        <v>423</v>
      </c>
      <c r="D11" s="2393"/>
      <c r="E11" s="2393"/>
      <c r="F11" s="2393"/>
      <c r="G11" s="2393"/>
      <c r="H11" s="2393"/>
      <c r="I11" s="2393"/>
      <c r="J11" s="2394"/>
      <c r="K11" s="2394"/>
      <c r="L11" s="2394"/>
      <c r="M11" s="2394"/>
      <c r="N11" s="2394"/>
      <c r="O11" s="2394"/>
      <c r="P11" s="2394"/>
      <c r="Q11" s="2394"/>
      <c r="R11" s="2395"/>
      <c r="U11" s="2331"/>
      <c r="V11" s="2331"/>
      <c r="W11" s="2331"/>
      <c r="X11" s="2331"/>
      <c r="Y11" s="2331"/>
      <c r="Z11" s="2331"/>
      <c r="AA11" s="2331"/>
      <c r="AB11" s="2331"/>
      <c r="AC11" s="2331"/>
      <c r="AD11" s="2331"/>
      <c r="AE11" s="2331"/>
      <c r="AF11" s="2331"/>
    </row>
    <row r="12" spans="1:34" s="2391" customFormat="1" ht="18.75" thickBot="1">
      <c r="A12" s="2390"/>
      <c r="C12" s="2396"/>
      <c r="D12" s="4018" t="s">
        <v>54</v>
      </c>
      <c r="E12" s="4019"/>
      <c r="F12" s="4019"/>
      <c r="G12" s="4019"/>
      <c r="H12" s="4020"/>
      <c r="I12" s="4021" t="s">
        <v>424</v>
      </c>
      <c r="J12" s="4022"/>
      <c r="K12" s="2397"/>
      <c r="L12" s="4018" t="s">
        <v>54</v>
      </c>
      <c r="M12" s="4019"/>
      <c r="N12" s="4019"/>
      <c r="O12" s="4019"/>
      <c r="P12" s="4020"/>
      <c r="Q12" s="4023" t="s">
        <v>424</v>
      </c>
      <c r="R12" s="4024"/>
      <c r="U12" s="2331"/>
      <c r="V12" s="2331"/>
      <c r="W12" s="2331"/>
      <c r="X12" s="2331"/>
      <c r="Y12" s="2331"/>
      <c r="Z12" s="2331"/>
      <c r="AA12" s="2331"/>
      <c r="AB12" s="2331"/>
      <c r="AC12" s="2331"/>
      <c r="AD12" s="2331"/>
      <c r="AE12" s="2331"/>
      <c r="AF12" s="2331"/>
    </row>
    <row r="13" spans="1:34" s="2391" customFormat="1" ht="18.75" thickBot="1">
      <c r="A13" s="2390"/>
      <c r="C13" s="2396"/>
      <c r="D13" s="2398">
        <f>PRCP_y4</f>
        <v>2011</v>
      </c>
      <c r="E13" s="2661">
        <f>PRCP_y5</f>
        <v>2012</v>
      </c>
      <c r="F13" s="2662">
        <f>CRCP_y1</f>
        <v>2013</v>
      </c>
      <c r="G13" s="2402">
        <f>CRCP_y2</f>
        <v>2014</v>
      </c>
      <c r="H13" s="2402">
        <f>CRCP_y3</f>
        <v>2015</v>
      </c>
      <c r="I13" s="2399">
        <f>CRCP_y4</f>
        <v>2016</v>
      </c>
      <c r="J13" s="2663">
        <f>CRCP_y5</f>
        <v>2017</v>
      </c>
      <c r="K13" s="2400"/>
      <c r="L13" s="2401">
        <f>PRCP_y4</f>
        <v>2011</v>
      </c>
      <c r="M13" s="2664">
        <f>PRCP_y5</f>
        <v>2012</v>
      </c>
      <c r="N13" s="2662">
        <f>CRCP_y1</f>
        <v>2013</v>
      </c>
      <c r="O13" s="2402">
        <f>CRCP_y2</f>
        <v>2014</v>
      </c>
      <c r="P13" s="2402">
        <f>CRCP_y3</f>
        <v>2015</v>
      </c>
      <c r="Q13" s="2402">
        <f>CRCP_y4</f>
        <v>2016</v>
      </c>
      <c r="R13" s="2403">
        <f>CRCP_y5</f>
        <v>2017</v>
      </c>
      <c r="U13" s="2331"/>
      <c r="V13" s="2331"/>
      <c r="W13" s="2331"/>
      <c r="X13" s="2331"/>
      <c r="Y13" s="2331"/>
      <c r="Z13" s="2331"/>
      <c r="AA13" s="2331"/>
      <c r="AB13" s="2331"/>
      <c r="AC13" s="2331"/>
      <c r="AD13" s="2331"/>
      <c r="AE13" s="2331"/>
      <c r="AF13" s="2331"/>
    </row>
    <row r="14" spans="1:34" ht="15" customHeight="1">
      <c r="A14" s="2370" t="s">
        <v>425</v>
      </c>
      <c r="C14" s="2404" t="s">
        <v>752</v>
      </c>
      <c r="D14" s="2405">
        <v>179.4</v>
      </c>
      <c r="E14" s="2406"/>
      <c r="F14" s="2406"/>
      <c r="G14" s="2406"/>
      <c r="H14" s="2407"/>
      <c r="I14" s="2407"/>
      <c r="J14" s="2408"/>
      <c r="K14" s="2409" t="s">
        <v>753</v>
      </c>
      <c r="L14" s="2410"/>
      <c r="M14" s="2411">
        <f t="shared" ref="M14:Q14" si="0">E15/D15-1</f>
        <v>2.2044088176352838E-2</v>
      </c>
      <c r="N14" s="2411">
        <f t="shared" si="0"/>
        <v>2.7450980392156765E-2</v>
      </c>
      <c r="O14" s="2411">
        <f t="shared" si="0"/>
        <v>1.7175572519083859E-2</v>
      </c>
      <c r="P14" s="2411">
        <f t="shared" si="0"/>
        <v>1.6885553470919357E-2</v>
      </c>
      <c r="Q14" s="2411">
        <f t="shared" si="0"/>
        <v>1.4999999999999902E-2</v>
      </c>
      <c r="R14" s="2412">
        <f>J15/I15-1</f>
        <v>2.0000000000000018E-2</v>
      </c>
      <c r="X14" s="2331"/>
      <c r="AG14" s="2374"/>
    </row>
    <row r="15" spans="1:34" ht="15.75" customHeight="1" thickBot="1">
      <c r="A15" s="2370" t="s">
        <v>426</v>
      </c>
      <c r="C15" s="2413" t="s">
        <v>754</v>
      </c>
      <c r="D15" s="2414">
        <v>99.8</v>
      </c>
      <c r="E15" s="2415">
        <v>102</v>
      </c>
      <c r="F15" s="2415">
        <v>104.8</v>
      </c>
      <c r="G15" s="2415">
        <v>106.6</v>
      </c>
      <c r="H15" s="2415">
        <v>108.4</v>
      </c>
      <c r="I15" s="2415">
        <f>H15*1.015</f>
        <v>110.026</v>
      </c>
      <c r="J15" s="2416">
        <f>I15*1.02</f>
        <v>112.22651999999999</v>
      </c>
      <c r="K15" s="2417" t="str">
        <f>CONCATENATE("Cumulative index (",CRCP_y5,"=1)")</f>
        <v>Cumulative index (2017=1)</v>
      </c>
      <c r="L15" s="2418">
        <f t="shared" ref="L15:Q15" si="1">M15/(1+M14)</f>
        <v>0.88927287418339263</v>
      </c>
      <c r="M15" s="2419">
        <f t="shared" si="1"/>
        <v>0.90887608383473006</v>
      </c>
      <c r="N15" s="2420">
        <f t="shared" si="1"/>
        <v>0.93382562339097752</v>
      </c>
      <c r="O15" s="2420">
        <f t="shared" si="1"/>
        <v>0.94986461310570791</v>
      </c>
      <c r="P15" s="2420">
        <f t="shared" si="1"/>
        <v>0.96590360282043852</v>
      </c>
      <c r="Q15" s="2420">
        <f t="shared" si="1"/>
        <v>0.98039215686274506</v>
      </c>
      <c r="R15" s="2421">
        <v>1</v>
      </c>
      <c r="X15" s="2331"/>
      <c r="AG15" s="2374"/>
    </row>
    <row r="16" spans="1:34" s="2427" customFormat="1">
      <c r="A16" s="2422"/>
      <c r="B16" s="2423"/>
      <c r="C16" s="2424"/>
      <c r="D16" s="2425"/>
      <c r="E16" s="2426"/>
      <c r="F16" s="2426"/>
      <c r="G16" s="2426"/>
      <c r="H16" s="2426"/>
      <c r="I16" s="2426"/>
      <c r="M16" s="2428"/>
      <c r="N16" s="2428"/>
      <c r="O16" s="2428"/>
      <c r="P16" s="2428"/>
      <c r="Q16" s="2428"/>
      <c r="R16" s="2428"/>
      <c r="T16" s="2429"/>
      <c r="U16" s="2429"/>
      <c r="V16" s="2429"/>
      <c r="W16" s="2429"/>
      <c r="X16" s="2429"/>
      <c r="Y16" s="2331"/>
      <c r="Z16" s="2331"/>
      <c r="AA16" s="2331"/>
      <c r="AB16" s="2331"/>
      <c r="AC16" s="2331"/>
      <c r="AD16" s="2331"/>
      <c r="AE16" s="2331"/>
      <c r="AF16" s="2331"/>
      <c r="AG16" s="2331"/>
    </row>
    <row r="17" spans="1:34" s="2331" customFormat="1">
      <c r="A17" s="2430"/>
    </row>
    <row r="18" spans="1:34" s="2331" customFormat="1">
      <c r="A18" s="2430"/>
    </row>
    <row r="19" spans="1:34" s="2331" customFormat="1">
      <c r="A19" s="2430"/>
    </row>
    <row r="20" spans="1:34" ht="17.25" customHeight="1">
      <c r="A20" s="2431"/>
      <c r="B20" s="2432"/>
      <c r="C20" s="2433" t="str">
        <f ca="1">CONCATENATE("TABLE 23.4.1 - The carryover amounts that arise from applying the Incentive Mechanism during the ", dms_Reg_Year_Span, " regulatory control period")</f>
        <v>TABLE 23.4.1 - The carryover amounts that arise from applying the Incentive Mechanism during the 2018 to 2022 regulatory control period</v>
      </c>
      <c r="D20" s="2433"/>
      <c r="E20" s="2433"/>
      <c r="F20" s="2433"/>
      <c r="G20" s="2433"/>
      <c r="H20" s="2433"/>
      <c r="I20" s="2433"/>
      <c r="J20" s="2433"/>
      <c r="K20" s="2433"/>
      <c r="L20" s="2433"/>
      <c r="M20" s="2433"/>
      <c r="N20" s="2433"/>
      <c r="O20" s="2433"/>
      <c r="P20" s="2433"/>
      <c r="Q20" s="2433"/>
      <c r="R20" s="2433"/>
      <c r="S20" s="2433"/>
      <c r="T20" s="2433"/>
      <c r="U20" s="2433"/>
      <c r="V20" s="2433"/>
      <c r="W20" s="2433"/>
      <c r="X20" s="2331"/>
      <c r="AH20" s="2434"/>
    </row>
    <row r="21" spans="1:34" s="2391" customFormat="1" ht="15.75" thickBot="1">
      <c r="A21" s="2390"/>
      <c r="C21" s="2435"/>
      <c r="D21" s="2435"/>
      <c r="E21" s="2435"/>
      <c r="F21" s="2435"/>
      <c r="G21" s="2435"/>
      <c r="H21" s="2435"/>
      <c r="I21" s="2435"/>
      <c r="J21" s="2435"/>
      <c r="K21" s="2435"/>
      <c r="L21" s="2435"/>
      <c r="M21" s="2435"/>
      <c r="N21" s="2435"/>
      <c r="O21" s="2435"/>
      <c r="P21" s="2435"/>
      <c r="Q21" s="2435"/>
      <c r="R21" s="2435"/>
      <c r="S21" s="2435"/>
      <c r="T21" s="2435"/>
      <c r="U21" s="2435"/>
      <c r="V21" s="2435"/>
      <c r="W21" s="2435"/>
      <c r="X21" s="2331"/>
      <c r="Y21" s="2331"/>
      <c r="Z21" s="2331"/>
      <c r="AA21" s="2331"/>
      <c r="AB21" s="2331"/>
      <c r="AC21" s="2331"/>
      <c r="AD21" s="2331"/>
      <c r="AE21" s="2331"/>
    </row>
    <row r="22" spans="1:34" s="2437" customFormat="1" ht="24.75" customHeight="1" thickBot="1">
      <c r="A22" s="2436"/>
      <c r="C22" s="2438" t="s">
        <v>1413</v>
      </c>
      <c r="D22" s="2439"/>
      <c r="E22" s="2439"/>
      <c r="F22" s="2439"/>
      <c r="G22" s="2439"/>
      <c r="H22" s="2439"/>
      <c r="I22" s="2439"/>
      <c r="J22" s="2439"/>
      <c r="K22" s="2439"/>
      <c r="L22" s="2439"/>
      <c r="M22" s="2439"/>
      <c r="N22" s="2439"/>
      <c r="O22" s="2439"/>
      <c r="P22" s="2439"/>
      <c r="Q22" s="2439"/>
      <c r="R22" s="2439"/>
      <c r="S22" s="2439"/>
      <c r="T22" s="2439"/>
      <c r="U22" s="2439"/>
      <c r="V22" s="2439"/>
      <c r="W22" s="2439"/>
      <c r="X22" s="2331"/>
      <c r="Y22" s="2331"/>
      <c r="Z22" s="2331"/>
      <c r="AA22" s="2331"/>
      <c r="AB22" s="2331"/>
      <c r="AC22" s="2331"/>
      <c r="AD22" s="2331"/>
      <c r="AE22" s="2331"/>
    </row>
    <row r="23" spans="1:34" s="2391" customFormat="1" ht="15.75">
      <c r="A23" s="2390"/>
      <c r="C23" s="2440"/>
      <c r="D23" s="4012" t="s">
        <v>427</v>
      </c>
      <c r="E23" s="4013"/>
      <c r="F23" s="4009" t="s">
        <v>326</v>
      </c>
      <c r="G23" s="4010"/>
      <c r="H23" s="4010"/>
      <c r="I23" s="4010"/>
      <c r="J23" s="4011"/>
      <c r="K23" s="2331"/>
      <c r="L23" s="4012" t="s">
        <v>427</v>
      </c>
      <c r="M23" s="4013"/>
      <c r="N23" s="4009" t="s">
        <v>326</v>
      </c>
      <c r="O23" s="4010"/>
      <c r="P23" s="4010"/>
      <c r="Q23" s="4010"/>
      <c r="R23" s="4011"/>
      <c r="S23" s="4004" t="s">
        <v>322</v>
      </c>
      <c r="T23" s="4005"/>
      <c r="U23" s="4005"/>
      <c r="V23" s="4005"/>
      <c r="W23" s="4006"/>
      <c r="Y23" s="2331"/>
      <c r="Z23" s="2331"/>
      <c r="AA23" s="2331"/>
      <c r="AB23" s="2331"/>
      <c r="AC23" s="2331"/>
      <c r="AD23" s="2331"/>
      <c r="AE23" s="2331"/>
    </row>
    <row r="24" spans="1:34" s="2391" customFormat="1" ht="15.75" thickBot="1">
      <c r="A24" s="2390"/>
      <c r="C24" s="2441"/>
      <c r="D24" s="3987" t="str">
        <f>CONCATENATE("$m, real ", (PRCP_y5))</f>
        <v>$m, real 2012</v>
      </c>
      <c r="E24" s="3988"/>
      <c r="F24" s="3989" t="str">
        <f>CONCATENATE("$m, real ", PRCP_y5)</f>
        <v>$m, real 2012</v>
      </c>
      <c r="G24" s="3990"/>
      <c r="H24" s="3990"/>
      <c r="I24" s="3990"/>
      <c r="J24" s="3991"/>
      <c r="K24" s="2331"/>
      <c r="L24" s="3992" t="str">
        <f>CONCATENATE("$m, real ", (CRCP_y5))</f>
        <v>$m, real 2017</v>
      </c>
      <c r="M24" s="3993"/>
      <c r="N24" s="3989" t="str">
        <f>CONCATENATE("$m, real ", dms_DollarReal)</f>
        <v>$m, real December 2017</v>
      </c>
      <c r="O24" s="3990"/>
      <c r="P24" s="3990"/>
      <c r="Q24" s="3990"/>
      <c r="R24" s="3991"/>
      <c r="S24" s="2442"/>
      <c r="T24" s="2443"/>
      <c r="U24" s="2443"/>
      <c r="V24" s="2443"/>
      <c r="W24" s="2444"/>
      <c r="Y24" s="2331"/>
      <c r="Z24" s="2331"/>
      <c r="AA24" s="2331"/>
      <c r="AB24" s="2331"/>
      <c r="AC24" s="2331"/>
      <c r="AD24" s="2331"/>
      <c r="AE24" s="2331"/>
    </row>
    <row r="25" spans="1:34" s="2391" customFormat="1" ht="15.75" thickBot="1">
      <c r="A25" s="2390"/>
      <c r="C25" s="2441"/>
      <c r="D25" s="2445">
        <f>PRCP_y4</f>
        <v>2011</v>
      </c>
      <c r="E25" s="2446">
        <f>PRCP_y5</f>
        <v>2012</v>
      </c>
      <c r="F25" s="2447">
        <f>CRCP_y1</f>
        <v>2013</v>
      </c>
      <c r="G25" s="2448">
        <f>CRCP_y2</f>
        <v>2014</v>
      </c>
      <c r="H25" s="2448">
        <f>CRCP_y3</f>
        <v>2015</v>
      </c>
      <c r="I25" s="2448">
        <f>CRCP_y4</f>
        <v>2016</v>
      </c>
      <c r="J25" s="2449">
        <f>CRCP_y5</f>
        <v>2017</v>
      </c>
      <c r="K25" s="2331"/>
      <c r="L25" s="2445">
        <f>PRCP_y4</f>
        <v>2011</v>
      </c>
      <c r="M25" s="2446">
        <f>PRCP_y5</f>
        <v>2012</v>
      </c>
      <c r="N25" s="2447">
        <f>CRCP_y1</f>
        <v>2013</v>
      </c>
      <c r="O25" s="2448">
        <f>CRCP_y2</f>
        <v>2014</v>
      </c>
      <c r="P25" s="2448">
        <f>CRCP_y3</f>
        <v>2015</v>
      </c>
      <c r="Q25" s="2448">
        <f>CRCP_y4</f>
        <v>2016</v>
      </c>
      <c r="R25" s="2449">
        <f>CRCP_y5</f>
        <v>2017</v>
      </c>
      <c r="S25" s="2452" t="str">
        <f t="array" ref="S25:W25">FRCP</f>
        <v>2018</v>
      </c>
      <c r="T25" s="2453">
        <v>2019</v>
      </c>
      <c r="U25" s="2453">
        <v>2020</v>
      </c>
      <c r="V25" s="2453">
        <v>2021</v>
      </c>
      <c r="W25" s="2454">
        <v>2022</v>
      </c>
      <c r="Y25" s="2331"/>
      <c r="Z25" s="2331"/>
      <c r="AA25" s="2331"/>
      <c r="AB25" s="2331"/>
      <c r="AC25" s="2331"/>
      <c r="AD25" s="2331"/>
      <c r="AE25" s="2331"/>
    </row>
    <row r="26" spans="1:34">
      <c r="A26" s="2370" t="s">
        <v>428</v>
      </c>
      <c r="C26" s="2455" t="s">
        <v>429</v>
      </c>
      <c r="D26" s="2456"/>
      <c r="E26" s="2457"/>
      <c r="F26" s="2456"/>
      <c r="G26" s="2457"/>
      <c r="H26" s="2457"/>
      <c r="I26" s="2457"/>
      <c r="J26" s="2458"/>
      <c r="K26" s="2331"/>
      <c r="L26" s="2459">
        <f t="shared" ref="L26:M26" si="2">+D26/$M$15</f>
        <v>0</v>
      </c>
      <c r="M26" s="2460">
        <f t="shared" si="2"/>
        <v>0</v>
      </c>
      <c r="N26" s="2459">
        <f>+F26/$M$15</f>
        <v>0</v>
      </c>
      <c r="O26" s="2460">
        <f>+G26/$M$15</f>
        <v>0</v>
      </c>
      <c r="P26" s="2460">
        <f>+H26/$M$15</f>
        <v>0</v>
      </c>
      <c r="Q26" s="2460">
        <f>+I26/$M$15</f>
        <v>0</v>
      </c>
      <c r="R26" s="2461">
        <f>+J26/$M$15</f>
        <v>0</v>
      </c>
      <c r="S26" s="2462"/>
      <c r="T26" s="2462"/>
      <c r="U26" s="2462"/>
      <c r="V26" s="2462"/>
      <c r="W26" s="2463"/>
      <c r="X26" s="2464"/>
    </row>
    <row r="27" spans="1:34">
      <c r="C27" s="2465" t="s">
        <v>751</v>
      </c>
      <c r="D27" s="2466"/>
      <c r="E27" s="2467"/>
      <c r="F27" s="2466"/>
      <c r="G27" s="2467"/>
      <c r="H27" s="2467"/>
      <c r="I27" s="2467"/>
      <c r="J27" s="2468"/>
      <c r="K27" s="2331"/>
      <c r="L27" s="2469"/>
      <c r="M27" s="2470"/>
      <c r="N27" s="2469"/>
      <c r="O27" s="2470"/>
      <c r="P27" s="2470"/>
      <c r="Q27" s="2470"/>
      <c r="R27" s="2471"/>
      <c r="S27" s="2462"/>
      <c r="T27" s="2462"/>
      <c r="U27" s="2462"/>
      <c r="V27" s="2462"/>
      <c r="W27" s="2463"/>
      <c r="X27" s="2464"/>
    </row>
    <row r="28" spans="1:34">
      <c r="C28" s="2472" t="s">
        <v>1419</v>
      </c>
      <c r="D28" s="2473"/>
      <c r="E28" s="2474"/>
      <c r="F28" s="2473"/>
      <c r="G28" s="2474"/>
      <c r="H28" s="2474"/>
      <c r="I28" s="2474"/>
      <c r="J28" s="2475"/>
      <c r="K28" s="2331"/>
      <c r="L28" s="2476">
        <f t="shared" ref="L28:R31" si="3">-D28/$M$15</f>
        <v>0</v>
      </c>
      <c r="M28" s="2477">
        <f t="shared" si="3"/>
        <v>0</v>
      </c>
      <c r="N28" s="2476">
        <f t="shared" si="3"/>
        <v>0</v>
      </c>
      <c r="O28" s="2477">
        <f t="shared" si="3"/>
        <v>0</v>
      </c>
      <c r="P28" s="2477">
        <f t="shared" si="3"/>
        <v>0</v>
      </c>
      <c r="Q28" s="2477">
        <f t="shared" si="3"/>
        <v>0</v>
      </c>
      <c r="R28" s="2478">
        <f t="shared" si="3"/>
        <v>0</v>
      </c>
      <c r="S28" s="2462"/>
      <c r="T28" s="2462"/>
      <c r="U28" s="2462"/>
      <c r="V28" s="2462"/>
      <c r="W28" s="2463"/>
      <c r="X28" s="2479"/>
    </row>
    <row r="29" spans="1:34">
      <c r="C29" s="2472" t="s">
        <v>1418</v>
      </c>
      <c r="D29" s="2473"/>
      <c r="E29" s="2474"/>
      <c r="F29" s="2473"/>
      <c r="G29" s="2474"/>
      <c r="H29" s="2474"/>
      <c r="I29" s="2474"/>
      <c r="J29" s="2475"/>
      <c r="K29" s="2331"/>
      <c r="L29" s="2476">
        <f t="shared" si="3"/>
        <v>0</v>
      </c>
      <c r="M29" s="2477">
        <f t="shared" si="3"/>
        <v>0</v>
      </c>
      <c r="N29" s="2476">
        <f t="shared" si="3"/>
        <v>0</v>
      </c>
      <c r="O29" s="2477">
        <f t="shared" si="3"/>
        <v>0</v>
      </c>
      <c r="P29" s="2477">
        <f t="shared" si="3"/>
        <v>0</v>
      </c>
      <c r="Q29" s="2477">
        <f t="shared" si="3"/>
        <v>0</v>
      </c>
      <c r="R29" s="2478">
        <f t="shared" si="3"/>
        <v>0</v>
      </c>
      <c r="S29" s="2462"/>
      <c r="T29" s="2462"/>
      <c r="U29" s="2462"/>
      <c r="V29" s="2462"/>
      <c r="W29" s="2463"/>
      <c r="X29" s="2479"/>
    </row>
    <row r="30" spans="1:34">
      <c r="C30" s="2472" t="s">
        <v>1421</v>
      </c>
      <c r="D30" s="2473"/>
      <c r="E30" s="2474"/>
      <c r="F30" s="2473"/>
      <c r="G30" s="2474"/>
      <c r="H30" s="2474"/>
      <c r="I30" s="2474"/>
      <c r="J30" s="2475"/>
      <c r="K30" s="2331"/>
      <c r="L30" s="2476">
        <f t="shared" si="3"/>
        <v>0</v>
      </c>
      <c r="M30" s="2477">
        <f t="shared" si="3"/>
        <v>0</v>
      </c>
      <c r="N30" s="2476">
        <f t="shared" si="3"/>
        <v>0</v>
      </c>
      <c r="O30" s="2477">
        <f t="shared" si="3"/>
        <v>0</v>
      </c>
      <c r="P30" s="2477">
        <f t="shared" si="3"/>
        <v>0</v>
      </c>
      <c r="Q30" s="2477">
        <f t="shared" si="3"/>
        <v>0</v>
      </c>
      <c r="R30" s="2478">
        <f t="shared" si="3"/>
        <v>0</v>
      </c>
      <c r="S30" s="2462"/>
      <c r="T30" s="2462"/>
      <c r="U30" s="2462"/>
      <c r="V30" s="2462"/>
      <c r="W30" s="2463"/>
      <c r="X30" s="2479"/>
    </row>
    <row r="31" spans="1:34" ht="25.5">
      <c r="C31" s="3292" t="s">
        <v>1423</v>
      </c>
      <c r="D31" s="2473"/>
      <c r="E31" s="2474"/>
      <c r="F31" s="2473"/>
      <c r="G31" s="2474"/>
      <c r="H31" s="2474"/>
      <c r="I31" s="2474"/>
      <c r="J31" s="2475"/>
      <c r="K31" s="2331"/>
      <c r="L31" s="2476">
        <f t="shared" si="3"/>
        <v>0</v>
      </c>
      <c r="M31" s="2477">
        <f t="shared" si="3"/>
        <v>0</v>
      </c>
      <c r="N31" s="2476">
        <f t="shared" si="3"/>
        <v>0</v>
      </c>
      <c r="O31" s="2477">
        <f t="shared" si="3"/>
        <v>0</v>
      </c>
      <c r="P31" s="2477">
        <f t="shared" si="3"/>
        <v>0</v>
      </c>
      <c r="Q31" s="2477">
        <f t="shared" si="3"/>
        <v>0</v>
      </c>
      <c r="R31" s="2478">
        <f t="shared" si="3"/>
        <v>0</v>
      </c>
      <c r="S31" s="2462"/>
      <c r="T31" s="2462"/>
      <c r="U31" s="2462"/>
      <c r="V31" s="2462"/>
      <c r="W31" s="2463"/>
      <c r="X31" s="2479"/>
    </row>
    <row r="32" spans="1:34">
      <c r="A32" s="2370" t="s">
        <v>430</v>
      </c>
      <c r="C32" s="2480" t="s">
        <v>1424</v>
      </c>
      <c r="D32" s="2473"/>
      <c r="E32" s="2474"/>
      <c r="F32" s="2473"/>
      <c r="G32" s="2474"/>
      <c r="H32" s="2474"/>
      <c r="I32" s="2474"/>
      <c r="J32" s="2475"/>
      <c r="K32" s="2331"/>
      <c r="L32" s="2476">
        <f>D32/$M$15</f>
        <v>0</v>
      </c>
      <c r="M32" s="2477">
        <f t="shared" ref="M32:R33" si="4">E32/$M$15</f>
        <v>0</v>
      </c>
      <c r="N32" s="2476">
        <f t="shared" si="4"/>
        <v>0</v>
      </c>
      <c r="O32" s="2477">
        <f t="shared" si="4"/>
        <v>0</v>
      </c>
      <c r="P32" s="2477">
        <f t="shared" si="4"/>
        <v>0</v>
      </c>
      <c r="Q32" s="2477">
        <f t="shared" si="4"/>
        <v>0</v>
      </c>
      <c r="R32" s="2478">
        <f t="shared" si="4"/>
        <v>0</v>
      </c>
      <c r="S32" s="2462"/>
      <c r="T32" s="2462"/>
      <c r="U32" s="2462"/>
      <c r="V32" s="2462"/>
      <c r="W32" s="2463"/>
      <c r="X32" s="2479"/>
    </row>
    <row r="33" spans="1:31" ht="15.75" thickBot="1">
      <c r="C33" s="2481" t="s">
        <v>1425</v>
      </c>
      <c r="D33" s="2482"/>
      <c r="E33" s="2483"/>
      <c r="F33" s="2482"/>
      <c r="G33" s="2483"/>
      <c r="H33" s="2483"/>
      <c r="I33" s="2483"/>
      <c r="J33" s="2484"/>
      <c r="K33" s="2331"/>
      <c r="L33" s="2476">
        <f>D33/$M$15</f>
        <v>0</v>
      </c>
      <c r="M33" s="2477">
        <f t="shared" si="4"/>
        <v>0</v>
      </c>
      <c r="N33" s="2476">
        <f t="shared" si="4"/>
        <v>0</v>
      </c>
      <c r="O33" s="2477">
        <f t="shared" si="4"/>
        <v>0</v>
      </c>
      <c r="P33" s="2477">
        <f t="shared" si="4"/>
        <v>0</v>
      </c>
      <c r="Q33" s="2477">
        <f t="shared" si="4"/>
        <v>0</v>
      </c>
      <c r="R33" s="2478">
        <f t="shared" si="4"/>
        <v>0</v>
      </c>
      <c r="S33" s="2462"/>
      <c r="T33" s="2462"/>
      <c r="U33" s="2462"/>
      <c r="V33" s="2462"/>
      <c r="W33" s="2463"/>
      <c r="X33" s="2479"/>
    </row>
    <row r="34" spans="1:31" ht="15.75" thickBot="1">
      <c r="A34" s="2370" t="s">
        <v>431</v>
      </c>
      <c r="C34" s="2485" t="s">
        <v>1411</v>
      </c>
      <c r="D34" s="2486">
        <f t="shared" ref="D34:J34" si="5">D26-SUM(D28:D31)+D32+D33</f>
        <v>0</v>
      </c>
      <c r="E34" s="2487">
        <f t="shared" si="5"/>
        <v>0</v>
      </c>
      <c r="F34" s="2486">
        <f t="shared" si="5"/>
        <v>0</v>
      </c>
      <c r="G34" s="2487">
        <f t="shared" si="5"/>
        <v>0</v>
      </c>
      <c r="H34" s="2487">
        <f t="shared" si="5"/>
        <v>0</v>
      </c>
      <c r="I34" s="2487">
        <f t="shared" si="5"/>
        <v>0</v>
      </c>
      <c r="J34" s="2488">
        <f t="shared" si="5"/>
        <v>0</v>
      </c>
      <c r="K34" s="2331"/>
      <c r="L34" s="2489">
        <f t="shared" ref="L34:R34" si="6">+SUM(L26:L33)</f>
        <v>0</v>
      </c>
      <c r="M34" s="2490">
        <f t="shared" si="6"/>
        <v>0</v>
      </c>
      <c r="N34" s="2491">
        <f t="shared" si="6"/>
        <v>0</v>
      </c>
      <c r="O34" s="2490">
        <f t="shared" si="6"/>
        <v>0</v>
      </c>
      <c r="P34" s="2490">
        <f t="shared" si="6"/>
        <v>0</v>
      </c>
      <c r="Q34" s="2490">
        <f t="shared" si="6"/>
        <v>0</v>
      </c>
      <c r="R34" s="2492">
        <f t="shared" si="6"/>
        <v>0</v>
      </c>
      <c r="S34" s="2493"/>
      <c r="T34" s="2493"/>
      <c r="U34" s="2493"/>
      <c r="V34" s="2493"/>
      <c r="W34" s="2494"/>
      <c r="X34" s="2479"/>
    </row>
    <row r="35" spans="1:31" ht="15.75" thickBot="1">
      <c r="C35" s="2495"/>
      <c r="D35" s="2496"/>
      <c r="E35" s="2496"/>
      <c r="F35" s="2497"/>
      <c r="G35" s="2497"/>
      <c r="H35" s="2497"/>
      <c r="I35" s="2497"/>
      <c r="J35" s="2498"/>
      <c r="K35" s="2499"/>
      <c r="L35" s="2331"/>
      <c r="M35" s="2496"/>
      <c r="N35" s="2496"/>
      <c r="O35" s="2496"/>
      <c r="P35" s="2496"/>
      <c r="Q35" s="2496"/>
      <c r="R35" s="2496"/>
      <c r="S35" s="2500"/>
      <c r="T35" s="2500"/>
      <c r="U35" s="2500"/>
      <c r="V35" s="2500"/>
      <c r="W35" s="2501"/>
      <c r="X35" s="2479"/>
    </row>
    <row r="36" spans="1:31" s="2437" customFormat="1" ht="25.5" customHeight="1" thickBot="1">
      <c r="A36" s="2436"/>
      <c r="C36" s="2438" t="s">
        <v>1414</v>
      </c>
      <c r="D36" s="2439"/>
      <c r="E36" s="2439"/>
      <c r="F36" s="2439"/>
      <c r="G36" s="2439"/>
      <c r="H36" s="2439"/>
      <c r="I36" s="2439"/>
      <c r="J36" s="2439"/>
      <c r="K36" s="2439"/>
      <c r="L36" s="2439"/>
      <c r="M36" s="2439"/>
      <c r="N36" s="2439"/>
      <c r="O36" s="2439"/>
      <c r="P36" s="2439"/>
      <c r="Q36" s="2439"/>
      <c r="R36" s="2439"/>
      <c r="S36" s="2439"/>
      <c r="T36" s="2439"/>
      <c r="U36" s="2439"/>
      <c r="V36" s="2439"/>
      <c r="W36" s="2502"/>
      <c r="X36" s="2391"/>
      <c r="Y36" s="2331"/>
      <c r="Z36" s="2331"/>
      <c r="AA36" s="2331"/>
      <c r="AB36" s="2331"/>
      <c r="AC36" s="2331"/>
      <c r="AD36" s="2331"/>
      <c r="AE36" s="2331"/>
    </row>
    <row r="37" spans="1:31" s="2437" customFormat="1" ht="25.5" customHeight="1">
      <c r="A37" s="2436"/>
      <c r="C37" s="2503"/>
      <c r="D37" s="4007" t="s">
        <v>427</v>
      </c>
      <c r="E37" s="4008"/>
      <c r="F37" s="4009" t="s">
        <v>326</v>
      </c>
      <c r="G37" s="4010"/>
      <c r="H37" s="4010"/>
      <c r="I37" s="4010"/>
      <c r="J37" s="4011"/>
      <c r="K37" s="2504"/>
      <c r="L37" s="4012" t="s">
        <v>427</v>
      </c>
      <c r="M37" s="4013"/>
      <c r="N37" s="4014" t="s">
        <v>326</v>
      </c>
      <c r="O37" s="4015"/>
      <c r="P37" s="4015"/>
      <c r="Q37" s="4015"/>
      <c r="R37" s="4016"/>
      <c r="S37" s="2505"/>
      <c r="T37" s="2506"/>
      <c r="U37" s="2506"/>
      <c r="V37" s="2506"/>
      <c r="W37" s="2507"/>
      <c r="X37" s="2391"/>
      <c r="Y37" s="2331"/>
      <c r="Z37" s="2331"/>
      <c r="AA37" s="2331"/>
      <c r="AB37" s="2331"/>
      <c r="AC37" s="2331"/>
      <c r="AD37" s="2331"/>
      <c r="AE37" s="2331"/>
    </row>
    <row r="38" spans="1:31" s="2391" customFormat="1" ht="15.75" thickBot="1">
      <c r="A38" s="2390"/>
      <c r="C38" s="2503"/>
      <c r="D38" s="3987" t="s">
        <v>432</v>
      </c>
      <c r="E38" s="3988"/>
      <c r="F38" s="3989" t="s">
        <v>432</v>
      </c>
      <c r="G38" s="3990"/>
      <c r="H38" s="3990"/>
      <c r="I38" s="3990"/>
      <c r="J38" s="3991"/>
      <c r="K38" s="2508"/>
      <c r="L38" s="3992" t="str">
        <f>CONCATENATE("$m, real ", (CRCP_y5))</f>
        <v>$m, real 2017</v>
      </c>
      <c r="M38" s="3993"/>
      <c r="N38" s="3989" t="str">
        <f>CONCATENATE("$m, real ", dms_DollarReal)</f>
        <v>$m, real December 2017</v>
      </c>
      <c r="O38" s="3990"/>
      <c r="P38" s="3990"/>
      <c r="Q38" s="3990"/>
      <c r="R38" s="3991"/>
      <c r="S38" s="2509"/>
      <c r="T38" s="2510"/>
      <c r="U38" s="2510"/>
      <c r="V38" s="2510"/>
      <c r="W38" s="2511"/>
      <c r="Y38" s="2331"/>
      <c r="Z38" s="2331"/>
      <c r="AA38" s="2331"/>
      <c r="AB38" s="2331"/>
      <c r="AC38" s="2331"/>
      <c r="AD38" s="2331"/>
      <c r="AE38" s="2331"/>
    </row>
    <row r="39" spans="1:31" s="2391" customFormat="1" ht="15.75" thickBot="1">
      <c r="A39" s="2390"/>
      <c r="C39" s="2400"/>
      <c r="D39" s="2445">
        <f>PRCP_y4</f>
        <v>2011</v>
      </c>
      <c r="E39" s="2446">
        <f>PRCP_y5</f>
        <v>2012</v>
      </c>
      <c r="F39" s="2447">
        <f>CRCP_y1</f>
        <v>2013</v>
      </c>
      <c r="G39" s="2448">
        <f>CRCP_y2</f>
        <v>2014</v>
      </c>
      <c r="H39" s="2448">
        <f>CRCP_y3</f>
        <v>2015</v>
      </c>
      <c r="I39" s="2448">
        <f>CRCP_y4</f>
        <v>2016</v>
      </c>
      <c r="J39" s="2449">
        <f>CRCP_y5</f>
        <v>2017</v>
      </c>
      <c r="K39" s="2508"/>
      <c r="L39" s="2450">
        <f>PRCP_y4</f>
        <v>2011</v>
      </c>
      <c r="M39" s="2451">
        <f>PRCP_y5</f>
        <v>2012</v>
      </c>
      <c r="N39" s="2447">
        <f>CRCP_y1</f>
        <v>2013</v>
      </c>
      <c r="O39" s="2448">
        <f>CRCP_y2</f>
        <v>2014</v>
      </c>
      <c r="P39" s="2448">
        <f>CRCP_y3</f>
        <v>2015</v>
      </c>
      <c r="Q39" s="2448">
        <f>CRCP_y4</f>
        <v>2016</v>
      </c>
      <c r="R39" s="2449">
        <f>CRCP_y5</f>
        <v>2017</v>
      </c>
      <c r="S39" s="2509"/>
      <c r="T39" s="2510"/>
      <c r="U39" s="2510"/>
      <c r="V39" s="2510"/>
      <c r="W39" s="2511"/>
      <c r="Y39" s="2331"/>
      <c r="Z39" s="2331"/>
      <c r="AA39" s="2331"/>
      <c r="AB39" s="2331"/>
      <c r="AC39" s="2331"/>
      <c r="AD39" s="2331"/>
      <c r="AE39" s="2331"/>
    </row>
    <row r="40" spans="1:31">
      <c r="A40" s="2370" t="s">
        <v>433</v>
      </c>
      <c r="C40" s="2455" t="s">
        <v>434</v>
      </c>
      <c r="D40" s="2456"/>
      <c r="E40" s="2457"/>
      <c r="F40" s="2456"/>
      <c r="G40" s="2457"/>
      <c r="H40" s="2457"/>
      <c r="I40" s="2512"/>
      <c r="J40" s="2513"/>
      <c r="K40" s="2331"/>
      <c r="L40" s="2514">
        <f t="shared" ref="L40:M40" si="7">+D40/L$15*(1+L$14)^0.5</f>
        <v>0</v>
      </c>
      <c r="M40" s="2515">
        <f t="shared" si="7"/>
        <v>0</v>
      </c>
      <c r="N40" s="2514">
        <f>+F40/N$15*(1+N$14)^0.5</f>
        <v>0</v>
      </c>
      <c r="O40" s="2515">
        <f>+G40/O$15*(1+O$14)^0.5</f>
        <v>0</v>
      </c>
      <c r="P40" s="2515">
        <f>+H40/P$15*(1+P$14)^0.5</f>
        <v>0</v>
      </c>
      <c r="Q40" s="2516">
        <f>+I40/Q$15*(1+Q$14)^0.5</f>
        <v>0</v>
      </c>
      <c r="R40" s="2517"/>
      <c r="S40" s="2518"/>
      <c r="T40" s="2518"/>
      <c r="U40" s="2518"/>
      <c r="V40" s="2518"/>
      <c r="W40" s="2519"/>
    </row>
    <row r="41" spans="1:31">
      <c r="C41" s="2520" t="s">
        <v>435</v>
      </c>
      <c r="D41" s="2521"/>
      <c r="E41" s="2522"/>
      <c r="F41" s="2521"/>
      <c r="G41" s="2522"/>
      <c r="H41" s="2522"/>
      <c r="I41" s="2523"/>
      <c r="J41" s="2524"/>
      <c r="K41" s="2331"/>
      <c r="L41" s="2525"/>
      <c r="M41" s="2526"/>
      <c r="N41" s="2525"/>
      <c r="O41" s="2526"/>
      <c r="P41" s="2526"/>
      <c r="Q41" s="2527"/>
      <c r="R41" s="2528"/>
      <c r="S41" s="2518"/>
      <c r="T41" s="2518"/>
      <c r="U41" s="2518"/>
      <c r="V41" s="2518"/>
      <c r="W41" s="2519"/>
      <c r="X41" s="2464"/>
    </row>
    <row r="42" spans="1:31">
      <c r="A42" s="2370" t="s">
        <v>436</v>
      </c>
      <c r="C42" s="2472" t="s">
        <v>1417</v>
      </c>
      <c r="D42" s="2473"/>
      <c r="E42" s="2474"/>
      <c r="F42" s="2473"/>
      <c r="G42" s="2474"/>
      <c r="H42" s="2474"/>
      <c r="I42" s="2529"/>
      <c r="J42" s="2524"/>
      <c r="K42" s="2331"/>
      <c r="L42" s="2530">
        <f t="shared" ref="L42:Q48" si="8">-D42/L$15*(1+L$14)^0.5</f>
        <v>0</v>
      </c>
      <c r="M42" s="2531">
        <f t="shared" si="8"/>
        <v>0</v>
      </c>
      <c r="N42" s="2530">
        <f t="shared" si="8"/>
        <v>0</v>
      </c>
      <c r="O42" s="2531">
        <f t="shared" si="8"/>
        <v>0</v>
      </c>
      <c r="P42" s="2531">
        <f t="shared" si="8"/>
        <v>0</v>
      </c>
      <c r="Q42" s="2532">
        <f t="shared" si="8"/>
        <v>0</v>
      </c>
      <c r="R42" s="2533"/>
      <c r="S42" s="2518"/>
      <c r="T42" s="2518"/>
      <c r="U42" s="2518"/>
      <c r="V42" s="2518"/>
      <c r="W42" s="2519"/>
      <c r="X42" s="2534"/>
    </row>
    <row r="43" spans="1:31">
      <c r="A43" s="2370" t="s">
        <v>437</v>
      </c>
      <c r="C43" s="2472" t="s">
        <v>1420</v>
      </c>
      <c r="D43" s="2473"/>
      <c r="E43" s="2474"/>
      <c r="F43" s="2473"/>
      <c r="G43" s="2474"/>
      <c r="H43" s="2474"/>
      <c r="I43" s="2529"/>
      <c r="J43" s="2524"/>
      <c r="K43" s="2331"/>
      <c r="L43" s="2530">
        <f t="shared" si="8"/>
        <v>0</v>
      </c>
      <c r="M43" s="2531">
        <f t="shared" si="8"/>
        <v>0</v>
      </c>
      <c r="N43" s="2530">
        <f t="shared" si="8"/>
        <v>0</v>
      </c>
      <c r="O43" s="2531">
        <f t="shared" si="8"/>
        <v>0</v>
      </c>
      <c r="P43" s="2531">
        <f t="shared" si="8"/>
        <v>0</v>
      </c>
      <c r="Q43" s="2532">
        <f t="shared" si="8"/>
        <v>0</v>
      </c>
      <c r="R43" s="2533"/>
      <c r="S43" s="2518"/>
      <c r="T43" s="2518"/>
      <c r="U43" s="2518"/>
      <c r="V43" s="2518"/>
      <c r="W43" s="2519"/>
      <c r="X43" s="2535"/>
    </row>
    <row r="44" spans="1:31">
      <c r="C44" s="2472" t="str">
        <f>C28</f>
        <v>unaccounted for gas expenses (clause 6.4(b)(8)(c))</v>
      </c>
      <c r="D44" s="2473"/>
      <c r="E44" s="2474"/>
      <c r="F44" s="2473"/>
      <c r="G44" s="2474"/>
      <c r="H44" s="2474"/>
      <c r="I44" s="2529"/>
      <c r="J44" s="2524"/>
      <c r="K44" s="2331"/>
      <c r="L44" s="2530">
        <f t="shared" si="8"/>
        <v>0</v>
      </c>
      <c r="M44" s="2531">
        <f t="shared" si="8"/>
        <v>0</v>
      </c>
      <c r="N44" s="2530">
        <f t="shared" si="8"/>
        <v>0</v>
      </c>
      <c r="O44" s="2531">
        <f t="shared" si="8"/>
        <v>0</v>
      </c>
      <c r="P44" s="2531">
        <f t="shared" si="8"/>
        <v>0</v>
      </c>
      <c r="Q44" s="2532">
        <f t="shared" si="8"/>
        <v>0</v>
      </c>
      <c r="R44" s="2536"/>
      <c r="S44" s="2518"/>
      <c r="T44" s="2518"/>
      <c r="U44" s="2518"/>
      <c r="V44" s="2518"/>
      <c r="W44" s="2519"/>
      <c r="X44" s="2535"/>
    </row>
    <row r="45" spans="1:31">
      <c r="A45" s="2370" t="s">
        <v>438</v>
      </c>
      <c r="C45" s="2472" t="str">
        <f>C29</f>
        <v>licence fees (clause 6.4(b)(8)(d))</v>
      </c>
      <c r="D45" s="2473"/>
      <c r="E45" s="2474"/>
      <c r="F45" s="2473"/>
      <c r="G45" s="2474"/>
      <c r="H45" s="2474"/>
      <c r="I45" s="2529"/>
      <c r="J45" s="2524"/>
      <c r="K45" s="2331"/>
      <c r="L45" s="2530">
        <f t="shared" si="8"/>
        <v>0</v>
      </c>
      <c r="M45" s="2531">
        <f t="shared" si="8"/>
        <v>0</v>
      </c>
      <c r="N45" s="2530">
        <f t="shared" si="8"/>
        <v>0</v>
      </c>
      <c r="O45" s="2531">
        <f t="shared" si="8"/>
        <v>0</v>
      </c>
      <c r="P45" s="2531">
        <f t="shared" si="8"/>
        <v>0</v>
      </c>
      <c r="Q45" s="2532">
        <f t="shared" si="8"/>
        <v>0</v>
      </c>
      <c r="R45" s="2536"/>
      <c r="S45" s="2518"/>
      <c r="T45" s="2518"/>
      <c r="U45" s="2518"/>
      <c r="V45" s="2518"/>
      <c r="W45" s="2519"/>
      <c r="X45" s="2535"/>
    </row>
    <row r="46" spans="1:31">
      <c r="C46" s="2472" t="str">
        <f>C30</f>
        <v>debt raising costs (clause 6.4(b)(8)(e))</v>
      </c>
      <c r="D46" s="2537"/>
      <c r="E46" s="2538"/>
      <c r="F46" s="2537"/>
      <c r="G46" s="2538"/>
      <c r="H46" s="2538"/>
      <c r="I46" s="2539"/>
      <c r="J46" s="2524"/>
      <c r="K46" s="2331"/>
      <c r="L46" s="2540">
        <f t="shared" si="8"/>
        <v>0</v>
      </c>
      <c r="M46" s="2541">
        <f t="shared" si="8"/>
        <v>0</v>
      </c>
      <c r="N46" s="2540">
        <f t="shared" si="8"/>
        <v>0</v>
      </c>
      <c r="O46" s="2541">
        <f t="shared" si="8"/>
        <v>0</v>
      </c>
      <c r="P46" s="2541">
        <f t="shared" si="8"/>
        <v>0</v>
      </c>
      <c r="Q46" s="2542">
        <f t="shared" si="8"/>
        <v>0</v>
      </c>
      <c r="R46" s="2536"/>
      <c r="S46" s="2518"/>
      <c r="T46" s="2518"/>
      <c r="U46" s="2518"/>
      <c r="V46" s="2518"/>
      <c r="W46" s="2519"/>
      <c r="X46" s="2535"/>
    </row>
    <row r="47" spans="1:31">
      <c r="C47" s="2472" t="s">
        <v>1422</v>
      </c>
      <c r="D47" s="2537"/>
      <c r="E47" s="2538"/>
      <c r="F47" s="2537"/>
      <c r="G47" s="2538"/>
      <c r="H47" s="2538"/>
      <c r="I47" s="2539"/>
      <c r="J47" s="2524"/>
      <c r="K47" s="2331"/>
      <c r="L47" s="2540">
        <f t="shared" si="8"/>
        <v>0</v>
      </c>
      <c r="M47" s="2541">
        <f t="shared" si="8"/>
        <v>0</v>
      </c>
      <c r="N47" s="2540">
        <f t="shared" si="8"/>
        <v>0</v>
      </c>
      <c r="O47" s="2541">
        <f t="shared" si="8"/>
        <v>0</v>
      </c>
      <c r="P47" s="2541">
        <f t="shared" si="8"/>
        <v>0</v>
      </c>
      <c r="Q47" s="2542">
        <f t="shared" si="8"/>
        <v>0</v>
      </c>
      <c r="R47" s="2536"/>
      <c r="S47" s="2518"/>
      <c r="T47" s="2518"/>
      <c r="U47" s="2518"/>
      <c r="V47" s="2518"/>
      <c r="W47" s="2519"/>
      <c r="X47" s="2535"/>
    </row>
    <row r="48" spans="1:31" ht="26.25" thickBot="1">
      <c r="C48" s="3292" t="str">
        <f t="shared" ref="C48" si="9">C31</f>
        <v>any other activity that the Service Provider and the Regulator agree to exclude from the operation of the efficiency carryover mechanism (clause 6.4(b)(8)(g))</v>
      </c>
      <c r="D48" s="2482"/>
      <c r="E48" s="2483"/>
      <c r="F48" s="2482"/>
      <c r="G48" s="2483"/>
      <c r="H48" s="2483"/>
      <c r="I48" s="2543"/>
      <c r="J48" s="2524"/>
      <c r="K48" s="2331"/>
      <c r="L48" s="2540">
        <f t="shared" si="8"/>
        <v>0</v>
      </c>
      <c r="M48" s="2541">
        <f t="shared" si="8"/>
        <v>0</v>
      </c>
      <c r="N48" s="2540">
        <f t="shared" si="8"/>
        <v>0</v>
      </c>
      <c r="O48" s="2541">
        <f t="shared" si="8"/>
        <v>0</v>
      </c>
      <c r="P48" s="2541">
        <f t="shared" si="8"/>
        <v>0</v>
      </c>
      <c r="Q48" s="2542">
        <f t="shared" si="8"/>
        <v>0</v>
      </c>
      <c r="R48" s="2536"/>
      <c r="S48" s="2518"/>
      <c r="T48" s="2518"/>
      <c r="U48" s="2518"/>
      <c r="V48" s="2518"/>
      <c r="W48" s="2519"/>
      <c r="X48" s="2535"/>
    </row>
    <row r="49" spans="1:33" ht="15.75" thickBot="1">
      <c r="A49" s="2370" t="s">
        <v>439</v>
      </c>
      <c r="C49" s="2485" t="s">
        <v>1412</v>
      </c>
      <c r="D49" s="2544">
        <f t="shared" ref="D49:I49" si="10">+D40-SUM(D42:D48)</f>
        <v>0</v>
      </c>
      <c r="E49" s="2545">
        <f t="shared" si="10"/>
        <v>0</v>
      </c>
      <c r="F49" s="2546">
        <f t="shared" si="10"/>
        <v>0</v>
      </c>
      <c r="G49" s="2545">
        <f t="shared" si="10"/>
        <v>0</v>
      </c>
      <c r="H49" s="2545">
        <f t="shared" si="10"/>
        <v>0</v>
      </c>
      <c r="I49" s="2547">
        <f t="shared" si="10"/>
        <v>0</v>
      </c>
      <c r="J49" s="2548"/>
      <c r="K49" s="2331"/>
      <c r="L49" s="2549">
        <f t="shared" ref="L49:Q49" si="11">L40+SUM(L42:L48)</f>
        <v>0</v>
      </c>
      <c r="M49" s="2550">
        <f t="shared" si="11"/>
        <v>0</v>
      </c>
      <c r="N49" s="2549">
        <f t="shared" si="11"/>
        <v>0</v>
      </c>
      <c r="O49" s="2550">
        <f t="shared" si="11"/>
        <v>0</v>
      </c>
      <c r="P49" s="2550">
        <f t="shared" si="11"/>
        <v>0</v>
      </c>
      <c r="Q49" s="2551">
        <f t="shared" si="11"/>
        <v>0</v>
      </c>
      <c r="R49" s="2552">
        <f>+Q49+R34-Q34</f>
        <v>0</v>
      </c>
      <c r="S49" s="2553"/>
      <c r="T49" s="2553"/>
      <c r="U49" s="2553"/>
      <c r="V49" s="2553"/>
      <c r="W49" s="2554"/>
      <c r="X49" s="2464"/>
    </row>
    <row r="50" spans="1:33" ht="39.950000000000003" customHeight="1" thickBot="1">
      <c r="C50" s="2334"/>
      <c r="D50" s="2334"/>
      <c r="E50" s="2555"/>
      <c r="F50" s="2334"/>
      <c r="G50" s="2334"/>
      <c r="H50" s="2334"/>
      <c r="I50" s="2334"/>
      <c r="J50" s="2334"/>
      <c r="K50" s="2331"/>
      <c r="L50" s="2334"/>
      <c r="M50" s="2334"/>
      <c r="N50" s="2334"/>
      <c r="O50" s="2334"/>
      <c r="P50" s="2334"/>
      <c r="Q50" s="2556"/>
      <c r="R50" s="2557"/>
      <c r="S50" s="2558"/>
      <c r="T50" s="2558"/>
      <c r="U50" s="2558"/>
      <c r="V50" s="2558"/>
      <c r="W50" s="2558"/>
      <c r="X50" s="2558"/>
    </row>
    <row r="51" spans="1:33" s="2391" customFormat="1" ht="18.75" thickBot="1">
      <c r="A51" s="2390"/>
      <c r="C51" s="2559"/>
      <c r="D51" s="2559"/>
      <c r="E51" s="2559"/>
      <c r="F51" s="2559"/>
      <c r="G51" s="2559"/>
      <c r="H51" s="2559"/>
      <c r="I51" s="2559"/>
      <c r="J51" s="2560"/>
      <c r="L51" s="2561" t="str">
        <f>CONCATENATE("Incremental gain ($m, ",CRCP_y5,")")</f>
        <v>Incremental gain ($m, 2017)</v>
      </c>
      <c r="M51" s="2562"/>
      <c r="N51" s="2563"/>
      <c r="O51" s="2563"/>
      <c r="P51" s="2563"/>
      <c r="Q51" s="2563"/>
      <c r="R51" s="2563"/>
      <c r="S51" s="2563"/>
      <c r="T51" s="2563"/>
      <c r="U51" s="2563"/>
      <c r="V51" s="2563"/>
      <c r="W51" s="2564"/>
      <c r="X51" s="2376"/>
      <c r="Y51" s="2331"/>
      <c r="Z51" s="2331"/>
      <c r="AA51" s="2331"/>
      <c r="AB51" s="2331"/>
      <c r="AC51" s="2331"/>
      <c r="AD51" s="2331"/>
      <c r="AE51" s="2331"/>
    </row>
    <row r="52" spans="1:33" ht="15.75" thickBot="1">
      <c r="C52" s="2334"/>
      <c r="D52" s="2334"/>
      <c r="E52" s="2334"/>
      <c r="F52" s="2334"/>
      <c r="G52" s="2334"/>
      <c r="H52" s="2334"/>
      <c r="I52" s="2334"/>
      <c r="J52" s="2334"/>
      <c r="K52" s="2331"/>
      <c r="L52" s="2565"/>
      <c r="M52" s="2566"/>
      <c r="N52" s="2567">
        <f>(N34-N49)-(M34-M49)+(L34-L49)</f>
        <v>0</v>
      </c>
      <c r="O52" s="2568">
        <f>(O34-O49)-(N34-N49)</f>
        <v>0</v>
      </c>
      <c r="P52" s="2568">
        <f>(P34-P49)-(O34-O49)</f>
        <v>0</v>
      </c>
      <c r="Q52" s="2568">
        <f>(Q34-Q49)-(P34-P49)</f>
        <v>0</v>
      </c>
      <c r="R52" s="2569">
        <f>(R34-R49)-(Q34-Q49)</f>
        <v>0</v>
      </c>
      <c r="S52" s="2570"/>
      <c r="T52" s="2571"/>
      <c r="U52" s="2571"/>
      <c r="V52" s="2571"/>
      <c r="W52" s="2572"/>
      <c r="X52" s="2464"/>
    </row>
    <row r="53" spans="1:33" ht="39.950000000000003" customHeight="1" thickBot="1">
      <c r="F53" s="2334"/>
      <c r="G53" s="2334"/>
      <c r="H53" s="2334"/>
      <c r="I53" s="2334"/>
      <c r="J53" s="2334"/>
      <c r="K53" s="2331"/>
      <c r="L53" s="2573"/>
      <c r="M53" s="2573"/>
      <c r="N53" s="2574"/>
      <c r="O53" s="2573"/>
      <c r="P53" s="2573"/>
      <c r="Q53" s="2573"/>
      <c r="R53" s="2573"/>
      <c r="S53" s="2573"/>
      <c r="T53" s="2573"/>
      <c r="U53" s="2573"/>
      <c r="V53" s="2573"/>
      <c r="W53" s="2573"/>
      <c r="X53" s="2427"/>
    </row>
    <row r="54" spans="1:33" s="2391" customFormat="1" ht="18.75" thickBot="1">
      <c r="A54" s="2390"/>
      <c r="C54" s="2559"/>
      <c r="D54" s="2559"/>
      <c r="E54" s="2559"/>
      <c r="F54" s="2559"/>
      <c r="G54" s="2559"/>
      <c r="H54" s="2559"/>
      <c r="I54" s="2559"/>
      <c r="J54" s="2575"/>
      <c r="L54" s="2576" t="s">
        <v>440</v>
      </c>
      <c r="M54" s="2563"/>
      <c r="N54" s="3994" t="str">
        <f>CONCATENATE("$m, real ", CRCP_y5)</f>
        <v>$m, real 2017</v>
      </c>
      <c r="O54" s="3995"/>
      <c r="P54" s="3995"/>
      <c r="Q54" s="3995"/>
      <c r="R54" s="3995"/>
      <c r="S54" s="3995"/>
      <c r="T54" s="3995"/>
      <c r="U54" s="3995"/>
      <c r="V54" s="3995"/>
      <c r="W54" s="3996"/>
      <c r="X54" s="2577" t="s">
        <v>410</v>
      </c>
      <c r="Y54" s="2578"/>
      <c r="Z54" s="2331"/>
      <c r="AA54" s="2331"/>
      <c r="AB54" s="2331"/>
      <c r="AC54" s="2331"/>
      <c r="AD54" s="2331"/>
      <c r="AE54" s="2331"/>
      <c r="AF54" s="2331"/>
    </row>
    <row r="55" spans="1:33" ht="15.75" thickBot="1">
      <c r="C55" s="2334"/>
      <c r="D55" s="2334"/>
      <c r="E55" s="2334"/>
      <c r="F55" s="2334"/>
      <c r="G55" s="2334"/>
      <c r="H55" s="2334"/>
      <c r="I55" s="2334"/>
      <c r="J55" s="2334"/>
      <c r="K55" s="2331"/>
      <c r="L55" s="3997">
        <f>CRCP_y1</f>
        <v>2013</v>
      </c>
      <c r="M55" s="3998"/>
      <c r="N55" s="2579"/>
      <c r="O55" s="2580">
        <f>$N$52</f>
        <v>0</v>
      </c>
      <c r="P55" s="2515">
        <f>$N$52</f>
        <v>0</v>
      </c>
      <c r="Q55" s="2581">
        <f>$N$52</f>
        <v>0</v>
      </c>
      <c r="R55" s="2515">
        <f>$N$52</f>
        <v>0</v>
      </c>
      <c r="S55" s="2582">
        <f>$N$52</f>
        <v>0</v>
      </c>
      <c r="T55" s="2583"/>
      <c r="U55" s="2583"/>
      <c r="V55" s="2583"/>
      <c r="W55" s="2584"/>
      <c r="X55" s="2585"/>
    </row>
    <row r="56" spans="1:33" ht="15.75" thickBot="1">
      <c r="C56" s="2334"/>
      <c r="D56" s="2334"/>
      <c r="E56" s="2334"/>
      <c r="F56" s="2334"/>
      <c r="G56" s="2334"/>
      <c r="H56" s="2334"/>
      <c r="I56" s="2334"/>
      <c r="J56" s="2334"/>
      <c r="K56" s="2331"/>
      <c r="L56" s="3999">
        <f>CRCP_y2</f>
        <v>2014</v>
      </c>
      <c r="M56" s="4000"/>
      <c r="N56" s="2586"/>
      <c r="O56" s="2587"/>
      <c r="P56" s="2588">
        <f>$O$52</f>
        <v>0</v>
      </c>
      <c r="Q56" s="2589">
        <f>$O$52</f>
        <v>0</v>
      </c>
      <c r="R56" s="2531">
        <f>$O$52</f>
        <v>0</v>
      </c>
      <c r="S56" s="2589">
        <f>$O$52</f>
        <v>0</v>
      </c>
      <c r="T56" s="2590">
        <f>$O$52</f>
        <v>0</v>
      </c>
      <c r="U56" s="2591"/>
      <c r="V56" s="2591"/>
      <c r="W56" s="2592"/>
      <c r="X56" s="2585"/>
    </row>
    <row r="57" spans="1:33" ht="15.75" thickBot="1">
      <c r="C57" s="2334"/>
      <c r="D57" s="2334"/>
      <c r="E57" s="2334"/>
      <c r="F57" s="2334"/>
      <c r="G57" s="2334"/>
      <c r="H57" s="2334"/>
      <c r="I57" s="2334"/>
      <c r="J57" s="2334"/>
      <c r="K57" s="2331"/>
      <c r="L57" s="3999">
        <f>CRCP_y3</f>
        <v>2015</v>
      </c>
      <c r="M57" s="4000"/>
      <c r="N57" s="2586"/>
      <c r="O57" s="2591"/>
      <c r="P57" s="2587"/>
      <c r="Q57" s="2593">
        <f>$P$52</f>
        <v>0</v>
      </c>
      <c r="R57" s="2531">
        <f>$P$52</f>
        <v>0</v>
      </c>
      <c r="S57" s="2589">
        <f>$P$52</f>
        <v>0</v>
      </c>
      <c r="T57" s="2531">
        <f>$P$52</f>
        <v>0</v>
      </c>
      <c r="U57" s="2582">
        <f>$P$52</f>
        <v>0</v>
      </c>
      <c r="V57" s="2591"/>
      <c r="W57" s="2592"/>
      <c r="X57" s="2585"/>
    </row>
    <row r="58" spans="1:33" ht="15.75" thickBot="1">
      <c r="C58" s="2334"/>
      <c r="D58" s="2334"/>
      <c r="E58" s="2334"/>
      <c r="F58" s="2334"/>
      <c r="G58" s="2334"/>
      <c r="H58" s="2334"/>
      <c r="I58" s="2334"/>
      <c r="J58" s="2334"/>
      <c r="K58" s="2331"/>
      <c r="L58" s="3999">
        <f>CRCP_y4</f>
        <v>2016</v>
      </c>
      <c r="M58" s="4000"/>
      <c r="N58" s="2586"/>
      <c r="O58" s="2591"/>
      <c r="P58" s="2591"/>
      <c r="Q58" s="2587"/>
      <c r="R58" s="2588">
        <f>$Q$52</f>
        <v>0</v>
      </c>
      <c r="S58" s="2531">
        <f>$Q$52</f>
        <v>0</v>
      </c>
      <c r="T58" s="2541">
        <f>$Q$52</f>
        <v>0</v>
      </c>
      <c r="U58" s="2589">
        <f>$Q$52</f>
        <v>0</v>
      </c>
      <c r="V58" s="2590">
        <f>$Q$52</f>
        <v>0</v>
      </c>
      <c r="W58" s="2594"/>
      <c r="X58" s="2585"/>
    </row>
    <row r="59" spans="1:33" ht="15.75" thickBot="1">
      <c r="C59" s="2595"/>
      <c r="D59" s="2595"/>
      <c r="E59" s="2595"/>
      <c r="F59" s="2595"/>
      <c r="G59" s="2596"/>
      <c r="H59" s="2596"/>
      <c r="I59" s="2596"/>
      <c r="J59" s="2596"/>
      <c r="K59" s="2331"/>
      <c r="L59" s="3999">
        <f>CRCP_y5</f>
        <v>2017</v>
      </c>
      <c r="M59" s="4000"/>
      <c r="N59" s="2597"/>
      <c r="O59" s="2598"/>
      <c r="P59" s="2598"/>
      <c r="Q59" s="2598"/>
      <c r="R59" s="2599"/>
      <c r="S59" s="2593">
        <f>+$R$52</f>
        <v>0</v>
      </c>
      <c r="T59" s="2600">
        <f>+$R$52</f>
        <v>0</v>
      </c>
      <c r="U59" s="2601">
        <f>+$R$52</f>
        <v>0</v>
      </c>
      <c r="V59" s="2602">
        <f>+$R$52</f>
        <v>0</v>
      </c>
      <c r="W59" s="2603">
        <f>+$R$52</f>
        <v>0</v>
      </c>
      <c r="X59" s="2604"/>
    </row>
    <row r="60" spans="1:33" ht="15.75" customHeight="1" thickBot="1">
      <c r="C60" s="2595"/>
      <c r="D60" s="2595"/>
      <c r="E60" s="2595"/>
      <c r="F60" s="2595"/>
      <c r="G60" s="2596"/>
      <c r="H60" s="2596"/>
      <c r="I60" s="2596"/>
      <c r="J60" s="2596"/>
      <c r="K60" s="2331"/>
      <c r="L60" s="2605" t="s">
        <v>441</v>
      </c>
      <c r="M60" s="2606"/>
      <c r="N60" s="2606"/>
      <c r="O60" s="2607"/>
      <c r="P60" s="2607"/>
      <c r="Q60" s="2607"/>
      <c r="R60" s="2608"/>
      <c r="S60" s="2609">
        <f>+SUM(S55:S59)</f>
        <v>0</v>
      </c>
      <c r="T60" s="2610">
        <f>+SUM(T55:T59)</f>
        <v>0</v>
      </c>
      <c r="U60" s="2611">
        <f>+SUM(U55:U59)</f>
        <v>0</v>
      </c>
      <c r="V60" s="2612">
        <f>+SUM(V55:V59)</f>
        <v>0</v>
      </c>
      <c r="W60" s="2613">
        <f>+SUM(W55:W59)</f>
        <v>0</v>
      </c>
      <c r="X60" s="2614">
        <f>+SUM(S60:W60)</f>
        <v>0</v>
      </c>
    </row>
    <row r="61" spans="1:33" ht="15.75" thickBot="1">
      <c r="C61" s="2595"/>
      <c r="D61" s="2595"/>
      <c r="E61" s="2595"/>
      <c r="F61" s="2595"/>
      <c r="G61" s="2596"/>
      <c r="H61" s="2596"/>
      <c r="I61" s="2596"/>
      <c r="J61" s="2596"/>
      <c r="K61" s="2331"/>
      <c r="L61" s="2615"/>
      <c r="M61" s="2615"/>
      <c r="N61" s="2615"/>
      <c r="O61" s="2615"/>
      <c r="P61" s="2615"/>
      <c r="Q61" s="2615"/>
      <c r="R61" s="2615"/>
      <c r="S61" s="2616"/>
      <c r="T61" s="2616"/>
      <c r="U61" s="2616"/>
      <c r="V61" s="2616"/>
      <c r="W61" s="2616"/>
      <c r="X61" s="2535"/>
    </row>
    <row r="62" spans="1:33" ht="15.75" thickBot="1">
      <c r="C62" s="2595"/>
      <c r="D62" s="2595"/>
      <c r="E62" s="2595"/>
      <c r="F62" s="2595"/>
      <c r="G62" s="2595"/>
      <c r="H62" s="2595"/>
      <c r="I62" s="2595"/>
      <c r="J62" s="2595"/>
      <c r="K62" s="2331"/>
      <c r="L62" s="2617" t="s">
        <v>442</v>
      </c>
      <c r="M62" s="2618"/>
      <c r="N62" s="2618"/>
      <c r="O62" s="2619"/>
      <c r="P62" s="2619"/>
      <c r="Q62" s="2619"/>
      <c r="R62" s="2620"/>
      <c r="S62" s="2621">
        <f>S60</f>
        <v>0</v>
      </c>
      <c r="T62" s="2622">
        <f>T60</f>
        <v>0</v>
      </c>
      <c r="U62" s="2622">
        <f>U60</f>
        <v>0</v>
      </c>
      <c r="V62" s="2622">
        <f>V60</f>
        <v>0</v>
      </c>
      <c r="W62" s="2622">
        <f>W60</f>
        <v>0</v>
      </c>
      <c r="X62" s="2623">
        <f>+SUM(S62:W62)</f>
        <v>0</v>
      </c>
    </row>
    <row r="63" spans="1:33" ht="15.75" thickBot="1">
      <c r="C63" s="2624"/>
      <c r="D63" s="2624"/>
      <c r="E63" s="2624"/>
      <c r="F63" s="2624"/>
      <c r="G63" s="2624"/>
      <c r="H63" s="2624"/>
      <c r="I63" s="2624"/>
      <c r="J63" s="2331"/>
      <c r="K63" s="2625"/>
      <c r="L63" s="2625"/>
      <c r="M63" s="2625"/>
      <c r="N63" s="2625"/>
      <c r="O63" s="2625"/>
      <c r="P63" s="2626"/>
      <c r="Q63" s="2625"/>
      <c r="R63" s="2625"/>
      <c r="S63" s="2625"/>
      <c r="T63" s="2626"/>
      <c r="U63" s="2626"/>
      <c r="V63" s="2626"/>
      <c r="W63" s="2627"/>
      <c r="X63" s="2331"/>
      <c r="AG63" s="2374"/>
    </row>
    <row r="64" spans="1:33" s="2632" customFormat="1" ht="33" customHeight="1" thickBot="1">
      <c r="A64" s="2628"/>
      <c r="B64" s="2629"/>
      <c r="C64" s="2438" t="s">
        <v>1415</v>
      </c>
      <c r="D64" s="3290"/>
      <c r="E64" s="3290"/>
      <c r="F64" s="3290"/>
      <c r="G64" s="3290"/>
      <c r="H64" s="3290"/>
      <c r="I64" s="3291"/>
      <c r="J64" s="2331"/>
      <c r="K64" s="2382"/>
      <c r="L64" s="2382"/>
      <c r="M64" s="2382"/>
      <c r="N64" s="2382"/>
      <c r="O64" s="2382"/>
      <c r="P64" s="2630"/>
      <c r="Q64" s="2630" t="s">
        <v>415</v>
      </c>
      <c r="R64" s="2630"/>
      <c r="S64" s="2630"/>
      <c r="T64" s="2630"/>
      <c r="U64" s="2630"/>
      <c r="V64" s="2630"/>
      <c r="W64" s="2630"/>
      <c r="X64" s="2331"/>
      <c r="Y64" s="2331"/>
      <c r="Z64" s="2331"/>
      <c r="AA64" s="2331"/>
      <c r="AB64" s="2331"/>
      <c r="AC64" s="2331"/>
      <c r="AD64" s="2331"/>
      <c r="AE64" s="2331"/>
      <c r="AF64" s="2331"/>
      <c r="AG64" s="2631"/>
    </row>
    <row r="65" spans="1:33" s="2391" customFormat="1" ht="18" customHeight="1">
      <c r="A65" s="2370"/>
      <c r="B65" s="2370"/>
      <c r="C65" s="2441"/>
      <c r="D65" s="4001" t="s">
        <v>322</v>
      </c>
      <c r="E65" s="4002"/>
      <c r="F65" s="4002"/>
      <c r="G65" s="4002"/>
      <c r="H65" s="4003"/>
      <c r="I65" s="2633"/>
      <c r="J65" s="2634"/>
      <c r="K65" s="2635"/>
      <c r="L65" s="2635"/>
      <c r="M65" s="2634"/>
      <c r="N65" s="2634"/>
      <c r="O65" s="2634"/>
      <c r="P65" s="2636"/>
      <c r="Q65" s="2636"/>
      <c r="R65" s="2637"/>
      <c r="S65" s="2637"/>
      <c r="T65" s="2637"/>
      <c r="U65" s="2637"/>
      <c r="V65" s="2637"/>
      <c r="W65" s="2637"/>
      <c r="X65" s="2331"/>
      <c r="Y65" s="2331"/>
      <c r="Z65" s="2331"/>
      <c r="AA65" s="2331"/>
      <c r="AB65" s="2331"/>
      <c r="AC65" s="2331"/>
      <c r="AD65" s="2331"/>
    </row>
    <row r="66" spans="1:33" s="2391" customFormat="1" ht="18" customHeight="1" thickBot="1">
      <c r="A66" s="2638"/>
      <c r="B66" s="2638"/>
      <c r="C66" s="2441"/>
      <c r="D66" s="3984" t="str">
        <f>CONCATENATE("$m, real ", dms_DollarReal)</f>
        <v>$m, real December 2017</v>
      </c>
      <c r="E66" s="3985"/>
      <c r="F66" s="3985"/>
      <c r="G66" s="3985"/>
      <c r="H66" s="3986"/>
      <c r="I66" s="2639"/>
      <c r="J66" s="2640"/>
      <c r="K66" s="2634"/>
      <c r="L66" s="2634"/>
      <c r="M66" s="2640"/>
      <c r="N66" s="2640"/>
      <c r="O66" s="2640"/>
      <c r="P66" s="2636"/>
      <c r="Q66" s="2636"/>
      <c r="R66" s="2637"/>
      <c r="S66" s="2637"/>
      <c r="T66" s="2637"/>
      <c r="U66" s="2637"/>
      <c r="V66" s="2637"/>
      <c r="W66" s="2637"/>
      <c r="X66" s="2331"/>
      <c r="Y66" s="2331"/>
      <c r="Z66" s="2331"/>
      <c r="AA66" s="2331"/>
      <c r="AB66" s="2331"/>
      <c r="AC66" s="2331"/>
      <c r="AD66" s="2331"/>
    </row>
    <row r="67" spans="1:33" s="2391" customFormat="1" ht="15.75" thickBot="1">
      <c r="A67" s="2370"/>
      <c r="B67" s="2370"/>
      <c r="C67" s="2441"/>
      <c r="D67" s="2641" t="str">
        <f t="array" ref="D67:H67">FRCP</f>
        <v>2018</v>
      </c>
      <c r="E67" s="2642">
        <v>2019</v>
      </c>
      <c r="F67" s="2642">
        <v>2020</v>
      </c>
      <c r="G67" s="2642">
        <v>2021</v>
      </c>
      <c r="H67" s="2643">
        <v>2022</v>
      </c>
      <c r="I67" s="2639" t="s">
        <v>63</v>
      </c>
      <c r="J67" s="2640"/>
      <c r="K67" s="2634"/>
      <c r="L67" s="2634"/>
      <c r="M67" s="2640"/>
      <c r="N67" s="2640"/>
      <c r="O67" s="2640"/>
      <c r="P67" s="2636"/>
      <c r="Q67" s="2636"/>
      <c r="R67" s="2637"/>
      <c r="S67" s="2637"/>
      <c r="T67" s="2637"/>
      <c r="U67" s="2637"/>
      <c r="V67" s="2637"/>
      <c r="W67" s="2637"/>
      <c r="X67" s="2331"/>
      <c r="Y67" s="2331"/>
      <c r="Z67" s="2331"/>
      <c r="AA67" s="2331"/>
      <c r="AB67" s="2331"/>
      <c r="AC67" s="2331"/>
      <c r="AD67" s="2331"/>
    </row>
    <row r="68" spans="1:33">
      <c r="A68" s="2370" t="s">
        <v>443</v>
      </c>
      <c r="C68" s="2644" t="s">
        <v>755</v>
      </c>
      <c r="D68" s="2645"/>
      <c r="E68" s="2645"/>
      <c r="F68" s="2645"/>
      <c r="G68" s="2645"/>
      <c r="H68" s="2645"/>
      <c r="I68" s="2646">
        <f>+SUM(D68:H68)</f>
        <v>0</v>
      </c>
      <c r="J68" s="2331"/>
      <c r="K68" s="2647"/>
      <c r="L68" s="2647"/>
      <c r="M68" s="2625"/>
      <c r="N68" s="2625"/>
      <c r="O68" s="2625"/>
      <c r="P68" s="2647"/>
      <c r="Q68" s="2647"/>
      <c r="R68" s="2647"/>
      <c r="S68" s="2627"/>
      <c r="T68" s="2627"/>
      <c r="U68" s="2624"/>
      <c r="V68" s="2624"/>
      <c r="W68" s="2624"/>
      <c r="X68" s="2331"/>
      <c r="AG68" s="2374"/>
    </row>
    <row r="69" spans="1:33">
      <c r="C69" s="2648" t="s">
        <v>444</v>
      </c>
      <c r="D69" s="2649"/>
      <c r="E69" s="2649"/>
      <c r="F69" s="2649"/>
      <c r="G69" s="2649"/>
      <c r="H69" s="2649"/>
      <c r="I69" s="2650"/>
      <c r="J69" s="2331"/>
      <c r="K69" s="2651"/>
      <c r="L69" s="2651"/>
      <c r="M69" s="2625"/>
      <c r="N69" s="2625"/>
      <c r="O69" s="2625"/>
      <c r="P69" s="2651"/>
      <c r="Q69" s="2651"/>
      <c r="R69" s="2651"/>
      <c r="S69" s="2652"/>
      <c r="T69" s="2627"/>
      <c r="U69" s="2624"/>
      <c r="V69" s="2624"/>
      <c r="W69" s="2624"/>
      <c r="X69" s="2331"/>
      <c r="AG69" s="2374"/>
    </row>
    <row r="70" spans="1:33">
      <c r="A70" s="2370" t="s">
        <v>445</v>
      </c>
      <c r="C70" s="2653" t="s">
        <v>446</v>
      </c>
      <c r="D70" s="2654"/>
      <c r="E70" s="2654"/>
      <c r="F70" s="2654"/>
      <c r="G70" s="2654"/>
      <c r="H70" s="2654"/>
      <c r="I70" s="2655">
        <f t="shared" ref="I70:I79" si="12">+SUM(D70:H70)</f>
        <v>0</v>
      </c>
      <c r="J70" s="2331"/>
      <c r="K70" s="2625"/>
      <c r="L70" s="2625"/>
      <c r="M70" s="2625"/>
      <c r="N70" s="2625"/>
      <c r="O70" s="2625"/>
      <c r="P70" s="2625"/>
      <c r="Q70" s="2625"/>
      <c r="R70" s="2625"/>
      <c r="S70" s="2627"/>
      <c r="T70" s="2652"/>
      <c r="U70" s="2624"/>
      <c r="V70" s="2624"/>
      <c r="W70" s="2624"/>
      <c r="X70" s="2331"/>
      <c r="AG70" s="2374"/>
    </row>
    <row r="71" spans="1:33">
      <c r="A71" s="2370" t="s">
        <v>447</v>
      </c>
      <c r="C71" s="2656" t="s">
        <v>448</v>
      </c>
      <c r="D71" s="2654"/>
      <c r="E71" s="2654"/>
      <c r="F71" s="2654"/>
      <c r="G71" s="2654"/>
      <c r="H71" s="2654"/>
      <c r="I71" s="2655">
        <f t="shared" si="12"/>
        <v>0</v>
      </c>
      <c r="J71" s="2331"/>
      <c r="K71" s="2625"/>
      <c r="L71" s="2625"/>
      <c r="P71" s="2625"/>
      <c r="Q71" s="2625"/>
      <c r="R71" s="2625"/>
      <c r="S71" s="2627"/>
      <c r="T71" s="2627"/>
      <c r="U71" s="2624"/>
      <c r="V71" s="2624"/>
      <c r="W71" s="2624"/>
      <c r="X71" s="2331"/>
      <c r="AG71" s="2374"/>
    </row>
    <row r="72" spans="1:33">
      <c r="A72" s="2370" t="s">
        <v>449</v>
      </c>
      <c r="C72" s="2656" t="s">
        <v>448</v>
      </c>
      <c r="D72" s="2654"/>
      <c r="E72" s="2654"/>
      <c r="F72" s="2654"/>
      <c r="G72" s="2654"/>
      <c r="H72" s="2654"/>
      <c r="I72" s="2655">
        <f t="shared" si="12"/>
        <v>0</v>
      </c>
      <c r="J72" s="2331"/>
      <c r="K72" s="2625"/>
      <c r="L72" s="2625"/>
      <c r="P72" s="2625"/>
      <c r="Q72" s="2625"/>
      <c r="R72" s="2625"/>
      <c r="S72" s="2627"/>
      <c r="T72" s="2627"/>
      <c r="U72" s="2624"/>
      <c r="V72" s="2624"/>
      <c r="W72" s="2624"/>
      <c r="X72" s="2331"/>
      <c r="AG72" s="2374"/>
    </row>
    <row r="73" spans="1:33">
      <c r="A73" s="2370" t="s">
        <v>450</v>
      </c>
      <c r="C73" s="2656" t="s">
        <v>448</v>
      </c>
      <c r="D73" s="2654"/>
      <c r="E73" s="2654"/>
      <c r="F73" s="2654"/>
      <c r="G73" s="2654"/>
      <c r="H73" s="2654"/>
      <c r="I73" s="2655">
        <f t="shared" si="12"/>
        <v>0</v>
      </c>
      <c r="J73" s="2331"/>
      <c r="T73" s="2627"/>
      <c r="U73" s="2624"/>
      <c r="V73" s="2624"/>
      <c r="W73" s="2624"/>
      <c r="X73" s="2331"/>
      <c r="AG73" s="2374"/>
    </row>
    <row r="74" spans="1:33">
      <c r="A74" s="2370" t="s">
        <v>451</v>
      </c>
      <c r="C74" s="2656" t="s">
        <v>448</v>
      </c>
      <c r="D74" s="2654"/>
      <c r="E74" s="2654"/>
      <c r="F74" s="2654"/>
      <c r="G74" s="2654"/>
      <c r="H74" s="2654"/>
      <c r="I74" s="2655">
        <f t="shared" si="12"/>
        <v>0</v>
      </c>
      <c r="J74" s="2331"/>
      <c r="X74" s="2331"/>
      <c r="AG74" s="2374"/>
    </row>
    <row r="75" spans="1:33">
      <c r="A75" s="2370" t="s">
        <v>452</v>
      </c>
      <c r="C75" s="2656" t="s">
        <v>448</v>
      </c>
      <c r="D75" s="2654"/>
      <c r="E75" s="2654"/>
      <c r="F75" s="2654"/>
      <c r="G75" s="2654"/>
      <c r="H75" s="2654"/>
      <c r="I75" s="2655">
        <f t="shared" si="12"/>
        <v>0</v>
      </c>
      <c r="J75" s="2331"/>
      <c r="X75" s="2331"/>
      <c r="AG75" s="2374"/>
    </row>
    <row r="76" spans="1:33">
      <c r="A76" s="2370" t="s">
        <v>453</v>
      </c>
      <c r="C76" s="2656" t="s">
        <v>448</v>
      </c>
      <c r="D76" s="2654"/>
      <c r="E76" s="2654"/>
      <c r="F76" s="2654"/>
      <c r="G76" s="2654"/>
      <c r="H76" s="2654"/>
      <c r="I76" s="2655">
        <f t="shared" si="12"/>
        <v>0</v>
      </c>
      <c r="J76" s="2331"/>
      <c r="X76" s="2331"/>
      <c r="AG76" s="2374"/>
    </row>
    <row r="77" spans="1:33">
      <c r="A77" s="2370" t="s">
        <v>454</v>
      </c>
      <c r="C77" s="2656" t="s">
        <v>448</v>
      </c>
      <c r="D77" s="2654"/>
      <c r="E77" s="2654"/>
      <c r="F77" s="2654"/>
      <c r="G77" s="2654"/>
      <c r="H77" s="2654"/>
      <c r="I77" s="2655">
        <f t="shared" si="12"/>
        <v>0</v>
      </c>
      <c r="J77" s="2331"/>
      <c r="X77" s="2331"/>
      <c r="AG77" s="2374"/>
    </row>
    <row r="78" spans="1:33">
      <c r="A78" s="2370" t="s">
        <v>455</v>
      </c>
      <c r="C78" s="2656" t="s">
        <v>448</v>
      </c>
      <c r="D78" s="2654"/>
      <c r="E78" s="2654"/>
      <c r="F78" s="2654"/>
      <c r="G78" s="2654"/>
      <c r="H78" s="2654"/>
      <c r="I78" s="2655">
        <f t="shared" si="12"/>
        <v>0</v>
      </c>
      <c r="J78" s="2331"/>
      <c r="X78" s="2331"/>
      <c r="AG78" s="2374"/>
    </row>
    <row r="79" spans="1:33" ht="15.75" thickBot="1">
      <c r="A79" s="2370" t="s">
        <v>456</v>
      </c>
      <c r="C79" s="2657" t="s">
        <v>448</v>
      </c>
      <c r="D79" s="2654"/>
      <c r="E79" s="2654"/>
      <c r="F79" s="2654"/>
      <c r="G79" s="2654"/>
      <c r="H79" s="2654"/>
      <c r="I79" s="2655">
        <f t="shared" si="12"/>
        <v>0</v>
      </c>
      <c r="J79" s="2331"/>
      <c r="X79" s="2331"/>
      <c r="AG79" s="2374"/>
    </row>
    <row r="80" spans="1:33" ht="15.75" thickBot="1">
      <c r="A80" s="2370" t="s">
        <v>457</v>
      </c>
      <c r="C80" s="2658" t="s">
        <v>458</v>
      </c>
      <c r="D80" s="2659">
        <f t="shared" ref="D80:I80" si="13">+D68-SUM(D70:D79)</f>
        <v>0</v>
      </c>
      <c r="E80" s="2659">
        <f t="shared" si="13"/>
        <v>0</v>
      </c>
      <c r="F80" s="2659">
        <f t="shared" si="13"/>
        <v>0</v>
      </c>
      <c r="G80" s="2659">
        <f t="shared" si="13"/>
        <v>0</v>
      </c>
      <c r="H80" s="2659">
        <f t="shared" si="13"/>
        <v>0</v>
      </c>
      <c r="I80" s="2660">
        <f t="shared" si="13"/>
        <v>0</v>
      </c>
      <c r="J80" s="2331"/>
      <c r="X80" s="2331"/>
      <c r="AG80" s="2374"/>
    </row>
    <row r="81" spans="24:33">
      <c r="X81" s="2331"/>
      <c r="AG81" s="2374"/>
    </row>
  </sheetData>
  <mergeCells count="30">
    <mergeCell ref="D37:E37"/>
    <mergeCell ref="F37:J37"/>
    <mergeCell ref="L37:M37"/>
    <mergeCell ref="N37:R37"/>
    <mergeCell ref="C8:L8"/>
    <mergeCell ref="D12:H12"/>
    <mergeCell ref="I12:J12"/>
    <mergeCell ref="L12:P12"/>
    <mergeCell ref="Q12:R12"/>
    <mergeCell ref="D23:E23"/>
    <mergeCell ref="F23:J23"/>
    <mergeCell ref="L23:M23"/>
    <mergeCell ref="N23:R23"/>
    <mergeCell ref="S23:W23"/>
    <mergeCell ref="D24:E24"/>
    <mergeCell ref="F24:J24"/>
    <mergeCell ref="L24:M24"/>
    <mergeCell ref="N24:R24"/>
    <mergeCell ref="D66:H66"/>
    <mergeCell ref="D38:E38"/>
    <mergeCell ref="F38:J38"/>
    <mergeCell ref="L38:M38"/>
    <mergeCell ref="N38:R38"/>
    <mergeCell ref="N54:W54"/>
    <mergeCell ref="L55:M55"/>
    <mergeCell ref="L56:M56"/>
    <mergeCell ref="L57:M57"/>
    <mergeCell ref="L58:M58"/>
    <mergeCell ref="L59:M59"/>
    <mergeCell ref="D65:H65"/>
  </mergeCells>
  <dataValidations count="5">
    <dataValidation type="custom" allowBlank="1" showInputMessage="1" showErrorMessage="1" error="Must be a number" promptTitle="Excluded costs" prompt="Enter value in $million." sqref="D70:H79">
      <formula1>ISNUMBER(D70)</formula1>
    </dataValidation>
    <dataValidation type="textLength" operator="lessThanOrEqual" allowBlank="1" showInputMessage="1" showErrorMessage="1" prompt="Enter category proposed for exclusion." sqref="C71:C79">
      <formula1>150</formula1>
    </dataValidation>
    <dataValidation type="custom" allowBlank="1" showInputMessage="1" showErrorMessage="1" error="Must be a number" promptTitle="Actual opex" prompt="Enter value._x000a_As set out in the regulatory accounts for the current regulatory control period." sqref="F40:I40">
      <formula1>ISNUMBER(F40)</formula1>
    </dataValidation>
    <dataValidation type="custom" allowBlank="1" showInputMessage="1" showErrorMessage="1" error="Must be a number" promptTitle="Opex allowance" prompt="Enter value. _x000a__x000a_As set out in the approved PTRM for the current regulatory control period." sqref="F26:K26">
      <formula1>ISNUMBER(F26)</formula1>
    </dataValidation>
    <dataValidation type="custom" allowBlank="1" showInputMessage="1" showErrorMessage="1" error="Must be a number" prompt="Enter value" sqref="F28:K33">
      <formula1>ISNUMBER(F28)</formula1>
    </dataValidation>
  </dataValidations>
  <pageMargins left="0.7" right="0.7" top="0.75" bottom="0.75" header="0.3" footer="0.3"/>
  <pageSetup paperSize="8" scale="45" fitToWidth="0" orientation="landscape" r:id="rId1"/>
  <rowBreaks count="1" manualBreakCount="1">
    <brk id="49" min="2" max="26" man="1"/>
  </rowBreaks>
  <colBreaks count="1" manualBreakCount="1">
    <brk id="33" max="1048575" man="1"/>
  </colBreaks>
  <customProperties>
    <customPr name="_pios_id" r:id="rId2"/>
  </customProperties>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59999389629810485"/>
    <pageSetUpPr autoPageBreaks="0"/>
  </sheetPr>
  <dimension ref="A1:AE28"/>
  <sheetViews>
    <sheetView showGridLines="0" zoomScale="70" zoomScaleNormal="70" workbookViewId="0"/>
  </sheetViews>
  <sheetFormatPr defaultColWidth="9.140625" defaultRowHeight="12.75"/>
  <cols>
    <col min="1" max="1" width="16.28515625" style="114" bestFit="1" customWidth="1"/>
    <col min="2" max="2" width="55.85546875" style="114" customWidth="1"/>
    <col min="3" max="17" width="15.7109375" style="114" customWidth="1"/>
    <col min="18" max="20" width="8.7109375"/>
    <col min="21" max="28" width="15.7109375" style="233" customWidth="1"/>
    <col min="29" max="31" width="8.7109375" customWidth="1"/>
    <col min="32" max="16384" width="9.140625" style="114"/>
  </cols>
  <sheetData>
    <row r="1" spans="1:31"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c r="AD1"/>
      <c r="AE1"/>
    </row>
    <row r="2" spans="1:31" s="223" customFormat="1" ht="24.95"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s="1428"/>
      <c r="S2" s="1428"/>
      <c r="T2" s="1428"/>
      <c r="U2" s="1428"/>
      <c r="V2" s="1428"/>
      <c r="W2" s="1428"/>
      <c r="X2" s="1428"/>
      <c r="Y2" s="1428"/>
      <c r="Z2" s="1428"/>
      <c r="AA2" s="1428"/>
      <c r="AB2" s="1428"/>
      <c r="AC2"/>
      <c r="AD2"/>
      <c r="AE2"/>
    </row>
    <row r="3" spans="1:31"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s="1426"/>
      <c r="S3" s="1426"/>
      <c r="T3" s="1426"/>
      <c r="U3" s="1426"/>
      <c r="V3" s="1426"/>
      <c r="W3" s="1426"/>
      <c r="X3" s="1426"/>
      <c r="Y3" s="1426"/>
      <c r="Z3" s="1426"/>
      <c r="AA3" s="1426"/>
      <c r="AB3" s="1426"/>
      <c r="AC3"/>
      <c r="AD3"/>
      <c r="AE3"/>
    </row>
    <row r="4" spans="1:31" s="165" customFormat="1" ht="24" customHeight="1">
      <c r="B4" s="10" t="s">
        <v>396</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1" customFormat="1"/>
    <row r="6" spans="1:31" customFormat="1"/>
    <row r="7" spans="1:31">
      <c r="A7" s="992"/>
      <c r="B7" s="118" t="s">
        <v>59</v>
      </c>
      <c r="C7" s="115"/>
      <c r="D7" s="121"/>
      <c r="E7" s="992"/>
      <c r="F7" s="992"/>
      <c r="G7" s="992"/>
      <c r="H7" s="992"/>
      <c r="I7" s="992"/>
      <c r="J7" s="992"/>
      <c r="K7" s="992"/>
      <c r="L7" s="992"/>
      <c r="M7" s="992"/>
      <c r="N7" s="992"/>
      <c r="O7" s="992"/>
      <c r="P7" s="992"/>
      <c r="Q7" s="992"/>
      <c r="U7"/>
      <c r="V7"/>
      <c r="W7" s="992"/>
      <c r="X7" s="992"/>
      <c r="Y7" s="992"/>
      <c r="Z7" s="992"/>
      <c r="AA7" s="992"/>
      <c r="AB7" s="992"/>
    </row>
    <row r="8" spans="1:31" s="987" customFormat="1" ht="36" customHeight="1">
      <c r="A8" s="993"/>
      <c r="B8" s="4025" t="s">
        <v>276</v>
      </c>
      <c r="C8" s="3671"/>
      <c r="D8" s="3671"/>
      <c r="E8" s="993"/>
      <c r="F8" s="993"/>
      <c r="G8" s="993"/>
      <c r="H8" s="993"/>
      <c r="I8" s="993"/>
      <c r="J8" s="993"/>
      <c r="K8" s="993"/>
      <c r="L8" s="993"/>
      <c r="M8" s="993"/>
      <c r="N8" s="993"/>
      <c r="O8" s="993"/>
      <c r="P8" s="993"/>
      <c r="Q8" s="993"/>
      <c r="R8"/>
      <c r="S8"/>
      <c r="T8"/>
      <c r="U8"/>
      <c r="V8"/>
      <c r="W8" s="993"/>
      <c r="X8" s="993"/>
      <c r="Y8" s="993"/>
      <c r="Z8" s="993"/>
      <c r="AA8" s="993"/>
      <c r="AB8" s="993"/>
      <c r="AC8"/>
      <c r="AD8"/>
      <c r="AE8"/>
    </row>
    <row r="9" spans="1:31" ht="38.25" customHeight="1">
      <c r="A9" s="992"/>
      <c r="C9" s="992"/>
      <c r="D9" s="992"/>
      <c r="E9" s="992"/>
      <c r="F9" s="992"/>
      <c r="G9" s="992"/>
      <c r="H9" s="992"/>
      <c r="I9" s="992"/>
      <c r="J9" s="992"/>
      <c r="K9" s="992"/>
      <c r="L9" s="992"/>
      <c r="M9" s="992"/>
      <c r="N9" s="992"/>
      <c r="O9" s="992"/>
      <c r="P9" s="992"/>
      <c r="Q9" s="992"/>
      <c r="U9" s="992"/>
      <c r="V9" s="992"/>
      <c r="W9" s="992"/>
      <c r="X9" s="992"/>
      <c r="Y9" s="992"/>
      <c r="Z9" s="992"/>
      <c r="AA9" s="992"/>
      <c r="AB9" s="992"/>
    </row>
    <row r="10" spans="1:31" ht="20.25" customHeight="1" thickBot="1">
      <c r="A10" s="992"/>
      <c r="C10" s="992"/>
      <c r="D10" s="992"/>
      <c r="E10" s="992"/>
      <c r="F10" s="992"/>
      <c r="G10" s="992"/>
      <c r="H10" s="992"/>
      <c r="I10" s="992"/>
      <c r="J10" s="992"/>
      <c r="K10" s="992"/>
      <c r="L10" s="992"/>
      <c r="M10" s="992"/>
      <c r="N10" s="992"/>
      <c r="O10" s="992"/>
      <c r="P10" s="992"/>
      <c r="Q10" s="992"/>
      <c r="U10" s="992"/>
      <c r="V10" s="992"/>
      <c r="W10" s="992"/>
      <c r="X10" s="992"/>
      <c r="Y10" s="992"/>
      <c r="Z10" s="992"/>
      <c r="AA10" s="992"/>
      <c r="AB10" s="992"/>
    </row>
    <row r="11" spans="1:31" s="70" customFormat="1" ht="26.25" customHeight="1" thickBot="1">
      <c r="A11" s="410"/>
      <c r="B11" s="972" t="s">
        <v>556</v>
      </c>
      <c r="C11" s="989"/>
      <c r="D11" s="989"/>
      <c r="E11" s="989"/>
      <c r="F11" s="989"/>
      <c r="G11" s="989"/>
      <c r="H11" s="989"/>
      <c r="I11" s="989"/>
      <c r="J11" s="989"/>
      <c r="K11" s="989"/>
      <c r="L11" s="989"/>
      <c r="M11" s="989"/>
      <c r="N11" s="989"/>
      <c r="O11" s="989"/>
      <c r="P11" s="989"/>
      <c r="Q11" s="990"/>
      <c r="R11"/>
      <c r="S11"/>
      <c r="T11"/>
      <c r="U11" s="856" t="s">
        <v>681</v>
      </c>
      <c r="V11" s="989"/>
      <c r="W11" s="989"/>
      <c r="X11" s="989"/>
      <c r="Y11" s="989"/>
      <c r="Z11" s="989"/>
      <c r="AA11" s="989"/>
      <c r="AB11" s="990"/>
      <c r="AC11"/>
      <c r="AD11"/>
      <c r="AE11"/>
    </row>
    <row r="12" spans="1:31" s="73" customFormat="1" ht="16.5" customHeight="1">
      <c r="A12" s="809"/>
      <c r="B12" s="3909"/>
      <c r="C12" s="3620" t="s">
        <v>36</v>
      </c>
      <c r="D12" s="3549"/>
      <c r="E12" s="3549"/>
      <c r="F12" s="3549"/>
      <c r="G12" s="3549"/>
      <c r="H12" s="3602" t="s">
        <v>37</v>
      </c>
      <c r="I12" s="3603"/>
      <c r="J12" s="3603"/>
      <c r="K12" s="3603"/>
      <c r="L12" s="3603"/>
      <c r="M12" s="3543" t="s">
        <v>73</v>
      </c>
      <c r="N12" s="3543"/>
      <c r="O12" s="3543"/>
      <c r="P12" s="3543"/>
      <c r="Q12" s="3678"/>
      <c r="R12"/>
      <c r="S12"/>
      <c r="T12"/>
      <c r="U12" s="3601" t="s">
        <v>36</v>
      </c>
      <c r="V12" s="3549"/>
      <c r="W12" s="3549"/>
      <c r="X12" s="3549"/>
      <c r="Y12" s="3549"/>
      <c r="Z12" s="3602" t="s">
        <v>37</v>
      </c>
      <c r="AA12" s="3603"/>
      <c r="AB12" s="3604"/>
      <c r="AC12"/>
      <c r="AD12"/>
      <c r="AE12"/>
    </row>
    <row r="13" spans="1:31" s="70" customFormat="1" ht="15" customHeight="1">
      <c r="A13" s="360"/>
      <c r="B13" s="3737"/>
      <c r="C13" s="3550" t="s">
        <v>579</v>
      </c>
      <c r="D13" s="3551"/>
      <c r="E13" s="3551"/>
      <c r="F13" s="3551"/>
      <c r="G13" s="3551"/>
      <c r="H13" s="3551"/>
      <c r="I13" s="3551"/>
      <c r="J13" s="3595"/>
      <c r="K13" s="3589" t="str">
        <f>CONCATENATE("$0's, real ",dms_DollarReal)</f>
        <v>$0's, real December 2017</v>
      </c>
      <c r="L13" s="3590"/>
      <c r="M13" s="3590"/>
      <c r="N13" s="3590"/>
      <c r="O13" s="3590"/>
      <c r="P13" s="3590"/>
      <c r="Q13" s="3591"/>
      <c r="R13"/>
      <c r="S13"/>
      <c r="T13"/>
      <c r="U13" s="3550" t="str">
        <f>CONCATENATE("$0's, real ",dms_DollarReal)</f>
        <v>$0's, real December 2017</v>
      </c>
      <c r="V13" s="3551"/>
      <c r="W13" s="3551"/>
      <c r="X13" s="3551"/>
      <c r="Y13" s="3551"/>
      <c r="Z13" s="3551"/>
      <c r="AA13" s="3551"/>
      <c r="AB13" s="3552"/>
      <c r="AC13"/>
      <c r="AD13"/>
      <c r="AE13"/>
    </row>
    <row r="14" spans="1:31" s="73" customFormat="1" ht="16.5" customHeight="1">
      <c r="A14" s="809"/>
      <c r="B14" s="3737"/>
      <c r="C14" s="3550" t="s">
        <v>54</v>
      </c>
      <c r="D14" s="3551"/>
      <c r="E14" s="3551"/>
      <c r="F14" s="3551"/>
      <c r="G14" s="3551"/>
      <c r="H14" s="3551"/>
      <c r="I14" s="3551"/>
      <c r="J14" s="3595"/>
      <c r="K14" s="3589" t="s">
        <v>55</v>
      </c>
      <c r="L14" s="3590"/>
      <c r="M14" s="3590"/>
      <c r="N14" s="3590"/>
      <c r="O14" s="3590"/>
      <c r="P14" s="3590"/>
      <c r="Q14" s="3591"/>
      <c r="R14"/>
      <c r="S14"/>
      <c r="T14"/>
      <c r="U14" s="3550" t="s">
        <v>54</v>
      </c>
      <c r="V14" s="3551"/>
      <c r="W14" s="3551"/>
      <c r="X14" s="3551"/>
      <c r="Y14" s="3551"/>
      <c r="Z14" s="3551"/>
      <c r="AA14" s="3551"/>
      <c r="AB14" s="3552"/>
      <c r="AC14"/>
      <c r="AD14"/>
      <c r="AE14"/>
    </row>
    <row r="15" spans="1:31" s="70" customFormat="1" ht="12.75" customHeight="1" thickBot="1">
      <c r="A15" s="410"/>
      <c r="B15" s="3910"/>
      <c r="C15" s="391">
        <f t="array" ref="C15:G15">PRCP</f>
        <v>2008</v>
      </c>
      <c r="D15" s="390">
        <v>2009</v>
      </c>
      <c r="E15" s="390">
        <v>2010</v>
      </c>
      <c r="F15" s="390">
        <v>2011</v>
      </c>
      <c r="G15" s="390">
        <v>2012</v>
      </c>
      <c r="H15" s="392">
        <f>CRCP_y1</f>
        <v>2013</v>
      </c>
      <c r="I15" s="392">
        <f>CRCP_y2</f>
        <v>2014</v>
      </c>
      <c r="J15" s="392">
        <f>CRCP_y3</f>
        <v>2015</v>
      </c>
      <c r="K15" s="392">
        <f>CRCP_y4</f>
        <v>2016</v>
      </c>
      <c r="L15" s="392">
        <f>CRCP_y5</f>
        <v>2017</v>
      </c>
      <c r="M15" s="390" t="str">
        <f t="array" ref="M15:Q15">FRCP</f>
        <v>2018</v>
      </c>
      <c r="N15" s="390">
        <v>2019</v>
      </c>
      <c r="O15" s="390">
        <v>2020</v>
      </c>
      <c r="P15" s="390">
        <v>2021</v>
      </c>
      <c r="Q15" s="498">
        <v>2022</v>
      </c>
      <c r="R15"/>
      <c r="S15"/>
      <c r="T15"/>
      <c r="U15" s="1789">
        <f t="array" ref="U15:Y15">PRCP</f>
        <v>2008</v>
      </c>
      <c r="V15" s="390">
        <v>2009</v>
      </c>
      <c r="W15" s="390">
        <v>2010</v>
      </c>
      <c r="X15" s="390">
        <v>2011</v>
      </c>
      <c r="Y15" s="390">
        <v>2012</v>
      </c>
      <c r="Z15" s="392">
        <f>CRCP_y1</f>
        <v>2013</v>
      </c>
      <c r="AA15" s="392">
        <f>CRCP_y2</f>
        <v>2014</v>
      </c>
      <c r="AB15" s="603">
        <f>CRCP_y3</f>
        <v>2015</v>
      </c>
      <c r="AC15"/>
      <c r="AD15"/>
      <c r="AE15"/>
    </row>
    <row r="16" spans="1:31" ht="15.75" thickBot="1">
      <c r="A16" s="992"/>
      <c r="B16" s="858" t="s">
        <v>557</v>
      </c>
      <c r="C16" s="859"/>
      <c r="D16" s="859"/>
      <c r="E16" s="859"/>
      <c r="F16" s="859"/>
      <c r="G16" s="859"/>
      <c r="H16" s="859"/>
      <c r="I16" s="859"/>
      <c r="J16" s="859"/>
      <c r="K16" s="859"/>
      <c r="L16" s="859"/>
      <c r="M16" s="859"/>
      <c r="N16" s="859"/>
      <c r="O16" s="859"/>
      <c r="P16" s="859"/>
      <c r="Q16" s="860"/>
      <c r="U16" s="858"/>
      <c r="V16" s="859"/>
      <c r="W16" s="859"/>
      <c r="X16" s="859"/>
      <c r="Y16" s="859"/>
      <c r="Z16" s="859"/>
      <c r="AA16" s="859"/>
      <c r="AB16" s="860"/>
    </row>
    <row r="17" spans="1:31">
      <c r="A17" s="992"/>
      <c r="B17" s="1568" t="s">
        <v>668</v>
      </c>
      <c r="C17" s="1654"/>
      <c r="D17" s="1655"/>
      <c r="E17" s="1655"/>
      <c r="F17" s="1655"/>
      <c r="G17" s="1662"/>
      <c r="H17" s="1654"/>
      <c r="I17" s="1655"/>
      <c r="J17" s="1655"/>
      <c r="K17" s="1655"/>
      <c r="L17" s="1656"/>
      <c r="M17" s="1663"/>
      <c r="N17" s="1655"/>
      <c r="O17" s="1655"/>
      <c r="P17" s="1655"/>
      <c r="Q17" s="1656"/>
      <c r="U17" s="2288"/>
      <c r="V17" s="2277"/>
      <c r="W17" s="2277"/>
      <c r="X17" s="2277"/>
      <c r="Y17" s="2278"/>
      <c r="Z17" s="2288"/>
      <c r="AA17" s="2277"/>
      <c r="AB17" s="2279"/>
    </row>
    <row r="18" spans="1:31">
      <c r="A18" s="992"/>
      <c r="B18" s="1568" t="s">
        <v>637</v>
      </c>
      <c r="C18" s="1472"/>
      <c r="D18" s="986"/>
      <c r="E18" s="986"/>
      <c r="F18" s="986"/>
      <c r="G18" s="1651"/>
      <c r="H18" s="1472"/>
      <c r="I18" s="986"/>
      <c r="J18" s="986"/>
      <c r="K18" s="986"/>
      <c r="L18" s="991"/>
      <c r="M18" s="1471"/>
      <c r="N18" s="986"/>
      <c r="O18" s="986"/>
      <c r="P18" s="986"/>
      <c r="Q18" s="991"/>
      <c r="U18" s="2280"/>
      <c r="V18" s="2281"/>
      <c r="W18" s="2281"/>
      <c r="X18" s="2281"/>
      <c r="Y18" s="2282"/>
      <c r="Z18" s="2280"/>
      <c r="AA18" s="2281"/>
      <c r="AB18" s="2283"/>
    </row>
    <row r="19" spans="1:31" ht="13.5" thickBot="1">
      <c r="A19" s="992"/>
      <c r="B19" s="1568" t="s">
        <v>638</v>
      </c>
      <c r="C19" s="1472"/>
      <c r="D19" s="986"/>
      <c r="E19" s="986"/>
      <c r="F19" s="986"/>
      <c r="G19" s="1651"/>
      <c r="H19" s="1472"/>
      <c r="I19" s="986"/>
      <c r="J19" s="986"/>
      <c r="K19" s="986"/>
      <c r="L19" s="991"/>
      <c r="M19" s="1471"/>
      <c r="N19" s="986"/>
      <c r="O19" s="986"/>
      <c r="P19" s="986"/>
      <c r="Q19" s="991"/>
      <c r="U19" s="2280"/>
      <c r="V19" s="2281"/>
      <c r="W19" s="2281"/>
      <c r="X19" s="2281"/>
      <c r="Y19" s="2282"/>
      <c r="Z19" s="2280"/>
      <c r="AA19" s="2281"/>
      <c r="AB19" s="2283"/>
    </row>
    <row r="20" spans="1:31" ht="15.75" thickBot="1">
      <c r="A20" s="992"/>
      <c r="B20" s="858" t="s">
        <v>558</v>
      </c>
      <c r="C20" s="858"/>
      <c r="D20" s="859"/>
      <c r="E20" s="859"/>
      <c r="F20" s="859"/>
      <c r="G20" s="859"/>
      <c r="H20" s="858"/>
      <c r="I20" s="859"/>
      <c r="J20" s="859"/>
      <c r="K20" s="859"/>
      <c r="L20" s="860"/>
      <c r="M20" s="859"/>
      <c r="N20" s="859"/>
      <c r="O20" s="859"/>
      <c r="P20" s="859"/>
      <c r="Q20" s="860"/>
      <c r="U20" s="858"/>
      <c r="V20" s="859"/>
      <c r="W20" s="859"/>
      <c r="X20" s="859"/>
      <c r="Y20" s="859"/>
      <c r="Z20" s="858"/>
      <c r="AA20" s="859"/>
      <c r="AB20" s="860"/>
    </row>
    <row r="21" spans="1:31">
      <c r="A21" s="992"/>
      <c r="B21" s="1692" t="s">
        <v>668</v>
      </c>
      <c r="C21" s="1472"/>
      <c r="D21" s="986"/>
      <c r="E21" s="986"/>
      <c r="F21" s="986"/>
      <c r="G21" s="1651"/>
      <c r="H21" s="1472"/>
      <c r="I21" s="986"/>
      <c r="J21" s="986"/>
      <c r="K21" s="986"/>
      <c r="L21" s="991"/>
      <c r="M21" s="1471"/>
      <c r="N21" s="986"/>
      <c r="O21" s="986"/>
      <c r="P21" s="986"/>
      <c r="Q21" s="991"/>
      <c r="U21" s="2280"/>
      <c r="V21" s="2281"/>
      <c r="W21" s="2281"/>
      <c r="X21" s="2281"/>
      <c r="Y21" s="2282"/>
      <c r="Z21" s="2280"/>
      <c r="AA21" s="2281"/>
      <c r="AB21" s="2283"/>
    </row>
    <row r="22" spans="1:31">
      <c r="A22" s="992"/>
      <c r="B22" s="1568" t="s">
        <v>637</v>
      </c>
      <c r="C22" s="1472"/>
      <c r="D22" s="986"/>
      <c r="E22" s="986"/>
      <c r="F22" s="986"/>
      <c r="G22" s="1651"/>
      <c r="H22" s="1472"/>
      <c r="I22" s="986"/>
      <c r="J22" s="986"/>
      <c r="K22" s="986"/>
      <c r="L22" s="991"/>
      <c r="M22" s="1471"/>
      <c r="N22" s="986"/>
      <c r="O22" s="986"/>
      <c r="P22" s="986"/>
      <c r="Q22" s="991"/>
      <c r="U22" s="2280"/>
      <c r="V22" s="2281"/>
      <c r="W22" s="2281"/>
      <c r="X22" s="2281"/>
      <c r="Y22" s="2282"/>
      <c r="Z22" s="2280"/>
      <c r="AA22" s="2281"/>
      <c r="AB22" s="2283"/>
    </row>
    <row r="23" spans="1:31">
      <c r="A23" s="992"/>
      <c r="B23" s="913" t="s">
        <v>638</v>
      </c>
      <c r="C23" s="1657"/>
      <c r="D23" s="1649"/>
      <c r="E23" s="1649"/>
      <c r="F23" s="1649"/>
      <c r="G23" s="1652"/>
      <c r="H23" s="1657"/>
      <c r="I23" s="1649"/>
      <c r="J23" s="1649"/>
      <c r="K23" s="1649"/>
      <c r="L23" s="1650"/>
      <c r="M23" s="1653"/>
      <c r="N23" s="1649"/>
      <c r="O23" s="1649"/>
      <c r="P23" s="1649"/>
      <c r="Q23" s="1650"/>
      <c r="U23" s="2284"/>
      <c r="V23" s="2285"/>
      <c r="W23" s="2285"/>
      <c r="X23" s="2285"/>
      <c r="Y23" s="2286"/>
      <c r="Z23" s="2284"/>
      <c r="AA23" s="2285"/>
      <c r="AB23" s="2287"/>
    </row>
    <row r="24" spans="1:31" ht="13.5" thickBot="1">
      <c r="A24" s="992"/>
      <c r="B24" s="1661" t="s">
        <v>667</v>
      </c>
      <c r="C24" s="1658">
        <f>C17+C18+C19+C21+C22+C23</f>
        <v>0</v>
      </c>
      <c r="D24" s="1659">
        <f t="shared" ref="D24:Q24" si="0">D17+D18+D19+D21+D22+D23</f>
        <v>0</v>
      </c>
      <c r="E24" s="1659">
        <f t="shared" si="0"/>
        <v>0</v>
      </c>
      <c r="F24" s="1659">
        <f t="shared" si="0"/>
        <v>0</v>
      </c>
      <c r="G24" s="1664">
        <f t="shared" si="0"/>
        <v>0</v>
      </c>
      <c r="H24" s="1658">
        <f t="shared" si="0"/>
        <v>0</v>
      </c>
      <c r="I24" s="1659">
        <f t="shared" si="0"/>
        <v>0</v>
      </c>
      <c r="J24" s="1659">
        <f t="shared" ref="J24" si="1">J17+J18+J19+J21+J22+J23</f>
        <v>0</v>
      </c>
      <c r="K24" s="1659">
        <f t="shared" si="0"/>
        <v>0</v>
      </c>
      <c r="L24" s="1660">
        <f t="shared" si="0"/>
        <v>0</v>
      </c>
      <c r="M24" s="1665">
        <f t="shared" si="0"/>
        <v>0</v>
      </c>
      <c r="N24" s="1659">
        <f t="shared" si="0"/>
        <v>0</v>
      </c>
      <c r="O24" s="1659">
        <f t="shared" si="0"/>
        <v>0</v>
      </c>
      <c r="P24" s="1659">
        <f t="shared" si="0"/>
        <v>0</v>
      </c>
      <c r="Q24" s="1660">
        <f t="shared" si="0"/>
        <v>0</v>
      </c>
      <c r="U24" s="1658">
        <f>U17+U18+U19+U21+U22+U23</f>
        <v>0</v>
      </c>
      <c r="V24" s="1659">
        <f t="shared" ref="V24:AB24" si="2">V17+V18+V19+V21+V22+V23</f>
        <v>0</v>
      </c>
      <c r="W24" s="1659">
        <f t="shared" si="2"/>
        <v>0</v>
      </c>
      <c r="X24" s="1659">
        <f t="shared" si="2"/>
        <v>0</v>
      </c>
      <c r="Y24" s="1664">
        <f t="shared" si="2"/>
        <v>0</v>
      </c>
      <c r="Z24" s="1658">
        <f t="shared" si="2"/>
        <v>0</v>
      </c>
      <c r="AA24" s="1659">
        <f t="shared" si="2"/>
        <v>0</v>
      </c>
      <c r="AB24" s="1660">
        <f t="shared" si="2"/>
        <v>0</v>
      </c>
    </row>
    <row r="25" spans="1:31" s="70" customFormat="1" ht="33" customHeight="1" thickBot="1">
      <c r="A25" s="360"/>
      <c r="B25" s="1723" t="s">
        <v>125</v>
      </c>
      <c r="C25" s="1413"/>
      <c r="D25" s="1414"/>
      <c r="E25" s="1414"/>
      <c r="F25" s="1414"/>
      <c r="G25" s="1414"/>
      <c r="H25" s="1414"/>
      <c r="I25" s="1414"/>
      <c r="J25" s="1414"/>
      <c r="K25" s="1414"/>
      <c r="L25" s="1414"/>
      <c r="M25" s="1414"/>
      <c r="N25" s="1414"/>
      <c r="O25" s="1414"/>
      <c r="P25" s="1414"/>
      <c r="Q25" s="1452"/>
      <c r="R25"/>
      <c r="S25"/>
      <c r="T25"/>
      <c r="U25" s="2135"/>
      <c r="V25" s="2116"/>
      <c r="W25" s="2116"/>
      <c r="X25" s="2116"/>
      <c r="Y25" s="2116"/>
      <c r="Z25" s="2116"/>
      <c r="AA25" s="2116"/>
      <c r="AB25" s="2119"/>
      <c r="AC25"/>
      <c r="AD25"/>
      <c r="AE25"/>
    </row>
    <row r="26" spans="1:31">
      <c r="A26" s="992"/>
      <c r="L26" s="114" t="s">
        <v>24</v>
      </c>
    </row>
    <row r="27" spans="1:31">
      <c r="A27" s="992"/>
    </row>
    <row r="28" spans="1:31">
      <c r="A28" s="992"/>
    </row>
  </sheetData>
  <mergeCells count="13">
    <mergeCell ref="U12:Y12"/>
    <mergeCell ref="Z12:AB12"/>
    <mergeCell ref="U13:AB13"/>
    <mergeCell ref="U14:AB14"/>
    <mergeCell ref="B8:D8"/>
    <mergeCell ref="B12:B15"/>
    <mergeCell ref="C12:G12"/>
    <mergeCell ref="H12:L12"/>
    <mergeCell ref="M12:Q12"/>
    <mergeCell ref="C13:J13"/>
    <mergeCell ref="K13:Q13"/>
    <mergeCell ref="C14:J14"/>
    <mergeCell ref="K14:Q14"/>
  </mergeCells>
  <pageMargins left="0.7" right="0.7" top="0.75" bottom="0.75" header="0.3" footer="0.3"/>
  <pageSetup paperSize="9" orientation="portrait" r:id="rId1"/>
  <customProperties>
    <customPr name="_pios_id" r:id="rId2"/>
  </customProperties>
  <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6" tint="0.59999389629810485"/>
    <pageSetUpPr autoPageBreaks="0"/>
  </sheetPr>
  <dimension ref="A1:AE45"/>
  <sheetViews>
    <sheetView showGridLines="0" zoomScale="70" zoomScaleNormal="70" workbookViewId="0"/>
  </sheetViews>
  <sheetFormatPr defaultColWidth="9.140625" defaultRowHeight="12.75"/>
  <cols>
    <col min="1" max="1" width="16.28515625" style="96" bestFit="1" customWidth="1"/>
    <col min="2" max="2" width="40" style="96" bestFit="1" customWidth="1"/>
    <col min="3" max="17" width="12.7109375" style="96" customWidth="1"/>
    <col min="18" max="20" width="8.7109375"/>
    <col min="21" max="28" width="12.7109375" style="1427" customWidth="1"/>
    <col min="29" max="31" width="8.7109375" customWidth="1"/>
    <col min="32" max="16384" width="9.140625" style="96"/>
  </cols>
  <sheetData>
    <row r="1" spans="1:31"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c r="AD1"/>
      <c r="AE1"/>
    </row>
    <row r="2" spans="1:31" s="223" customFormat="1" ht="24.95"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s="1428"/>
      <c r="S2" s="1428"/>
      <c r="T2" s="1428"/>
      <c r="U2" s="1428"/>
      <c r="V2" s="1428"/>
      <c r="W2" s="1428"/>
      <c r="X2" s="1428"/>
      <c r="Y2" s="1428"/>
      <c r="Z2" s="1428"/>
      <c r="AA2" s="1428"/>
      <c r="AB2" s="1428"/>
      <c r="AC2"/>
      <c r="AD2"/>
      <c r="AE2"/>
    </row>
    <row r="3" spans="1:31"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s="1426"/>
      <c r="S3" s="1426"/>
      <c r="T3" s="1426"/>
      <c r="U3" s="1426"/>
      <c r="V3" s="1426"/>
      <c r="W3" s="1426"/>
      <c r="X3" s="1426"/>
      <c r="Y3" s="1426"/>
      <c r="Z3" s="1426"/>
      <c r="AA3" s="1426"/>
      <c r="AB3" s="1426"/>
      <c r="AC3"/>
      <c r="AD3"/>
      <c r="AE3"/>
    </row>
    <row r="4" spans="1:31" s="165" customFormat="1" ht="24" customHeight="1">
      <c r="B4" s="10" t="s">
        <v>397</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1" customFormat="1" ht="12.75" customHeight="1"/>
    <row r="6" spans="1:31" customFormat="1"/>
    <row r="7" spans="1:31">
      <c r="A7" s="798"/>
      <c r="B7" s="86" t="s">
        <v>59</v>
      </c>
      <c r="C7" s="86"/>
      <c r="D7" s="86"/>
      <c r="E7" s="86"/>
      <c r="F7" s="86"/>
      <c r="G7" s="86"/>
      <c r="H7" s="86"/>
      <c r="I7" s="308"/>
      <c r="J7" s="308"/>
      <c r="K7" s="308"/>
      <c r="L7" s="308"/>
      <c r="M7" s="798"/>
      <c r="N7" s="798"/>
      <c r="O7" s="798"/>
      <c r="P7" s="798"/>
      <c r="Q7" s="798"/>
      <c r="U7"/>
      <c r="V7"/>
      <c r="W7"/>
      <c r="X7"/>
      <c r="Y7"/>
      <c r="Z7"/>
      <c r="AA7"/>
      <c r="AB7"/>
    </row>
    <row r="8" spans="1:31">
      <c r="A8" s="798"/>
      <c r="B8" s="113" t="s">
        <v>7</v>
      </c>
      <c r="C8" s="113"/>
      <c r="D8" s="113"/>
      <c r="E8" s="113"/>
      <c r="F8" s="113"/>
      <c r="G8" s="113"/>
      <c r="H8" s="86"/>
      <c r="I8" s="308"/>
      <c r="J8" s="308"/>
      <c r="K8" s="308"/>
      <c r="L8" s="308"/>
      <c r="M8" s="798"/>
      <c r="N8" s="798"/>
      <c r="O8" s="798"/>
      <c r="P8" s="798"/>
      <c r="Q8" s="798"/>
      <c r="U8"/>
      <c r="V8"/>
      <c r="W8"/>
      <c r="X8"/>
      <c r="Y8"/>
      <c r="Z8"/>
      <c r="AA8"/>
      <c r="AB8"/>
    </row>
    <row r="9" spans="1:31">
      <c r="A9" s="798"/>
      <c r="B9" s="113" t="s">
        <v>261</v>
      </c>
      <c r="C9" s="122"/>
      <c r="D9" s="122"/>
      <c r="E9" s="122"/>
      <c r="F9" s="122"/>
      <c r="G9" s="122"/>
      <c r="H9" s="86"/>
      <c r="I9" s="308"/>
      <c r="J9" s="308"/>
      <c r="K9" s="308"/>
      <c r="L9" s="308"/>
      <c r="M9" s="798"/>
      <c r="N9" s="798"/>
      <c r="O9" s="798"/>
      <c r="P9" s="798"/>
      <c r="Q9" s="798"/>
      <c r="U9"/>
      <c r="V9"/>
      <c r="W9"/>
      <c r="X9"/>
      <c r="Y9"/>
      <c r="Z9"/>
      <c r="AA9"/>
      <c r="AB9"/>
    </row>
    <row r="10" spans="1:31" s="70" customFormat="1">
      <c r="A10" s="410"/>
      <c r="B10" s="87" t="str">
        <f>CONCATENATE("Ancillary reference services listed are those used in ", dms_TradingName,"'s past access arrangements")</f>
        <v>Ancillary reference services listed are those used in AusNet (Gas)'s past access arrangements</v>
      </c>
      <c r="C10" s="104"/>
      <c r="D10" s="104"/>
      <c r="E10" s="104"/>
      <c r="F10" s="104"/>
      <c r="G10" s="104"/>
      <c r="H10" s="86"/>
      <c r="I10" s="539"/>
      <c r="J10" s="539"/>
      <c r="K10" s="539"/>
      <c r="L10" s="539"/>
      <c r="M10" s="410"/>
      <c r="N10" s="410"/>
      <c r="O10" s="410"/>
      <c r="P10" s="410"/>
      <c r="Q10" s="410"/>
      <c r="R10"/>
      <c r="S10"/>
      <c r="T10"/>
      <c r="U10"/>
      <c r="V10"/>
      <c r="W10"/>
      <c r="X10"/>
      <c r="Y10"/>
      <c r="Z10"/>
      <c r="AA10"/>
      <c r="AB10"/>
      <c r="AC10"/>
      <c r="AD10"/>
      <c r="AE10"/>
    </row>
    <row r="11" spans="1:31" ht="36.75" customHeight="1" thickBot="1">
      <c r="A11" s="798"/>
      <c r="B11" s="798"/>
      <c r="C11" s="798"/>
      <c r="D11" s="308"/>
      <c r="E11" s="994"/>
      <c r="F11" s="994"/>
      <c r="G11" s="361"/>
      <c r="H11" s="308"/>
      <c r="I11" s="308"/>
      <c r="J11" s="308"/>
      <c r="K11" s="798"/>
      <c r="L11" s="798"/>
      <c r="M11" s="798"/>
      <c r="N11" s="798"/>
      <c r="O11" s="798"/>
      <c r="P11" s="798"/>
      <c r="Q11" s="798"/>
      <c r="U11"/>
      <c r="V11"/>
      <c r="W11"/>
      <c r="X11"/>
      <c r="Y11"/>
      <c r="Z11"/>
      <c r="AA11"/>
      <c r="AB11"/>
    </row>
    <row r="12" spans="1:31" s="1427" customFormat="1" ht="16.5" thickBot="1">
      <c r="A12" s="1429"/>
      <c r="B12" s="972" t="s">
        <v>559</v>
      </c>
      <c r="C12" s="989"/>
      <c r="D12" s="989"/>
      <c r="E12" s="989"/>
      <c r="F12" s="989"/>
      <c r="G12" s="989"/>
      <c r="H12" s="989"/>
      <c r="I12" s="989"/>
      <c r="J12" s="989"/>
      <c r="K12" s="989"/>
      <c r="L12" s="989"/>
      <c r="M12" s="989"/>
      <c r="N12" s="989"/>
      <c r="O12" s="989"/>
      <c r="P12" s="989"/>
      <c r="Q12" s="989"/>
      <c r="T12"/>
      <c r="U12"/>
      <c r="V12"/>
      <c r="W12"/>
      <c r="X12"/>
      <c r="Y12"/>
      <c r="Z12"/>
      <c r="AA12"/>
      <c r="AB12"/>
      <c r="AC12"/>
    </row>
    <row r="13" spans="1:31" s="70" customFormat="1" ht="16.5" thickBot="1">
      <c r="A13" s="410"/>
      <c r="B13" s="1571" t="s">
        <v>560</v>
      </c>
      <c r="C13" s="1572"/>
      <c r="D13" s="1572"/>
      <c r="E13" s="1572"/>
      <c r="F13" s="1572"/>
      <c r="G13" s="1572"/>
      <c r="H13" s="1572"/>
      <c r="I13" s="1572"/>
      <c r="J13" s="1572"/>
      <c r="K13" s="1572"/>
      <c r="L13" s="1572"/>
      <c r="M13" s="1572"/>
      <c r="N13" s="1572"/>
      <c r="O13" s="1572"/>
      <c r="P13" s="1572"/>
      <c r="Q13" s="1573"/>
      <c r="R13"/>
      <c r="S13"/>
      <c r="T13"/>
      <c r="U13"/>
      <c r="V13"/>
      <c r="W13"/>
      <c r="X13"/>
      <c r="Y13"/>
      <c r="Z13"/>
      <c r="AA13"/>
      <c r="AB13"/>
      <c r="AC13"/>
      <c r="AD13"/>
      <c r="AE13"/>
    </row>
    <row r="14" spans="1:31" s="73" customFormat="1" ht="16.5" customHeight="1">
      <c r="A14" s="809"/>
      <c r="B14" s="4029"/>
      <c r="C14" s="4035" t="s">
        <v>36</v>
      </c>
      <c r="D14" s="3858"/>
      <c r="E14" s="3858"/>
      <c r="F14" s="3858"/>
      <c r="G14" s="3858"/>
      <c r="H14" s="4036" t="s">
        <v>37</v>
      </c>
      <c r="I14" s="3935"/>
      <c r="J14" s="3935"/>
      <c r="K14" s="3935"/>
      <c r="L14" s="3935"/>
      <c r="M14" s="4037" t="s">
        <v>73</v>
      </c>
      <c r="N14" s="4037"/>
      <c r="O14" s="4037"/>
      <c r="P14" s="4037"/>
      <c r="Q14" s="4038"/>
      <c r="R14"/>
      <c r="S14"/>
      <c r="T14"/>
      <c r="U14"/>
      <c r="V14"/>
      <c r="W14"/>
      <c r="X14"/>
      <c r="Y14"/>
      <c r="Z14"/>
      <c r="AA14"/>
      <c r="AB14"/>
      <c r="AC14"/>
      <c r="AD14"/>
      <c r="AE14"/>
    </row>
    <row r="15" spans="1:31" s="73" customFormat="1" ht="16.5" customHeight="1">
      <c r="A15" s="809"/>
      <c r="B15" s="4030"/>
      <c r="C15" s="4026" t="s">
        <v>366</v>
      </c>
      <c r="D15" s="4027"/>
      <c r="E15" s="4027"/>
      <c r="F15" s="4027"/>
      <c r="G15" s="4027"/>
      <c r="H15" s="4027"/>
      <c r="I15" s="4027"/>
      <c r="J15" s="4027"/>
      <c r="K15" s="4027"/>
      <c r="L15" s="4027"/>
      <c r="M15" s="4027"/>
      <c r="N15" s="4027"/>
      <c r="O15" s="4027"/>
      <c r="P15" s="4027"/>
      <c r="Q15" s="4028"/>
      <c r="R15" s="1427"/>
      <c r="S15" s="1427"/>
      <c r="T15" s="1427"/>
      <c r="U15" s="1427"/>
      <c r="V15" s="1427"/>
      <c r="W15" s="1427"/>
      <c r="X15" s="1427"/>
      <c r="Y15" s="1427"/>
      <c r="Z15" s="1427"/>
      <c r="AA15" s="1427"/>
      <c r="AB15" s="1427"/>
      <c r="AC15" s="1427"/>
      <c r="AD15" s="1427"/>
      <c r="AE15" s="1427"/>
    </row>
    <row r="16" spans="1:31" s="73" customFormat="1" ht="16.5" customHeight="1">
      <c r="A16" s="809"/>
      <c r="B16" s="4030"/>
      <c r="C16" s="3550" t="s">
        <v>54</v>
      </c>
      <c r="D16" s="3551"/>
      <c r="E16" s="3551"/>
      <c r="F16" s="3551"/>
      <c r="G16" s="3551"/>
      <c r="H16" s="3551"/>
      <c r="I16" s="3551"/>
      <c r="J16" s="3595"/>
      <c r="K16" s="3589" t="s">
        <v>55</v>
      </c>
      <c r="L16" s="3590"/>
      <c r="M16" s="3590"/>
      <c r="N16" s="3590"/>
      <c r="O16" s="3590"/>
      <c r="P16" s="3590"/>
      <c r="Q16" s="3734"/>
      <c r="R16"/>
      <c r="S16"/>
      <c r="T16"/>
      <c r="U16"/>
      <c r="V16"/>
      <c r="W16"/>
      <c r="X16"/>
      <c r="Y16"/>
      <c r="Z16"/>
      <c r="AA16"/>
      <c r="AB16"/>
      <c r="AC16"/>
      <c r="AD16"/>
      <c r="AE16"/>
    </row>
    <row r="17" spans="1:31" s="70" customFormat="1" ht="12.75" customHeight="1" thickBot="1">
      <c r="A17" s="410"/>
      <c r="B17" s="4031"/>
      <c r="C17" s="391">
        <f t="array" ref="C17:G17">PRCP</f>
        <v>2008</v>
      </c>
      <c r="D17" s="390">
        <v>2009</v>
      </c>
      <c r="E17" s="390">
        <v>2010</v>
      </c>
      <c r="F17" s="390">
        <v>2011</v>
      </c>
      <c r="G17" s="390">
        <v>2012</v>
      </c>
      <c r="H17" s="392">
        <f>CRCP_y1</f>
        <v>2013</v>
      </c>
      <c r="I17" s="392">
        <f>CRCP_y2</f>
        <v>2014</v>
      </c>
      <c r="J17" s="392">
        <f>CRCP_y3</f>
        <v>2015</v>
      </c>
      <c r="K17" s="392">
        <f>CRCP_y4</f>
        <v>2016</v>
      </c>
      <c r="L17" s="392">
        <f>CRCP_y5</f>
        <v>2017</v>
      </c>
      <c r="M17" s="390" t="str">
        <f t="array" ref="M17:Q17">FRCP</f>
        <v>2018</v>
      </c>
      <c r="N17" s="390">
        <v>2019</v>
      </c>
      <c r="O17" s="390">
        <v>2020</v>
      </c>
      <c r="P17" s="390">
        <v>2021</v>
      </c>
      <c r="Q17" s="786">
        <v>2022</v>
      </c>
      <c r="R17"/>
      <c r="S17"/>
      <c r="T17"/>
      <c r="U17"/>
      <c r="V17"/>
      <c r="W17"/>
      <c r="X17"/>
      <c r="Y17"/>
      <c r="Z17"/>
      <c r="AA17"/>
      <c r="AB17"/>
      <c r="AC17"/>
      <c r="AD17"/>
      <c r="AE17"/>
    </row>
    <row r="18" spans="1:31" ht="12.75" customHeight="1">
      <c r="A18" s="798"/>
      <c r="B18" s="1692" t="s">
        <v>1394</v>
      </c>
      <c r="C18" s="995"/>
      <c r="D18" s="996"/>
      <c r="E18" s="996"/>
      <c r="F18" s="996"/>
      <c r="G18" s="997"/>
      <c r="H18" s="995"/>
      <c r="I18" s="996"/>
      <c r="J18" s="996"/>
      <c r="K18" s="996"/>
      <c r="L18" s="996"/>
      <c r="M18" s="995"/>
      <c r="N18" s="996"/>
      <c r="O18" s="996"/>
      <c r="P18" s="996"/>
      <c r="Q18" s="997"/>
      <c r="U18"/>
      <c r="V18"/>
      <c r="W18"/>
      <c r="X18"/>
      <c r="Y18"/>
      <c r="Z18"/>
      <c r="AA18"/>
      <c r="AB18"/>
    </row>
    <row r="19" spans="1:31" ht="12.75" customHeight="1">
      <c r="A19" s="798"/>
      <c r="B19" s="1692" t="s">
        <v>1395</v>
      </c>
      <c r="C19" s="976"/>
      <c r="D19" s="971"/>
      <c r="E19" s="971"/>
      <c r="F19" s="971"/>
      <c r="G19" s="971"/>
      <c r="H19" s="976"/>
      <c r="I19" s="971"/>
      <c r="J19" s="971"/>
      <c r="K19" s="971"/>
      <c r="L19" s="971"/>
      <c r="M19" s="976"/>
      <c r="N19" s="971"/>
      <c r="O19" s="971"/>
      <c r="P19" s="971"/>
      <c r="Q19" s="977"/>
      <c r="U19"/>
      <c r="V19"/>
      <c r="W19"/>
      <c r="X19"/>
      <c r="Y19"/>
      <c r="Z19"/>
      <c r="AA19"/>
      <c r="AB19"/>
    </row>
    <row r="20" spans="1:31">
      <c r="A20" s="798"/>
      <c r="B20" s="1692" t="s">
        <v>1396</v>
      </c>
      <c r="C20" s="976"/>
      <c r="D20" s="971"/>
      <c r="E20" s="971"/>
      <c r="F20" s="971"/>
      <c r="G20" s="971"/>
      <c r="H20" s="976"/>
      <c r="I20" s="971"/>
      <c r="J20" s="971"/>
      <c r="K20" s="971"/>
      <c r="L20" s="971"/>
      <c r="M20" s="976"/>
      <c r="N20" s="971"/>
      <c r="O20" s="971"/>
      <c r="P20" s="971"/>
      <c r="Q20" s="977"/>
      <c r="U20"/>
      <c r="V20"/>
      <c r="W20"/>
      <c r="X20"/>
      <c r="Y20"/>
      <c r="Z20"/>
      <c r="AA20"/>
      <c r="AB20"/>
    </row>
    <row r="21" spans="1:31">
      <c r="A21" s="798"/>
      <c r="B21" s="1692" t="s">
        <v>1397</v>
      </c>
      <c r="C21" s="976"/>
      <c r="D21" s="971"/>
      <c r="E21" s="971"/>
      <c r="F21" s="971"/>
      <c r="G21" s="971"/>
      <c r="H21" s="976"/>
      <c r="I21" s="971"/>
      <c r="J21" s="971"/>
      <c r="K21" s="971"/>
      <c r="L21" s="971"/>
      <c r="M21" s="976"/>
      <c r="N21" s="971"/>
      <c r="O21" s="971"/>
      <c r="P21" s="971"/>
      <c r="Q21" s="977"/>
      <c r="U21"/>
      <c r="V21"/>
      <c r="W21"/>
      <c r="X21"/>
      <c r="Y21"/>
      <c r="Z21"/>
      <c r="AA21"/>
      <c r="AB21"/>
    </row>
    <row r="22" spans="1:31" s="1019" customFormat="1" ht="13.5" thickBot="1">
      <c r="A22" s="1018"/>
      <c r="B22" s="1456" t="s">
        <v>669</v>
      </c>
      <c r="C22" s="619">
        <f t="shared" ref="C22:Q22" si="0">SUM(C18:C21)</f>
        <v>0</v>
      </c>
      <c r="D22" s="618">
        <f t="shared" si="0"/>
        <v>0</v>
      </c>
      <c r="E22" s="618">
        <f t="shared" si="0"/>
        <v>0</v>
      </c>
      <c r="F22" s="618">
        <f t="shared" si="0"/>
        <v>0</v>
      </c>
      <c r="G22" s="620">
        <f t="shared" si="0"/>
        <v>0</v>
      </c>
      <c r="H22" s="619">
        <f t="shared" si="0"/>
        <v>0</v>
      </c>
      <c r="I22" s="618">
        <f t="shared" si="0"/>
        <v>0</v>
      </c>
      <c r="J22" s="618">
        <f t="shared" si="0"/>
        <v>0</v>
      </c>
      <c r="K22" s="618">
        <f t="shared" si="0"/>
        <v>0</v>
      </c>
      <c r="L22" s="618">
        <f t="shared" si="0"/>
        <v>0</v>
      </c>
      <c r="M22" s="619">
        <f t="shared" si="0"/>
        <v>0</v>
      </c>
      <c r="N22" s="618">
        <f t="shared" si="0"/>
        <v>0</v>
      </c>
      <c r="O22" s="618">
        <f t="shared" si="0"/>
        <v>0</v>
      </c>
      <c r="P22" s="618">
        <f t="shared" si="0"/>
        <v>0</v>
      </c>
      <c r="Q22" s="620">
        <f t="shared" si="0"/>
        <v>0</v>
      </c>
      <c r="T22"/>
      <c r="U22"/>
      <c r="V22"/>
      <c r="W22"/>
      <c r="X22"/>
      <c r="Y22"/>
      <c r="Z22"/>
      <c r="AA22"/>
      <c r="AB22"/>
      <c r="AC22"/>
    </row>
    <row r="23" spans="1:31" s="70" customFormat="1" ht="28.5" customHeight="1" thickBot="1">
      <c r="A23" s="360"/>
      <c r="B23" s="1724" t="s">
        <v>125</v>
      </c>
      <c r="C23" s="1413"/>
      <c r="D23" s="1414"/>
      <c r="E23" s="1414"/>
      <c r="F23" s="1414"/>
      <c r="G23" s="1414"/>
      <c r="H23" s="1414"/>
      <c r="I23" s="1414"/>
      <c r="J23" s="1414"/>
      <c r="K23" s="1414"/>
      <c r="L23" s="1414"/>
      <c r="M23" s="1414"/>
      <c r="N23" s="1414"/>
      <c r="O23" s="1414"/>
      <c r="P23" s="1414"/>
      <c r="Q23" s="1452"/>
      <c r="R23"/>
      <c r="S23"/>
      <c r="T23"/>
      <c r="U23"/>
      <c r="V23"/>
      <c r="W23"/>
      <c r="X23"/>
      <c r="Y23"/>
      <c r="Z23"/>
      <c r="AA23"/>
      <c r="AB23"/>
      <c r="AC23"/>
      <c r="AD23"/>
      <c r="AE23"/>
    </row>
    <row r="24" spans="1:31" s="97" customFormat="1" ht="36.75" customHeight="1" thickBot="1">
      <c r="A24" s="798"/>
      <c r="B24" s="99"/>
      <c r="C24" s="123"/>
      <c r="D24" s="123"/>
      <c r="E24" s="123"/>
      <c r="F24" s="123"/>
      <c r="G24" s="123"/>
      <c r="H24" s="123"/>
      <c r="I24" s="123"/>
      <c r="J24" s="123"/>
      <c r="K24" s="123"/>
      <c r="L24" s="123"/>
      <c r="R24"/>
      <c r="S24"/>
      <c r="T24"/>
      <c r="U24" s="1427"/>
      <c r="V24" s="1427"/>
      <c r="W24" s="1427"/>
      <c r="X24" s="1427"/>
      <c r="Y24" s="1427"/>
      <c r="Z24" s="1427"/>
      <c r="AA24" s="1427"/>
      <c r="AB24" s="1427"/>
      <c r="AC24"/>
      <c r="AD24"/>
      <c r="AE24"/>
    </row>
    <row r="25" spans="1:31" s="70" customFormat="1" ht="16.5" thickBot="1">
      <c r="A25" s="410"/>
      <c r="B25" s="1571" t="s">
        <v>561</v>
      </c>
      <c r="C25" s="1572"/>
      <c r="D25" s="1572"/>
      <c r="E25" s="1572"/>
      <c r="F25" s="1572"/>
      <c r="G25" s="1572"/>
      <c r="H25" s="1572"/>
      <c r="I25" s="1572"/>
      <c r="J25" s="1572"/>
      <c r="K25" s="1572"/>
      <c r="L25" s="1572"/>
      <c r="M25" s="1572"/>
      <c r="N25" s="1572"/>
      <c r="O25" s="1572"/>
      <c r="P25" s="1572"/>
      <c r="Q25" s="1573"/>
      <c r="R25"/>
      <c r="S25"/>
      <c r="T25"/>
      <c r="U25" s="1427"/>
      <c r="V25" s="1427"/>
      <c r="W25" s="1427"/>
      <c r="X25" s="1427"/>
      <c r="Y25" s="1427"/>
      <c r="Z25" s="1427"/>
      <c r="AA25" s="1427"/>
      <c r="AB25" s="1427"/>
      <c r="AC25"/>
      <c r="AD25"/>
      <c r="AE25"/>
    </row>
    <row r="26" spans="1:31" s="97" customFormat="1" ht="12.75" customHeight="1">
      <c r="A26" s="798"/>
      <c r="B26" s="4029"/>
      <c r="C26" s="4035" t="s">
        <v>36</v>
      </c>
      <c r="D26" s="3858"/>
      <c r="E26" s="3858"/>
      <c r="F26" s="3858"/>
      <c r="G26" s="3858"/>
      <c r="H26" s="4036" t="s">
        <v>37</v>
      </c>
      <c r="I26" s="3935"/>
      <c r="J26" s="3935"/>
      <c r="K26" s="3935"/>
      <c r="L26" s="3935"/>
      <c r="M26" s="4037" t="s">
        <v>73</v>
      </c>
      <c r="N26" s="4037"/>
      <c r="O26" s="4037"/>
      <c r="P26" s="4037"/>
      <c r="Q26" s="4038"/>
      <c r="R26"/>
      <c r="S26"/>
      <c r="T26"/>
      <c r="U26" s="1427"/>
      <c r="V26" s="1427"/>
      <c r="W26" s="1427"/>
      <c r="X26" s="1427"/>
      <c r="Y26" s="1427"/>
      <c r="Z26" s="1427"/>
      <c r="AA26" s="1427"/>
      <c r="AB26" s="1427"/>
      <c r="AC26"/>
      <c r="AD26"/>
      <c r="AE26"/>
    </row>
    <row r="27" spans="1:31" s="97" customFormat="1" ht="12.75" customHeight="1">
      <c r="A27" s="798"/>
      <c r="B27" s="4030"/>
      <c r="C27" s="3550" t="s">
        <v>579</v>
      </c>
      <c r="D27" s="3551"/>
      <c r="E27" s="3551"/>
      <c r="F27" s="3551"/>
      <c r="G27" s="3551"/>
      <c r="H27" s="3551"/>
      <c r="I27" s="3551"/>
      <c r="J27" s="3551"/>
      <c r="K27" s="3595"/>
      <c r="L27" s="3589" t="str">
        <f>CONCATENATE("$0's, real ",dms_DollarReal)</f>
        <v>$0's, real December 2017</v>
      </c>
      <c r="M27" s="3590"/>
      <c r="N27" s="3590"/>
      <c r="O27" s="3590"/>
      <c r="P27" s="3590"/>
      <c r="Q27" s="3734"/>
      <c r="R27"/>
      <c r="S27"/>
      <c r="T27"/>
      <c r="U27" s="1427"/>
      <c r="V27" s="1427"/>
      <c r="W27" s="1427"/>
      <c r="X27" s="1427"/>
      <c r="Y27" s="1427"/>
      <c r="Z27" s="1427"/>
      <c r="AA27" s="1427"/>
      <c r="AB27" s="1427"/>
      <c r="AC27"/>
      <c r="AD27"/>
      <c r="AE27"/>
    </row>
    <row r="28" spans="1:31" ht="12.75" customHeight="1">
      <c r="A28" s="798"/>
      <c r="B28" s="4030"/>
      <c r="C28" s="3550" t="s">
        <v>54</v>
      </c>
      <c r="D28" s="3551"/>
      <c r="E28" s="3551"/>
      <c r="F28" s="3551"/>
      <c r="G28" s="3551"/>
      <c r="H28" s="3551"/>
      <c r="I28" s="3551"/>
      <c r="J28" s="3595"/>
      <c r="K28" s="3589" t="s">
        <v>55</v>
      </c>
      <c r="L28" s="3590"/>
      <c r="M28" s="3590"/>
      <c r="N28" s="3590"/>
      <c r="O28" s="3590"/>
      <c r="P28" s="3590"/>
      <c r="Q28" s="3734"/>
    </row>
    <row r="29" spans="1:31" ht="12.75" customHeight="1" thickBot="1">
      <c r="A29" s="798"/>
      <c r="B29" s="4031"/>
      <c r="C29" s="391">
        <f t="array" ref="C29:G29">PRCP</f>
        <v>2008</v>
      </c>
      <c r="D29" s="390">
        <v>2009</v>
      </c>
      <c r="E29" s="390">
        <v>2010</v>
      </c>
      <c r="F29" s="390">
        <v>2011</v>
      </c>
      <c r="G29" s="390">
        <v>2012</v>
      </c>
      <c r="H29" s="392">
        <f>CRCP_y1</f>
        <v>2013</v>
      </c>
      <c r="I29" s="392">
        <f>CRCP_y2</f>
        <v>2014</v>
      </c>
      <c r="J29" s="392">
        <f>CRCP_y3</f>
        <v>2015</v>
      </c>
      <c r="K29" s="392">
        <f>CRCP_y4</f>
        <v>2016</v>
      </c>
      <c r="L29" s="392">
        <f>CRCP_y5</f>
        <v>2017</v>
      </c>
      <c r="M29" s="390" t="str">
        <f t="array" ref="M29:Q29">FRCP</f>
        <v>2018</v>
      </c>
      <c r="N29" s="390">
        <v>2019</v>
      </c>
      <c r="O29" s="390">
        <v>2020</v>
      </c>
      <c r="P29" s="390">
        <v>2021</v>
      </c>
      <c r="Q29" s="786">
        <v>2022</v>
      </c>
    </row>
    <row r="30" spans="1:31" ht="12.75" customHeight="1">
      <c r="A30" s="798"/>
      <c r="B30" s="1692" t="s">
        <v>1394</v>
      </c>
      <c r="C30" s="995"/>
      <c r="D30" s="996"/>
      <c r="E30" s="996"/>
      <c r="F30" s="996"/>
      <c r="G30" s="997"/>
      <c r="H30" s="995"/>
      <c r="I30" s="996"/>
      <c r="J30" s="996"/>
      <c r="K30" s="996"/>
      <c r="L30" s="996"/>
      <c r="M30" s="995"/>
      <c r="N30" s="996"/>
      <c r="O30" s="996"/>
      <c r="P30" s="996"/>
      <c r="Q30" s="997"/>
    </row>
    <row r="31" spans="1:31" ht="12.75" customHeight="1">
      <c r="A31" s="798"/>
      <c r="B31" s="1692" t="s">
        <v>1395</v>
      </c>
      <c r="C31" s="976"/>
      <c r="D31" s="971"/>
      <c r="E31" s="971"/>
      <c r="F31" s="971"/>
      <c r="G31" s="971"/>
      <c r="H31" s="976"/>
      <c r="I31" s="971"/>
      <c r="J31" s="971"/>
      <c r="K31" s="971"/>
      <c r="L31" s="971"/>
      <c r="M31" s="976"/>
      <c r="N31" s="971"/>
      <c r="O31" s="971"/>
      <c r="P31" s="971"/>
      <c r="Q31" s="977"/>
    </row>
    <row r="32" spans="1:31" ht="12.75" customHeight="1">
      <c r="A32" s="798"/>
      <c r="B32" s="1692" t="s">
        <v>1396</v>
      </c>
      <c r="C32" s="976"/>
      <c r="D32" s="971"/>
      <c r="E32" s="971"/>
      <c r="F32" s="971"/>
      <c r="G32" s="971"/>
      <c r="H32" s="976"/>
      <c r="I32" s="971"/>
      <c r="J32" s="971"/>
      <c r="K32" s="971"/>
      <c r="L32" s="971"/>
      <c r="M32" s="976"/>
      <c r="N32" s="971"/>
      <c r="O32" s="971"/>
      <c r="P32" s="971"/>
      <c r="Q32" s="977"/>
    </row>
    <row r="33" spans="1:31" ht="12.75" customHeight="1">
      <c r="A33" s="798"/>
      <c r="B33" s="1692" t="s">
        <v>1397</v>
      </c>
      <c r="C33" s="976"/>
      <c r="D33" s="971"/>
      <c r="E33" s="971"/>
      <c r="F33" s="971"/>
      <c r="G33" s="971"/>
      <c r="H33" s="976"/>
      <c r="I33" s="971"/>
      <c r="J33" s="971"/>
      <c r="K33" s="971"/>
      <c r="L33" s="971"/>
      <c r="M33" s="976"/>
      <c r="N33" s="971"/>
      <c r="O33" s="971"/>
      <c r="P33" s="971"/>
      <c r="Q33" s="977"/>
    </row>
    <row r="34" spans="1:31" s="1019" customFormat="1" ht="12.75" customHeight="1" thickBot="1">
      <c r="A34" s="1018"/>
      <c r="B34" s="1456" t="s">
        <v>217</v>
      </c>
      <c r="C34" s="619">
        <f t="shared" ref="C34:Q34" si="1">SUM(C30:C33)</f>
        <v>0</v>
      </c>
      <c r="D34" s="618">
        <f t="shared" si="1"/>
        <v>0</v>
      </c>
      <c r="E34" s="618">
        <f t="shared" si="1"/>
        <v>0</v>
      </c>
      <c r="F34" s="618">
        <f t="shared" si="1"/>
        <v>0</v>
      </c>
      <c r="G34" s="620">
        <f t="shared" si="1"/>
        <v>0</v>
      </c>
      <c r="H34" s="619">
        <f t="shared" si="1"/>
        <v>0</v>
      </c>
      <c r="I34" s="618">
        <f t="shared" si="1"/>
        <v>0</v>
      </c>
      <c r="J34" s="618">
        <f t="shared" si="1"/>
        <v>0</v>
      </c>
      <c r="K34" s="618">
        <f t="shared" si="1"/>
        <v>0</v>
      </c>
      <c r="L34" s="618">
        <f t="shared" si="1"/>
        <v>0</v>
      </c>
      <c r="M34" s="619">
        <f t="shared" si="1"/>
        <v>0</v>
      </c>
      <c r="N34" s="618">
        <f t="shared" si="1"/>
        <v>0</v>
      </c>
      <c r="O34" s="618">
        <f t="shared" si="1"/>
        <v>0</v>
      </c>
      <c r="P34" s="618">
        <f t="shared" si="1"/>
        <v>0</v>
      </c>
      <c r="Q34" s="620">
        <f t="shared" si="1"/>
        <v>0</v>
      </c>
      <c r="U34" s="1427"/>
      <c r="V34" s="1427"/>
      <c r="W34" s="1427"/>
      <c r="X34" s="1427"/>
      <c r="Y34" s="1427"/>
      <c r="Z34" s="1427"/>
      <c r="AA34" s="1427"/>
      <c r="AB34" s="1427"/>
    </row>
    <row r="35" spans="1:31" s="1427" customFormat="1" ht="28.5" customHeight="1" thickBot="1">
      <c r="A35" s="1115"/>
      <c r="B35" s="1724" t="s">
        <v>125</v>
      </c>
      <c r="C35" s="1413"/>
      <c r="D35" s="1414"/>
      <c r="E35" s="1414"/>
      <c r="F35" s="1414"/>
      <c r="G35" s="1414"/>
      <c r="H35" s="1414"/>
      <c r="I35" s="1414"/>
      <c r="J35" s="1414"/>
      <c r="K35" s="1414"/>
      <c r="L35" s="1414"/>
      <c r="M35" s="1414"/>
      <c r="N35" s="1414"/>
      <c r="O35" s="1414"/>
      <c r="P35" s="1414"/>
      <c r="Q35" s="1452"/>
    </row>
    <row r="36" spans="1:31" s="97" customFormat="1" ht="43.5" customHeight="1" thickBot="1">
      <c r="A36" s="798"/>
      <c r="B36" s="124"/>
      <c r="C36" s="125"/>
      <c r="D36" s="125"/>
      <c r="E36" s="125"/>
      <c r="F36" s="125"/>
      <c r="G36" s="125"/>
      <c r="R36"/>
      <c r="S36"/>
      <c r="T36"/>
      <c r="U36" s="1427"/>
      <c r="V36" s="1427"/>
      <c r="W36" s="1427"/>
      <c r="X36" s="1427"/>
      <c r="Y36" s="1427"/>
      <c r="Z36" s="1427"/>
      <c r="AA36" s="1427"/>
      <c r="AB36" s="1427"/>
      <c r="AC36"/>
      <c r="AD36"/>
      <c r="AE36"/>
    </row>
    <row r="37" spans="1:31" s="70" customFormat="1" ht="16.5" thickBot="1">
      <c r="A37" s="410"/>
      <c r="B37" s="1571" t="s">
        <v>409</v>
      </c>
      <c r="C37" s="1572"/>
      <c r="D37" s="1572"/>
      <c r="E37" s="1572"/>
      <c r="F37" s="1572"/>
      <c r="G37" s="1572"/>
      <c r="H37" s="1572"/>
      <c r="I37" s="1572"/>
      <c r="J37" s="1572"/>
      <c r="K37" s="1572"/>
      <c r="L37" s="1572"/>
      <c r="M37" s="1572"/>
      <c r="N37" s="1572"/>
      <c r="O37" s="1572"/>
      <c r="P37" s="1572"/>
      <c r="Q37" s="1573"/>
      <c r="R37"/>
      <c r="S37"/>
      <c r="T37"/>
      <c r="U37" s="1427"/>
      <c r="V37" s="1427"/>
      <c r="W37" s="1427"/>
      <c r="X37" s="1427"/>
      <c r="Y37" s="1427"/>
      <c r="Z37" s="1427"/>
      <c r="AA37" s="1427"/>
      <c r="AB37" s="1427"/>
      <c r="AC37"/>
      <c r="AD37"/>
      <c r="AE37"/>
    </row>
    <row r="38" spans="1:31" ht="12.75" customHeight="1">
      <c r="A38" s="798"/>
      <c r="B38" s="4032"/>
      <c r="C38" s="4035" t="s">
        <v>36</v>
      </c>
      <c r="D38" s="3858"/>
      <c r="E38" s="3858"/>
      <c r="F38" s="3858"/>
      <c r="G38" s="3858"/>
      <c r="H38" s="4036" t="s">
        <v>37</v>
      </c>
      <c r="I38" s="3935"/>
      <c r="J38" s="3935"/>
      <c r="K38" s="3935"/>
      <c r="L38" s="3935"/>
      <c r="M38" s="4037" t="s">
        <v>73</v>
      </c>
      <c r="N38" s="4037"/>
      <c r="O38" s="4037"/>
      <c r="P38" s="4037"/>
      <c r="Q38" s="4038"/>
    </row>
    <row r="39" spans="1:31" ht="12.75" customHeight="1">
      <c r="A39" s="798"/>
      <c r="B39" s="4033"/>
      <c r="C39" s="3550" t="s">
        <v>579</v>
      </c>
      <c r="D39" s="3551"/>
      <c r="E39" s="3551"/>
      <c r="F39" s="3551"/>
      <c r="G39" s="3551"/>
      <c r="H39" s="3551"/>
      <c r="I39" s="3551"/>
      <c r="J39" s="3551"/>
      <c r="K39" s="3595"/>
      <c r="L39" s="3589" t="str">
        <f>CONCATENATE("$0's, real ",dms_DollarReal)</f>
        <v>$0's, real December 2017</v>
      </c>
      <c r="M39" s="3590"/>
      <c r="N39" s="3590"/>
      <c r="O39" s="3590"/>
      <c r="P39" s="3590"/>
      <c r="Q39" s="3734"/>
    </row>
    <row r="40" spans="1:31" ht="12.75" customHeight="1">
      <c r="A40" s="798"/>
      <c r="B40" s="4033"/>
      <c r="C40" s="3550" t="s">
        <v>54</v>
      </c>
      <c r="D40" s="3551"/>
      <c r="E40" s="3551"/>
      <c r="F40" s="3551"/>
      <c r="G40" s="3551"/>
      <c r="H40" s="3551"/>
      <c r="I40" s="3551"/>
      <c r="J40" s="3595"/>
      <c r="K40" s="3589" t="s">
        <v>55</v>
      </c>
      <c r="L40" s="3590"/>
      <c r="M40" s="3590"/>
      <c r="N40" s="3590"/>
      <c r="O40" s="3590"/>
      <c r="P40" s="3590"/>
      <c r="Q40" s="3734"/>
    </row>
    <row r="41" spans="1:31" ht="12.75" customHeight="1" thickBot="1">
      <c r="A41" s="798"/>
      <c r="B41" s="4034"/>
      <c r="C41" s="391">
        <f t="array" ref="C41:G41">PRCP</f>
        <v>2008</v>
      </c>
      <c r="D41" s="390">
        <v>2009</v>
      </c>
      <c r="E41" s="390">
        <v>2010</v>
      </c>
      <c r="F41" s="390">
        <v>2011</v>
      </c>
      <c r="G41" s="390">
        <v>2012</v>
      </c>
      <c r="H41" s="392">
        <f>CRCP_y1</f>
        <v>2013</v>
      </c>
      <c r="I41" s="392">
        <f>CRCP_y2</f>
        <v>2014</v>
      </c>
      <c r="J41" s="392">
        <f>CRCP_y3</f>
        <v>2015</v>
      </c>
      <c r="K41" s="392">
        <f>CRCP_y4</f>
        <v>2016</v>
      </c>
      <c r="L41" s="392">
        <f>CRCP_y5</f>
        <v>2017</v>
      </c>
      <c r="M41" s="390" t="str">
        <f t="array" ref="M41:Q41">FRCP</f>
        <v>2018</v>
      </c>
      <c r="N41" s="390">
        <v>2019</v>
      </c>
      <c r="O41" s="390">
        <v>2020</v>
      </c>
      <c r="P41" s="390">
        <v>2021</v>
      </c>
      <c r="Q41" s="786">
        <v>2022</v>
      </c>
    </row>
    <row r="42" spans="1:31" ht="12.75" customHeight="1">
      <c r="A42" s="798"/>
      <c r="B42" s="813" t="s">
        <v>1394</v>
      </c>
      <c r="C42" s="1668" t="e">
        <f>C30/C18</f>
        <v>#DIV/0!</v>
      </c>
      <c r="D42" s="1001" t="e">
        <f t="shared" ref="D42:Q42" si="2">D30/D18</f>
        <v>#DIV/0!</v>
      </c>
      <c r="E42" s="1001" t="e">
        <f t="shared" si="2"/>
        <v>#DIV/0!</v>
      </c>
      <c r="F42" s="1001" t="e">
        <f t="shared" si="2"/>
        <v>#DIV/0!</v>
      </c>
      <c r="G42" s="1669" t="e">
        <f t="shared" si="2"/>
        <v>#DIV/0!</v>
      </c>
      <c r="H42" s="1668" t="e">
        <f t="shared" si="2"/>
        <v>#DIV/0!</v>
      </c>
      <c r="I42" s="1001" t="e">
        <f t="shared" si="2"/>
        <v>#DIV/0!</v>
      </c>
      <c r="J42" s="1001" t="e">
        <f t="shared" si="2"/>
        <v>#DIV/0!</v>
      </c>
      <c r="K42" s="1001" t="e">
        <f t="shared" si="2"/>
        <v>#DIV/0!</v>
      </c>
      <c r="L42" s="1669" t="e">
        <f t="shared" si="2"/>
        <v>#DIV/0!</v>
      </c>
      <c r="M42" s="1666" t="e">
        <f t="shared" si="2"/>
        <v>#DIV/0!</v>
      </c>
      <c r="N42" s="1001" t="e">
        <f t="shared" si="2"/>
        <v>#DIV/0!</v>
      </c>
      <c r="O42" s="1001" t="e">
        <f t="shared" si="2"/>
        <v>#DIV/0!</v>
      </c>
      <c r="P42" s="1001" t="e">
        <f t="shared" si="2"/>
        <v>#DIV/0!</v>
      </c>
      <c r="Q42" s="1002" t="e">
        <f t="shared" si="2"/>
        <v>#DIV/0!</v>
      </c>
    </row>
    <row r="43" spans="1:31" ht="12.75" customHeight="1">
      <c r="A43" s="798"/>
      <c r="B43" s="1692" t="s">
        <v>1395</v>
      </c>
      <c r="C43" s="1670" t="e">
        <f>C31/C19</f>
        <v>#DIV/0!</v>
      </c>
      <c r="D43" s="1003" t="e">
        <f t="shared" ref="D43:Q43" si="3">D31/D19</f>
        <v>#DIV/0!</v>
      </c>
      <c r="E43" s="1003" t="e">
        <f t="shared" si="3"/>
        <v>#DIV/0!</v>
      </c>
      <c r="F43" s="1003" t="e">
        <f t="shared" si="3"/>
        <v>#DIV/0!</v>
      </c>
      <c r="G43" s="1671" t="e">
        <f t="shared" si="3"/>
        <v>#DIV/0!</v>
      </c>
      <c r="H43" s="1670" t="e">
        <f t="shared" si="3"/>
        <v>#DIV/0!</v>
      </c>
      <c r="I43" s="1003" t="e">
        <f t="shared" si="3"/>
        <v>#DIV/0!</v>
      </c>
      <c r="J43" s="1003" t="e">
        <f t="shared" si="3"/>
        <v>#DIV/0!</v>
      </c>
      <c r="K43" s="1003" t="e">
        <f t="shared" si="3"/>
        <v>#DIV/0!</v>
      </c>
      <c r="L43" s="1671" t="e">
        <f t="shared" si="3"/>
        <v>#DIV/0!</v>
      </c>
      <c r="M43" s="1667" t="e">
        <f t="shared" si="3"/>
        <v>#DIV/0!</v>
      </c>
      <c r="N43" s="1003" t="e">
        <f t="shared" si="3"/>
        <v>#DIV/0!</v>
      </c>
      <c r="O43" s="1003" t="e">
        <f t="shared" si="3"/>
        <v>#DIV/0!</v>
      </c>
      <c r="P43" s="1003" t="e">
        <f t="shared" si="3"/>
        <v>#DIV/0!</v>
      </c>
      <c r="Q43" s="1004" t="e">
        <f t="shared" si="3"/>
        <v>#DIV/0!</v>
      </c>
    </row>
    <row r="44" spans="1:31" ht="12.75" customHeight="1">
      <c r="A44" s="798"/>
      <c r="B44" s="1692" t="s">
        <v>1396</v>
      </c>
      <c r="C44" s="1670" t="e">
        <f t="shared" ref="C44:Q44" si="4">C32/C20</f>
        <v>#DIV/0!</v>
      </c>
      <c r="D44" s="1003" t="e">
        <f t="shared" si="4"/>
        <v>#DIV/0!</v>
      </c>
      <c r="E44" s="1003" t="e">
        <f t="shared" si="4"/>
        <v>#DIV/0!</v>
      </c>
      <c r="F44" s="1003" t="e">
        <f t="shared" si="4"/>
        <v>#DIV/0!</v>
      </c>
      <c r="G44" s="1671" t="e">
        <f t="shared" si="4"/>
        <v>#DIV/0!</v>
      </c>
      <c r="H44" s="1670" t="e">
        <f t="shared" si="4"/>
        <v>#DIV/0!</v>
      </c>
      <c r="I44" s="1003" t="e">
        <f t="shared" si="4"/>
        <v>#DIV/0!</v>
      </c>
      <c r="J44" s="1003" t="e">
        <f t="shared" si="4"/>
        <v>#DIV/0!</v>
      </c>
      <c r="K44" s="1003" t="e">
        <f t="shared" si="4"/>
        <v>#DIV/0!</v>
      </c>
      <c r="L44" s="1671" t="e">
        <f t="shared" si="4"/>
        <v>#DIV/0!</v>
      </c>
      <c r="M44" s="1667" t="e">
        <f t="shared" si="4"/>
        <v>#DIV/0!</v>
      </c>
      <c r="N44" s="1003" t="e">
        <f t="shared" si="4"/>
        <v>#DIV/0!</v>
      </c>
      <c r="O44" s="1003" t="e">
        <f t="shared" si="4"/>
        <v>#DIV/0!</v>
      </c>
      <c r="P44" s="1003" t="e">
        <f t="shared" si="4"/>
        <v>#DIV/0!</v>
      </c>
      <c r="Q44" s="1004" t="e">
        <f t="shared" si="4"/>
        <v>#DIV/0!</v>
      </c>
    </row>
    <row r="45" spans="1:31" ht="12.75" customHeight="1" thickBot="1">
      <c r="A45" s="798"/>
      <c r="B45" s="814" t="s">
        <v>1397</v>
      </c>
      <c r="C45" s="2289" t="e">
        <f t="shared" ref="C45:Q45" si="5">C33/C21</f>
        <v>#DIV/0!</v>
      </c>
      <c r="D45" s="1005" t="e">
        <f t="shared" si="5"/>
        <v>#DIV/0!</v>
      </c>
      <c r="E45" s="1005" t="e">
        <f t="shared" si="5"/>
        <v>#DIV/0!</v>
      </c>
      <c r="F45" s="1005" t="e">
        <f t="shared" si="5"/>
        <v>#DIV/0!</v>
      </c>
      <c r="G45" s="1672" t="e">
        <f t="shared" si="5"/>
        <v>#DIV/0!</v>
      </c>
      <c r="H45" s="2289" t="e">
        <f t="shared" si="5"/>
        <v>#DIV/0!</v>
      </c>
      <c r="I45" s="1005" t="e">
        <f t="shared" si="5"/>
        <v>#DIV/0!</v>
      </c>
      <c r="J45" s="1005" t="e">
        <f t="shared" si="5"/>
        <v>#DIV/0!</v>
      </c>
      <c r="K45" s="1005" t="e">
        <f t="shared" si="5"/>
        <v>#DIV/0!</v>
      </c>
      <c r="L45" s="1672" t="e">
        <f t="shared" si="5"/>
        <v>#DIV/0!</v>
      </c>
      <c r="M45" s="3300" t="e">
        <f t="shared" si="5"/>
        <v>#DIV/0!</v>
      </c>
      <c r="N45" s="1005" t="e">
        <f t="shared" si="5"/>
        <v>#DIV/0!</v>
      </c>
      <c r="O45" s="1005" t="e">
        <f t="shared" si="5"/>
        <v>#DIV/0!</v>
      </c>
      <c r="P45" s="1005" t="e">
        <f t="shared" si="5"/>
        <v>#DIV/0!</v>
      </c>
      <c r="Q45" s="3301" t="e">
        <f t="shared" si="5"/>
        <v>#DIV/0!</v>
      </c>
    </row>
  </sheetData>
  <mergeCells count="23">
    <mergeCell ref="B14:B17"/>
    <mergeCell ref="B38:B41"/>
    <mergeCell ref="C38:G38"/>
    <mergeCell ref="H38:L38"/>
    <mergeCell ref="M38:Q38"/>
    <mergeCell ref="B26:B29"/>
    <mergeCell ref="C26:G26"/>
    <mergeCell ref="H26:L26"/>
    <mergeCell ref="M26:Q26"/>
    <mergeCell ref="C14:G14"/>
    <mergeCell ref="H14:L14"/>
    <mergeCell ref="M14:Q14"/>
    <mergeCell ref="C39:K39"/>
    <mergeCell ref="L39:Q39"/>
    <mergeCell ref="C28:J28"/>
    <mergeCell ref="K28:Q28"/>
    <mergeCell ref="C15:Q15"/>
    <mergeCell ref="C40:J40"/>
    <mergeCell ref="K40:Q40"/>
    <mergeCell ref="C16:J16"/>
    <mergeCell ref="K16:Q16"/>
    <mergeCell ref="C27:K27"/>
    <mergeCell ref="L27:Q27"/>
  </mergeCells>
  <pageMargins left="0.75" right="0.75" top="1" bottom="1" header="0.5" footer="0.5"/>
  <pageSetup paperSize="9" orientation="portrait" r:id="rId1"/>
  <headerFooter alignWithMargins="0"/>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autoPageBreaks="0"/>
  </sheetPr>
  <dimension ref="A1:AF58"/>
  <sheetViews>
    <sheetView showGridLines="0" zoomScale="85" zoomScaleNormal="85" workbookViewId="0"/>
  </sheetViews>
  <sheetFormatPr defaultRowHeight="12.75"/>
  <cols>
    <col min="1" max="1" width="20.7109375" style="1427" customWidth="1"/>
    <col min="2" max="2" width="45.7109375" style="1427" customWidth="1"/>
    <col min="3" max="3" width="23.140625" style="1427" bestFit="1" customWidth="1"/>
    <col min="4" max="4" width="20.140625" style="1427" bestFit="1" customWidth="1"/>
    <col min="5" max="5" width="18.7109375" style="1427" customWidth="1"/>
    <col min="6" max="14" width="15.140625" style="1427" customWidth="1"/>
    <col min="15" max="15" width="15.140625" style="13" customWidth="1"/>
    <col min="16" max="16384" width="9.140625" style="1427"/>
  </cols>
  <sheetData>
    <row r="1" spans="1:32" s="1435" customFormat="1" ht="25.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1427"/>
      <c r="M1" s="1427"/>
      <c r="N1" s="1427"/>
      <c r="O1" s="13"/>
      <c r="P1" s="1427"/>
      <c r="Q1" s="1427"/>
      <c r="R1" s="1427"/>
      <c r="S1" s="1427"/>
      <c r="T1" s="1427"/>
      <c r="U1" s="1427"/>
      <c r="V1" s="1427"/>
      <c r="W1" s="1427"/>
      <c r="X1" s="1427"/>
      <c r="Y1" s="1427"/>
      <c r="Z1" s="1427"/>
      <c r="AA1" s="1427"/>
      <c r="AB1" s="1427"/>
      <c r="AC1" s="1427"/>
      <c r="AD1" s="1427"/>
      <c r="AE1" s="1427"/>
      <c r="AF1" s="1427"/>
    </row>
    <row r="2" spans="1:32" s="1435" customFormat="1" ht="25.5" customHeight="1">
      <c r="B2" s="3054" t="str">
        <f>INDEX(dms_TradingNameFull_List,MATCH(dms_TradingName,dms_TradingName_List))</f>
        <v>AusNet Gas Services</v>
      </c>
      <c r="C2" s="1428"/>
      <c r="D2" s="1428"/>
      <c r="E2" s="1428"/>
      <c r="F2" s="1428"/>
      <c r="G2" s="1428"/>
      <c r="H2" s="1428"/>
      <c r="I2" s="1428"/>
      <c r="J2" s="1428"/>
      <c r="K2" s="1428"/>
      <c r="L2" s="1427"/>
      <c r="M2" s="1427"/>
      <c r="N2" s="1427"/>
      <c r="O2" s="13"/>
      <c r="P2" s="1427"/>
      <c r="Q2" s="1427"/>
      <c r="R2" s="1427"/>
      <c r="S2" s="1427"/>
      <c r="T2" s="1427"/>
      <c r="U2" s="1427"/>
      <c r="V2" s="1427"/>
      <c r="W2" s="1427"/>
      <c r="X2" s="1427"/>
      <c r="Y2" s="1427"/>
      <c r="Z2" s="1427"/>
      <c r="AA2" s="1427"/>
      <c r="AB2" s="1427"/>
      <c r="AC2" s="1427"/>
      <c r="AD2" s="1427"/>
      <c r="AE2" s="1427"/>
      <c r="AF2" s="1427"/>
    </row>
    <row r="3" spans="1:32" s="1435" customFormat="1" ht="25.5" customHeight="1">
      <c r="B3" s="3054" t="str">
        <f ca="1">IF(SUM(dms_SingleYear_Model)&gt;0,CRY,CONCATENATE(FRCP_y1," to ",dms_MultiYear_FinalYear_Result))</f>
        <v>2018 to 2022</v>
      </c>
      <c r="C3" s="1426"/>
      <c r="D3" s="1426"/>
      <c r="E3" s="1426"/>
      <c r="F3" s="1426"/>
      <c r="G3" s="1426"/>
      <c r="H3" s="1426"/>
      <c r="I3" s="1426"/>
      <c r="J3" s="1426"/>
      <c r="K3" s="1426"/>
      <c r="L3" s="1427"/>
      <c r="M3" s="1427"/>
      <c r="N3" s="1427"/>
      <c r="O3" s="13"/>
      <c r="P3" s="1427"/>
      <c r="Q3" s="1427"/>
      <c r="R3" s="1427"/>
      <c r="S3" s="1427"/>
      <c r="T3" s="1427"/>
      <c r="U3" s="1427"/>
      <c r="V3" s="1427"/>
      <c r="W3" s="1427"/>
      <c r="X3" s="1427"/>
      <c r="Y3" s="1427"/>
      <c r="Z3" s="1427"/>
      <c r="AA3" s="1427"/>
      <c r="AB3" s="1427"/>
      <c r="AC3" s="1427"/>
      <c r="AD3" s="1427"/>
      <c r="AE3" s="1427"/>
      <c r="AF3" s="1427"/>
    </row>
    <row r="4" spans="1:32" s="1435" customFormat="1" ht="24" customHeight="1">
      <c r="B4" s="10" t="s">
        <v>398</v>
      </c>
      <c r="C4" s="12"/>
      <c r="D4" s="12"/>
      <c r="E4" s="12"/>
      <c r="F4" s="12"/>
      <c r="G4" s="12"/>
      <c r="H4" s="12"/>
      <c r="I4" s="12"/>
      <c r="J4" s="12"/>
      <c r="K4" s="12"/>
      <c r="L4" s="1427"/>
      <c r="M4" s="1427"/>
      <c r="N4" s="1427"/>
      <c r="O4" s="13"/>
      <c r="P4" s="1427"/>
      <c r="Q4" s="1427"/>
      <c r="R4" s="1427"/>
      <c r="S4" s="1427"/>
      <c r="T4" s="1427"/>
      <c r="U4" s="1427"/>
      <c r="V4" s="1427"/>
      <c r="W4" s="1427"/>
      <c r="X4" s="1427"/>
      <c r="Y4" s="1427"/>
      <c r="Z4" s="1427"/>
      <c r="AA4" s="1427"/>
      <c r="AB4" s="1427"/>
      <c r="AC4" s="1427"/>
      <c r="AD4" s="1427"/>
      <c r="AE4" s="1427"/>
      <c r="AF4" s="1427"/>
    </row>
    <row r="5" spans="1:32">
      <c r="A5" s="1429"/>
      <c r="B5" s="1429"/>
      <c r="C5" s="1429"/>
      <c r="D5" s="1429"/>
      <c r="E5" s="1429"/>
      <c r="F5" s="1429"/>
      <c r="G5" s="1429"/>
      <c r="H5" s="1429"/>
      <c r="I5" s="1429"/>
    </row>
    <row r="6" spans="1:32">
      <c r="A6" s="1429"/>
      <c r="B6" s="1429"/>
      <c r="C6" s="1429"/>
      <c r="D6" s="1429"/>
      <c r="E6" s="1429"/>
      <c r="F6" s="1429"/>
      <c r="G6" s="1429"/>
      <c r="H6" s="1429"/>
      <c r="I6" s="1429"/>
      <c r="J6" s="1429"/>
    </row>
    <row r="7" spans="1:32" s="2340" customFormat="1" ht="27" customHeight="1">
      <c r="A7" s="799"/>
      <c r="B7" s="1674" t="s">
        <v>59</v>
      </c>
      <c r="C7" s="1570"/>
      <c r="D7" s="1570"/>
      <c r="E7" s="1570"/>
      <c r="F7" s="1570"/>
      <c r="G7" s="799"/>
      <c r="H7" s="799"/>
      <c r="I7" s="799"/>
      <c r="J7" s="799"/>
      <c r="O7" s="1673"/>
    </row>
    <row r="8" spans="1:32" s="2340" customFormat="1" ht="18" customHeight="1">
      <c r="A8" s="799"/>
      <c r="B8" s="3563" t="s">
        <v>130</v>
      </c>
      <c r="C8" s="3563"/>
      <c r="D8" s="3563"/>
      <c r="E8" s="1570"/>
      <c r="F8" s="1570"/>
      <c r="G8" s="799"/>
      <c r="H8" s="799"/>
      <c r="I8" s="799"/>
      <c r="J8" s="799"/>
      <c r="O8" s="1673"/>
    </row>
    <row r="9" spans="1:32" s="3289" customFormat="1" ht="30.75" customHeight="1">
      <c r="A9" s="799"/>
      <c r="B9" s="3563" t="s">
        <v>249</v>
      </c>
      <c r="C9" s="3563"/>
      <c r="D9" s="3563"/>
      <c r="E9" s="3563"/>
      <c r="F9" s="3563"/>
      <c r="G9" s="799"/>
      <c r="H9" s="799"/>
      <c r="I9" s="799"/>
      <c r="J9" s="799"/>
      <c r="O9" s="1673"/>
    </row>
    <row r="10" spans="1:32" s="3289" customFormat="1" ht="29.25" customHeight="1">
      <c r="A10" s="799"/>
      <c r="B10" s="3563" t="s">
        <v>1410</v>
      </c>
      <c r="C10" s="3563"/>
      <c r="D10" s="3563"/>
      <c r="E10" s="3563"/>
      <c r="F10" s="3563"/>
      <c r="G10" s="799"/>
      <c r="H10" s="799"/>
      <c r="I10" s="799"/>
      <c r="J10" s="799"/>
      <c r="O10" s="1673"/>
    </row>
    <row r="11" spans="1:32" s="2340" customFormat="1" ht="21.75" customHeight="1">
      <c r="A11" s="799"/>
      <c r="B11" s="4061" t="str">
        <f>CONCATENATE(dms_TradingName, " may add to and/or change the line items if necessary.")</f>
        <v>AusNet (Gas) may add to and/or change the line items if necessary.</v>
      </c>
      <c r="C11" s="4061"/>
      <c r="D11" s="4061"/>
      <c r="E11" s="4061"/>
      <c r="F11" s="4061"/>
      <c r="G11" s="799"/>
      <c r="H11" s="799"/>
      <c r="I11" s="799"/>
      <c r="J11" s="799"/>
      <c r="O11" s="1673"/>
    </row>
    <row r="12" spans="1:32" ht="28.5" customHeight="1" thickBot="1">
      <c r="A12" s="1429"/>
      <c r="G12" s="1429"/>
      <c r="H12" s="1429"/>
      <c r="I12" s="1429"/>
      <c r="J12" s="1429"/>
    </row>
    <row r="13" spans="1:32" ht="16.5" thickBot="1">
      <c r="A13" s="1429"/>
      <c r="B13" s="972" t="s">
        <v>562</v>
      </c>
      <c r="C13" s="972"/>
      <c r="D13" s="989"/>
      <c r="E13" s="989"/>
      <c r="F13" s="989"/>
      <c r="G13" s="989"/>
      <c r="H13" s="989"/>
      <c r="I13" s="989"/>
      <c r="J13" s="989"/>
      <c r="K13" s="989"/>
      <c r="L13" s="989"/>
      <c r="M13" s="989"/>
      <c r="N13" s="989"/>
      <c r="O13" s="989"/>
      <c r="P13" s="990"/>
      <c r="U13" s="13"/>
    </row>
    <row r="14" spans="1:32" ht="25.5" customHeight="1">
      <c r="A14" s="1429"/>
      <c r="B14" s="4062"/>
      <c r="C14" s="4063"/>
      <c r="D14" s="4068" t="s">
        <v>3</v>
      </c>
      <c r="E14" s="4071" t="s">
        <v>4</v>
      </c>
      <c r="F14" s="4055" t="s">
        <v>37</v>
      </c>
      <c r="G14" s="4056"/>
      <c r="H14" s="4056"/>
      <c r="I14" s="4056"/>
      <c r="J14" s="4057"/>
      <c r="K14" s="4058" t="s">
        <v>73</v>
      </c>
      <c r="L14" s="3917"/>
      <c r="M14" s="3917"/>
      <c r="N14" s="3917"/>
      <c r="O14" s="4059"/>
      <c r="P14" s="4052" t="s">
        <v>63</v>
      </c>
      <c r="U14" s="13"/>
    </row>
    <row r="15" spans="1:32" ht="12.75" customHeight="1">
      <c r="A15" s="1429"/>
      <c r="B15" s="4064"/>
      <c r="C15" s="4065"/>
      <c r="D15" s="4069"/>
      <c r="E15" s="4072"/>
      <c r="F15" s="3911" t="s">
        <v>579</v>
      </c>
      <c r="G15" s="3912"/>
      <c r="H15" s="3912"/>
      <c r="I15" s="3912"/>
      <c r="J15" s="4060" t="str">
        <f>CONCATENATE("$0's, real ",dms_DollarReal)</f>
        <v>$0's, real December 2017</v>
      </c>
      <c r="K15" s="4060"/>
      <c r="L15" s="4060"/>
      <c r="M15" s="4060"/>
      <c r="N15" s="4060"/>
      <c r="O15" s="3919"/>
      <c r="P15" s="4053"/>
      <c r="U15" s="13"/>
    </row>
    <row r="16" spans="1:32" ht="12.75" customHeight="1">
      <c r="A16" s="1429"/>
      <c r="B16" s="4064"/>
      <c r="C16" s="4065"/>
      <c r="D16" s="4069"/>
      <c r="E16" s="4073"/>
      <c r="F16" s="3911" t="s">
        <v>54</v>
      </c>
      <c r="G16" s="3912"/>
      <c r="H16" s="3912"/>
      <c r="I16" s="4060" t="s">
        <v>55</v>
      </c>
      <c r="J16" s="4060"/>
      <c r="K16" s="4060"/>
      <c r="L16" s="4060"/>
      <c r="M16" s="4060"/>
      <c r="N16" s="4060"/>
      <c r="O16" s="3919"/>
      <c r="P16" s="4053"/>
      <c r="U16" s="13"/>
    </row>
    <row r="17" spans="1:21" ht="15.75" customHeight="1" thickBot="1">
      <c r="A17" s="1429"/>
      <c r="B17" s="4066"/>
      <c r="C17" s="4067"/>
      <c r="D17" s="4070"/>
      <c r="E17" s="4074"/>
      <c r="F17" s="1789">
        <f>CRCP_y1</f>
        <v>2013</v>
      </c>
      <c r="G17" s="390">
        <f>CRCP_y2</f>
        <v>2014</v>
      </c>
      <c r="H17" s="390">
        <f>CRCP_y3</f>
        <v>2015</v>
      </c>
      <c r="I17" s="392">
        <f>CRCP_y4</f>
        <v>2016</v>
      </c>
      <c r="J17" s="1006">
        <f>CRCP_y5</f>
        <v>2017</v>
      </c>
      <c r="K17" s="390" t="str">
        <f t="array" ref="K17:O17">FRCP</f>
        <v>2018</v>
      </c>
      <c r="L17" s="390">
        <v>2019</v>
      </c>
      <c r="M17" s="390">
        <v>2020</v>
      </c>
      <c r="N17" s="390">
        <v>2021</v>
      </c>
      <c r="O17" s="786">
        <v>2022</v>
      </c>
      <c r="P17" s="4054"/>
      <c r="U17" s="13"/>
    </row>
    <row r="18" spans="1:21" ht="13.5" thickBot="1">
      <c r="O18" s="1427"/>
      <c r="U18" s="13"/>
    </row>
    <row r="19" spans="1:21" ht="20.25" customHeight="1" thickBot="1">
      <c r="A19" s="1429"/>
      <c r="B19" s="858" t="s">
        <v>563</v>
      </c>
      <c r="C19" s="859"/>
      <c r="D19" s="859"/>
      <c r="E19" s="859"/>
      <c r="F19" s="859"/>
      <c r="G19" s="859"/>
      <c r="H19" s="859"/>
      <c r="I19" s="859"/>
      <c r="J19" s="859"/>
      <c r="K19" s="859"/>
      <c r="L19" s="859"/>
      <c r="M19" s="859"/>
      <c r="N19" s="859"/>
      <c r="O19" s="859"/>
      <c r="P19" s="860"/>
      <c r="U19" s="13"/>
    </row>
    <row r="20" spans="1:21">
      <c r="A20" s="1429"/>
      <c r="B20" s="4047" t="s">
        <v>128</v>
      </c>
      <c r="C20" s="1904" t="s">
        <v>129</v>
      </c>
      <c r="D20" s="1905"/>
      <c r="E20" s="1906"/>
      <c r="F20" s="2353"/>
      <c r="G20" s="1907"/>
      <c r="H20" s="1907"/>
      <c r="I20" s="1907"/>
      <c r="J20" s="1908"/>
      <c r="K20" s="2353"/>
      <c r="L20" s="1907"/>
      <c r="M20" s="1907"/>
      <c r="N20" s="1907"/>
      <c r="O20" s="1908"/>
      <c r="P20" s="1914">
        <f t="shared" ref="P20:P54" si="0">SUM(K20:O20)</f>
        <v>0</v>
      </c>
      <c r="U20" s="13"/>
    </row>
    <row r="21" spans="1:21">
      <c r="A21" s="1429"/>
      <c r="B21" s="4048"/>
      <c r="C21" s="1895" t="s">
        <v>129</v>
      </c>
      <c r="D21" s="1891"/>
      <c r="E21" s="1892"/>
      <c r="F21" s="2354"/>
      <c r="G21" s="1008"/>
      <c r="H21" s="1008"/>
      <c r="I21" s="1008"/>
      <c r="J21" s="1009"/>
      <c r="K21" s="2354"/>
      <c r="L21" s="1008"/>
      <c r="M21" s="1008"/>
      <c r="N21" s="1008"/>
      <c r="O21" s="1009"/>
      <c r="P21" s="1010">
        <f t="shared" si="0"/>
        <v>0</v>
      </c>
      <c r="U21" s="13"/>
    </row>
    <row r="22" spans="1:21">
      <c r="A22" s="1429"/>
      <c r="B22" s="4049"/>
      <c r="C22" s="1909" t="s">
        <v>129</v>
      </c>
      <c r="D22" s="1910"/>
      <c r="E22" s="1911"/>
      <c r="F22" s="2355"/>
      <c r="G22" s="1912"/>
      <c r="H22" s="1912"/>
      <c r="I22" s="1912"/>
      <c r="J22" s="1913"/>
      <c r="K22" s="2355"/>
      <c r="L22" s="1912"/>
      <c r="M22" s="1912"/>
      <c r="N22" s="1912"/>
      <c r="O22" s="1913"/>
      <c r="P22" s="1920">
        <f t="shared" si="0"/>
        <v>0</v>
      </c>
      <c r="U22" s="13"/>
    </row>
    <row r="23" spans="1:21">
      <c r="A23" s="1429"/>
      <c r="B23" s="4050" t="s">
        <v>128</v>
      </c>
      <c r="C23" s="1915" t="s">
        <v>129</v>
      </c>
      <c r="D23" s="1916"/>
      <c r="E23" s="1917"/>
      <c r="F23" s="2356"/>
      <c r="G23" s="1918"/>
      <c r="H23" s="1918"/>
      <c r="I23" s="1918"/>
      <c r="J23" s="1919"/>
      <c r="K23" s="2356"/>
      <c r="L23" s="1918"/>
      <c r="M23" s="1918"/>
      <c r="N23" s="1918"/>
      <c r="O23" s="1919"/>
      <c r="P23" s="1007">
        <f t="shared" ref="P23:P25" si="1">SUM(K23:O23)</f>
        <v>0</v>
      </c>
      <c r="U23" s="13"/>
    </row>
    <row r="24" spans="1:21">
      <c r="A24" s="1429"/>
      <c r="B24" s="4048"/>
      <c r="C24" s="1895" t="s">
        <v>129</v>
      </c>
      <c r="D24" s="1891"/>
      <c r="E24" s="1892"/>
      <c r="F24" s="2354"/>
      <c r="G24" s="1008"/>
      <c r="H24" s="1008"/>
      <c r="I24" s="1008"/>
      <c r="J24" s="1009"/>
      <c r="K24" s="2354"/>
      <c r="L24" s="1008"/>
      <c r="M24" s="1008"/>
      <c r="N24" s="1008"/>
      <c r="O24" s="1009"/>
      <c r="P24" s="1010">
        <f t="shared" si="1"/>
        <v>0</v>
      </c>
      <c r="U24" s="13"/>
    </row>
    <row r="25" spans="1:21">
      <c r="A25" s="1429"/>
      <c r="B25" s="4049"/>
      <c r="C25" s="1909" t="s">
        <v>129</v>
      </c>
      <c r="D25" s="1910"/>
      <c r="E25" s="1911"/>
      <c r="F25" s="2355"/>
      <c r="G25" s="1912"/>
      <c r="H25" s="1912"/>
      <c r="I25" s="1912"/>
      <c r="J25" s="1913"/>
      <c r="K25" s="2355"/>
      <c r="L25" s="1912"/>
      <c r="M25" s="1912"/>
      <c r="N25" s="1912"/>
      <c r="O25" s="1913"/>
      <c r="P25" s="1920">
        <f t="shared" si="1"/>
        <v>0</v>
      </c>
      <c r="U25" s="13"/>
    </row>
    <row r="26" spans="1:21">
      <c r="A26" s="1429"/>
      <c r="B26" s="4048" t="s">
        <v>128</v>
      </c>
      <c r="C26" s="1899" t="s">
        <v>129</v>
      </c>
      <c r="D26" s="1900"/>
      <c r="E26" s="1901"/>
      <c r="F26" s="2357"/>
      <c r="G26" s="1902"/>
      <c r="H26" s="1902"/>
      <c r="I26" s="1902"/>
      <c r="J26" s="1903"/>
      <c r="K26" s="2357"/>
      <c r="L26" s="1902"/>
      <c r="M26" s="1902"/>
      <c r="N26" s="1902"/>
      <c r="O26" s="1903"/>
      <c r="P26" s="1007">
        <f t="shared" si="0"/>
        <v>0</v>
      </c>
      <c r="U26" s="13"/>
    </row>
    <row r="27" spans="1:21">
      <c r="A27" s="1429"/>
      <c r="B27" s="4048"/>
      <c r="C27" s="1895" t="s">
        <v>129</v>
      </c>
      <c r="D27" s="1891"/>
      <c r="E27" s="1892"/>
      <c r="F27" s="2354"/>
      <c r="G27" s="1008"/>
      <c r="H27" s="1008"/>
      <c r="I27" s="1008"/>
      <c r="J27" s="1009"/>
      <c r="K27" s="2354"/>
      <c r="L27" s="1008"/>
      <c r="M27" s="1008"/>
      <c r="N27" s="1008"/>
      <c r="O27" s="1009"/>
      <c r="P27" s="1010">
        <f t="shared" si="0"/>
        <v>0</v>
      </c>
      <c r="U27" s="13"/>
    </row>
    <row r="28" spans="1:21" ht="13.5" thickBot="1">
      <c r="A28" s="1429"/>
      <c r="B28" s="4051"/>
      <c r="C28" s="1896" t="s">
        <v>129</v>
      </c>
      <c r="D28" s="1893"/>
      <c r="E28" s="1894"/>
      <c r="F28" s="2358"/>
      <c r="G28" s="1012"/>
      <c r="H28" s="1012"/>
      <c r="I28" s="1012"/>
      <c r="J28" s="1013"/>
      <c r="K28" s="2358"/>
      <c r="L28" s="1012"/>
      <c r="M28" s="1012"/>
      <c r="N28" s="1012"/>
      <c r="O28" s="1013"/>
      <c r="P28" s="1014">
        <f t="shared" si="0"/>
        <v>0</v>
      </c>
      <c r="U28" s="13"/>
    </row>
    <row r="29" spans="1:21" ht="13.5" thickBot="1">
      <c r="A29" s="1429"/>
      <c r="B29" s="4039" t="s">
        <v>729</v>
      </c>
      <c r="C29" s="4040"/>
      <c r="D29" s="1923"/>
      <c r="E29" s="1924"/>
      <c r="F29" s="2360">
        <f>SUM(F20:F28)</f>
        <v>0</v>
      </c>
      <c r="G29" s="2350">
        <f t="shared" ref="G29:J29" si="2">SUM(G20:G28)</f>
        <v>0</v>
      </c>
      <c r="H29" s="2350">
        <f t="shared" si="2"/>
        <v>0</v>
      </c>
      <c r="I29" s="2350">
        <f t="shared" si="2"/>
        <v>0</v>
      </c>
      <c r="J29" s="2351">
        <f t="shared" si="2"/>
        <v>0</v>
      </c>
      <c r="K29" s="2360">
        <f>SUM(K20:K28)</f>
        <v>0</v>
      </c>
      <c r="L29" s="2350">
        <f t="shared" ref="L29" si="3">SUM(L20:L28)</f>
        <v>0</v>
      </c>
      <c r="M29" s="2350">
        <f t="shared" ref="M29" si="4">SUM(M20:M28)</f>
        <v>0</v>
      </c>
      <c r="N29" s="2350">
        <f t="shared" ref="N29" si="5">SUM(N20:N28)</f>
        <v>0</v>
      </c>
      <c r="O29" s="2351">
        <f t="shared" ref="O29" si="6">SUM(O20:O28)</f>
        <v>0</v>
      </c>
      <c r="P29" s="2352"/>
      <c r="U29" s="13"/>
    </row>
    <row r="30" spans="1:21" ht="13.5" thickBot="1">
      <c r="D30" s="529"/>
      <c r="E30" s="529"/>
      <c r="F30" s="529"/>
      <c r="G30" s="529"/>
      <c r="H30" s="529"/>
      <c r="I30" s="529"/>
      <c r="J30" s="529"/>
      <c r="K30" s="529"/>
      <c r="L30" s="529"/>
      <c r="M30" s="529"/>
      <c r="N30" s="529"/>
      <c r="O30" s="529"/>
      <c r="U30" s="13"/>
    </row>
    <row r="31" spans="1:21" ht="20.25" customHeight="1" thickBot="1">
      <c r="A31" s="1429"/>
      <c r="B31" s="858" t="s">
        <v>564</v>
      </c>
      <c r="C31" s="859"/>
      <c r="D31" s="859"/>
      <c r="E31" s="859"/>
      <c r="F31" s="858"/>
      <c r="G31" s="859"/>
      <c r="H31" s="859"/>
      <c r="I31" s="859"/>
      <c r="J31" s="2359"/>
      <c r="K31" s="859"/>
      <c r="L31" s="859"/>
      <c r="M31" s="859"/>
      <c r="N31" s="859"/>
      <c r="O31" s="859"/>
      <c r="P31" s="860"/>
      <c r="U31" s="13"/>
    </row>
    <row r="32" spans="1:21">
      <c r="A32" s="1429"/>
      <c r="B32" s="4047" t="s">
        <v>128</v>
      </c>
      <c r="C32" s="1904" t="s">
        <v>129</v>
      </c>
      <c r="D32" s="1905"/>
      <c r="E32" s="1906"/>
      <c r="F32" s="2353"/>
      <c r="G32" s="1907"/>
      <c r="H32" s="1907"/>
      <c r="I32" s="1907"/>
      <c r="J32" s="1908"/>
      <c r="K32" s="2353"/>
      <c r="L32" s="1907"/>
      <c r="M32" s="1907"/>
      <c r="N32" s="1907"/>
      <c r="O32" s="1908"/>
      <c r="P32" s="1914">
        <f t="shared" ref="P32:P40" si="7">SUM(K32:O32)</f>
        <v>0</v>
      </c>
      <c r="U32" s="13"/>
    </row>
    <row r="33" spans="1:21">
      <c r="A33" s="1429"/>
      <c r="B33" s="4048"/>
      <c r="C33" s="1895" t="s">
        <v>129</v>
      </c>
      <c r="D33" s="1891"/>
      <c r="E33" s="1892"/>
      <c r="F33" s="2354"/>
      <c r="G33" s="1008"/>
      <c r="H33" s="1008"/>
      <c r="I33" s="1008"/>
      <c r="J33" s="1009"/>
      <c r="K33" s="2354"/>
      <c r="L33" s="1008"/>
      <c r="M33" s="1008"/>
      <c r="N33" s="1008"/>
      <c r="O33" s="1009"/>
      <c r="P33" s="1010">
        <f t="shared" si="7"/>
        <v>0</v>
      </c>
      <c r="U33" s="13"/>
    </row>
    <row r="34" spans="1:21">
      <c r="A34" s="1429"/>
      <c r="B34" s="4049"/>
      <c r="C34" s="1909" t="s">
        <v>129</v>
      </c>
      <c r="D34" s="1910"/>
      <c r="E34" s="1911"/>
      <c r="F34" s="2355"/>
      <c r="G34" s="1912"/>
      <c r="H34" s="1912"/>
      <c r="I34" s="1912"/>
      <c r="J34" s="1913"/>
      <c r="K34" s="2355"/>
      <c r="L34" s="1912"/>
      <c r="M34" s="1912"/>
      <c r="N34" s="1912"/>
      <c r="O34" s="1913"/>
      <c r="P34" s="1920">
        <f t="shared" si="7"/>
        <v>0</v>
      </c>
      <c r="U34" s="13"/>
    </row>
    <row r="35" spans="1:21">
      <c r="A35" s="1429"/>
      <c r="B35" s="4050" t="s">
        <v>128</v>
      </c>
      <c r="C35" s="1915" t="s">
        <v>129</v>
      </c>
      <c r="D35" s="1916"/>
      <c r="E35" s="1917"/>
      <c r="F35" s="2356"/>
      <c r="G35" s="1918"/>
      <c r="H35" s="1918"/>
      <c r="I35" s="1918"/>
      <c r="J35" s="1919"/>
      <c r="K35" s="2356"/>
      <c r="L35" s="1918"/>
      <c r="M35" s="1918"/>
      <c r="N35" s="1918"/>
      <c r="O35" s="1919"/>
      <c r="P35" s="1007">
        <f t="shared" si="7"/>
        <v>0</v>
      </c>
      <c r="U35" s="13"/>
    </row>
    <row r="36" spans="1:21">
      <c r="A36" s="1429"/>
      <c r="B36" s="4048"/>
      <c r="C36" s="1895" t="s">
        <v>129</v>
      </c>
      <c r="D36" s="1891"/>
      <c r="E36" s="1892"/>
      <c r="F36" s="2354"/>
      <c r="G36" s="1008"/>
      <c r="H36" s="1008"/>
      <c r="I36" s="1008"/>
      <c r="J36" s="1009"/>
      <c r="K36" s="2354"/>
      <c r="L36" s="1008"/>
      <c r="M36" s="1008"/>
      <c r="N36" s="1008"/>
      <c r="O36" s="1009"/>
      <c r="P36" s="1010">
        <f t="shared" si="7"/>
        <v>0</v>
      </c>
      <c r="U36" s="13"/>
    </row>
    <row r="37" spans="1:21">
      <c r="A37" s="1429"/>
      <c r="B37" s="4049"/>
      <c r="C37" s="1909" t="s">
        <v>129</v>
      </c>
      <c r="D37" s="1910"/>
      <c r="E37" s="1911"/>
      <c r="F37" s="2355"/>
      <c r="G37" s="1912"/>
      <c r="H37" s="1912"/>
      <c r="I37" s="1912"/>
      <c r="J37" s="1913"/>
      <c r="K37" s="2355"/>
      <c r="L37" s="1912"/>
      <c r="M37" s="1912"/>
      <c r="N37" s="1912"/>
      <c r="O37" s="1913"/>
      <c r="P37" s="1920">
        <f t="shared" si="7"/>
        <v>0</v>
      </c>
      <c r="U37" s="13"/>
    </row>
    <row r="38" spans="1:21">
      <c r="A38" s="1429"/>
      <c r="B38" s="4048" t="s">
        <v>128</v>
      </c>
      <c r="C38" s="1899" t="s">
        <v>129</v>
      </c>
      <c r="D38" s="1900"/>
      <c r="E38" s="1901"/>
      <c r="F38" s="2357"/>
      <c r="G38" s="1902"/>
      <c r="H38" s="1902"/>
      <c r="I38" s="1902"/>
      <c r="J38" s="1903"/>
      <c r="K38" s="2357"/>
      <c r="L38" s="1902"/>
      <c r="M38" s="1902"/>
      <c r="N38" s="1902"/>
      <c r="O38" s="1903"/>
      <c r="P38" s="1007">
        <f t="shared" si="7"/>
        <v>0</v>
      </c>
      <c r="U38" s="13"/>
    </row>
    <row r="39" spans="1:21">
      <c r="A39" s="1429"/>
      <c r="B39" s="4048"/>
      <c r="C39" s="1895" t="s">
        <v>129</v>
      </c>
      <c r="D39" s="1891"/>
      <c r="E39" s="1892"/>
      <c r="F39" s="2354"/>
      <c r="G39" s="1008"/>
      <c r="H39" s="1008"/>
      <c r="I39" s="1008"/>
      <c r="J39" s="1009"/>
      <c r="K39" s="2354"/>
      <c r="L39" s="1008"/>
      <c r="M39" s="1008"/>
      <c r="N39" s="1008"/>
      <c r="O39" s="1009"/>
      <c r="P39" s="1010">
        <f t="shared" si="7"/>
        <v>0</v>
      </c>
      <c r="U39" s="13"/>
    </row>
    <row r="40" spans="1:21" ht="13.5" thickBot="1">
      <c r="A40" s="1429"/>
      <c r="B40" s="4051"/>
      <c r="C40" s="1896" t="s">
        <v>129</v>
      </c>
      <c r="D40" s="1893"/>
      <c r="E40" s="1894"/>
      <c r="F40" s="2358"/>
      <c r="G40" s="1012"/>
      <c r="H40" s="1012"/>
      <c r="I40" s="1012"/>
      <c r="J40" s="1013"/>
      <c r="K40" s="2358"/>
      <c r="L40" s="1012"/>
      <c r="M40" s="1012"/>
      <c r="N40" s="1012"/>
      <c r="O40" s="1013"/>
      <c r="P40" s="1014">
        <f t="shared" si="7"/>
        <v>0</v>
      </c>
      <c r="U40" s="13"/>
    </row>
    <row r="41" spans="1:21" ht="13.5" thickBot="1">
      <c r="A41" s="1429"/>
      <c r="B41" s="4039" t="s">
        <v>730</v>
      </c>
      <c r="C41" s="4040"/>
      <c r="D41" s="1923"/>
      <c r="E41" s="1924"/>
      <c r="F41" s="2360">
        <f>SUM(F32:F40)</f>
        <v>0</v>
      </c>
      <c r="G41" s="2350">
        <f t="shared" ref="G41:J41" si="8">SUM(G32:G40)</f>
        <v>0</v>
      </c>
      <c r="H41" s="2350">
        <f t="shared" si="8"/>
        <v>0</v>
      </c>
      <c r="I41" s="2350">
        <f t="shared" si="8"/>
        <v>0</v>
      </c>
      <c r="J41" s="2351">
        <f t="shared" si="8"/>
        <v>0</v>
      </c>
      <c r="K41" s="2360">
        <f>SUM(K32:K40)</f>
        <v>0</v>
      </c>
      <c r="L41" s="2350">
        <f t="shared" ref="L41:O41" si="9">SUM(L32:L40)</f>
        <v>0</v>
      </c>
      <c r="M41" s="2350">
        <f t="shared" si="9"/>
        <v>0</v>
      </c>
      <c r="N41" s="2350">
        <f t="shared" si="9"/>
        <v>0</v>
      </c>
      <c r="O41" s="2351">
        <f t="shared" si="9"/>
        <v>0</v>
      </c>
      <c r="P41" s="2352"/>
      <c r="U41" s="13"/>
    </row>
    <row r="42" spans="1:21" ht="13.5" thickBot="1">
      <c r="D42" s="529"/>
      <c r="E42" s="529"/>
      <c r="F42" s="529"/>
      <c r="G42" s="529"/>
      <c r="H42" s="529"/>
      <c r="I42" s="529"/>
      <c r="J42" s="529"/>
      <c r="K42" s="529"/>
      <c r="L42" s="529"/>
      <c r="M42" s="529"/>
      <c r="N42" s="529"/>
      <c r="O42" s="529"/>
      <c r="U42" s="13"/>
    </row>
    <row r="43" spans="1:21" ht="20.25" customHeight="1" thickBot="1">
      <c r="A43" s="1429"/>
      <c r="B43" s="923" t="s">
        <v>565</v>
      </c>
      <c r="C43" s="924"/>
      <c r="D43" s="859"/>
      <c r="E43" s="859"/>
      <c r="F43" s="859"/>
      <c r="G43" s="859"/>
      <c r="H43" s="859"/>
      <c r="I43" s="859"/>
      <c r="J43" s="859"/>
      <c r="K43" s="859"/>
      <c r="L43" s="859"/>
      <c r="M43" s="859"/>
      <c r="N43" s="859"/>
      <c r="O43" s="859"/>
      <c r="P43" s="860"/>
      <c r="U43" s="13"/>
    </row>
    <row r="44" spans="1:21">
      <c r="A44" s="1429"/>
      <c r="B44" s="4043" t="s">
        <v>131</v>
      </c>
      <c r="C44" s="4044"/>
      <c r="D44" s="1921"/>
      <c r="E44" s="1922"/>
      <c r="F44" s="2354"/>
      <c r="G44" s="1008"/>
      <c r="H44" s="1008"/>
      <c r="I44" s="1008"/>
      <c r="J44" s="1009"/>
      <c r="K44" s="2354"/>
      <c r="L44" s="1008"/>
      <c r="M44" s="1008"/>
      <c r="N44" s="1008"/>
      <c r="O44" s="1009"/>
      <c r="P44" s="1011">
        <f>SUM(K44:O44)</f>
        <v>0</v>
      </c>
      <c r="U44" s="13"/>
    </row>
    <row r="45" spans="1:21">
      <c r="A45" s="1429"/>
      <c r="B45" s="4045" t="s">
        <v>131</v>
      </c>
      <c r="C45" s="4046"/>
      <c r="D45" s="1897"/>
      <c r="E45" s="1898"/>
      <c r="F45" s="2354"/>
      <c r="G45" s="1008"/>
      <c r="H45" s="1008"/>
      <c r="I45" s="1008"/>
      <c r="J45" s="1009"/>
      <c r="K45" s="2354"/>
      <c r="L45" s="1008"/>
      <c r="M45" s="1008"/>
      <c r="N45" s="1008"/>
      <c r="O45" s="1009"/>
      <c r="P45" s="1011">
        <f>SUM(K45:O45)</f>
        <v>0</v>
      </c>
      <c r="U45" s="13"/>
    </row>
    <row r="46" spans="1:21">
      <c r="A46" s="1429"/>
      <c r="B46" s="4045" t="s">
        <v>131</v>
      </c>
      <c r="C46" s="4046"/>
      <c r="D46" s="1897"/>
      <c r="E46" s="1898"/>
      <c r="F46" s="2354"/>
      <c r="G46" s="1008"/>
      <c r="H46" s="1008"/>
      <c r="I46" s="1008"/>
      <c r="J46" s="1009"/>
      <c r="K46" s="2354"/>
      <c r="L46" s="1008"/>
      <c r="M46" s="1008"/>
      <c r="N46" s="1008"/>
      <c r="O46" s="1009"/>
      <c r="P46" s="1011">
        <f>SUM(K46:O46)</f>
        <v>0</v>
      </c>
      <c r="U46" s="13"/>
    </row>
    <row r="47" spans="1:21" ht="13.5" thickBot="1">
      <c r="A47" s="1429"/>
      <c r="B47" s="4041" t="s">
        <v>131</v>
      </c>
      <c r="C47" s="4042"/>
      <c r="D47" s="1893"/>
      <c r="E47" s="1894"/>
      <c r="F47" s="2358"/>
      <c r="G47" s="1012"/>
      <c r="H47" s="1012"/>
      <c r="I47" s="1012"/>
      <c r="J47" s="1013"/>
      <c r="K47" s="2358"/>
      <c r="L47" s="1012"/>
      <c r="M47" s="1012"/>
      <c r="N47" s="1012"/>
      <c r="O47" s="1013"/>
      <c r="P47" s="1014">
        <f>SUM(K47:O47)</f>
        <v>0</v>
      </c>
      <c r="U47" s="13"/>
    </row>
    <row r="48" spans="1:21" ht="13.5" thickBot="1">
      <c r="A48" s="1429"/>
      <c r="B48" s="4039" t="s">
        <v>731</v>
      </c>
      <c r="C48" s="4040"/>
      <c r="D48" s="1923"/>
      <c r="E48" s="1924"/>
      <c r="F48" s="2360">
        <f>SUM(F44:F47)</f>
        <v>0</v>
      </c>
      <c r="G48" s="2350">
        <f t="shared" ref="G48:J48" si="10">SUM(G44:G47)</f>
        <v>0</v>
      </c>
      <c r="H48" s="2350">
        <f t="shared" si="10"/>
        <v>0</v>
      </c>
      <c r="I48" s="2350">
        <f t="shared" si="10"/>
        <v>0</v>
      </c>
      <c r="J48" s="2351">
        <f t="shared" si="10"/>
        <v>0</v>
      </c>
      <c r="K48" s="2360">
        <f>SUM(K44:K47)</f>
        <v>0</v>
      </c>
      <c r="L48" s="2350">
        <f t="shared" ref="L48" si="11">SUM(L44:L47)</f>
        <v>0</v>
      </c>
      <c r="M48" s="2350">
        <f t="shared" ref="M48" si="12">SUM(M44:M47)</f>
        <v>0</v>
      </c>
      <c r="N48" s="2350">
        <f t="shared" ref="N48" si="13">SUM(N44:N47)</f>
        <v>0</v>
      </c>
      <c r="O48" s="2351">
        <f t="shared" ref="O48" si="14">SUM(O44:O47)</f>
        <v>0</v>
      </c>
      <c r="P48" s="2352"/>
      <c r="U48" s="13"/>
    </row>
    <row r="49" spans="1:21" ht="13.5" thickBot="1">
      <c r="D49" s="529"/>
      <c r="E49" s="529"/>
      <c r="F49" s="529"/>
      <c r="G49" s="529"/>
      <c r="H49" s="529"/>
      <c r="I49" s="529"/>
      <c r="J49" s="529"/>
      <c r="K49" s="529"/>
      <c r="L49" s="529"/>
      <c r="M49" s="529"/>
      <c r="N49" s="529"/>
      <c r="O49" s="529"/>
      <c r="U49" s="13"/>
    </row>
    <row r="50" spans="1:21" ht="20.25" customHeight="1" thickBot="1">
      <c r="A50" s="1429"/>
      <c r="B50" s="858" t="s">
        <v>566</v>
      </c>
      <c r="C50" s="859"/>
      <c r="D50" s="859"/>
      <c r="E50" s="859"/>
      <c r="F50" s="859"/>
      <c r="G50" s="859"/>
      <c r="H50" s="859"/>
      <c r="I50" s="859"/>
      <c r="J50" s="859"/>
      <c r="K50" s="859"/>
      <c r="L50" s="859"/>
      <c r="M50" s="859"/>
      <c r="N50" s="859"/>
      <c r="O50" s="859"/>
      <c r="P50" s="860"/>
      <c r="U50" s="13"/>
    </row>
    <row r="51" spans="1:21">
      <c r="A51" s="1429"/>
      <c r="B51" s="4043" t="s">
        <v>132</v>
      </c>
      <c r="C51" s="4044"/>
      <c r="D51" s="1921"/>
      <c r="E51" s="1922"/>
      <c r="F51" s="2354"/>
      <c r="G51" s="1008"/>
      <c r="H51" s="1008"/>
      <c r="I51" s="1008"/>
      <c r="J51" s="1009"/>
      <c r="K51" s="2354"/>
      <c r="L51" s="1008"/>
      <c r="M51" s="1008"/>
      <c r="N51" s="1008"/>
      <c r="O51" s="1009"/>
      <c r="P51" s="1011">
        <f>SUM(K51:O51)</f>
        <v>0</v>
      </c>
      <c r="U51" s="13"/>
    </row>
    <row r="52" spans="1:21">
      <c r="A52" s="1429"/>
      <c r="B52" s="4045" t="s">
        <v>132</v>
      </c>
      <c r="C52" s="4046"/>
      <c r="D52" s="1897"/>
      <c r="E52" s="1898"/>
      <c r="F52" s="2354"/>
      <c r="G52" s="1008"/>
      <c r="H52" s="1008"/>
      <c r="I52" s="1008"/>
      <c r="J52" s="1009"/>
      <c r="K52" s="2354"/>
      <c r="L52" s="1008"/>
      <c r="M52" s="1008"/>
      <c r="N52" s="1008"/>
      <c r="O52" s="1009"/>
      <c r="P52" s="1011">
        <f>SUM(K52:O52)</f>
        <v>0</v>
      </c>
      <c r="U52" s="13"/>
    </row>
    <row r="53" spans="1:21">
      <c r="A53" s="1429"/>
      <c r="B53" s="4045" t="s">
        <v>132</v>
      </c>
      <c r="C53" s="4046"/>
      <c r="D53" s="1897"/>
      <c r="E53" s="1898"/>
      <c r="F53" s="2354"/>
      <c r="G53" s="1008"/>
      <c r="H53" s="1008"/>
      <c r="I53" s="1008"/>
      <c r="J53" s="1009"/>
      <c r="K53" s="2354"/>
      <c r="L53" s="1008"/>
      <c r="M53" s="1008"/>
      <c r="N53" s="1008"/>
      <c r="O53" s="1009"/>
      <c r="P53" s="1011">
        <f>SUM(K53:O53)</f>
        <v>0</v>
      </c>
      <c r="U53" s="13"/>
    </row>
    <row r="54" spans="1:21" ht="13.5" thickBot="1">
      <c r="A54" s="1429"/>
      <c r="B54" s="4041" t="s">
        <v>132</v>
      </c>
      <c r="C54" s="4042"/>
      <c r="D54" s="1893"/>
      <c r="E54" s="1894"/>
      <c r="F54" s="2358"/>
      <c r="G54" s="1012"/>
      <c r="H54" s="1012"/>
      <c r="I54" s="1012"/>
      <c r="J54" s="1013"/>
      <c r="K54" s="2358"/>
      <c r="L54" s="1012"/>
      <c r="M54" s="1012"/>
      <c r="N54" s="1012"/>
      <c r="O54" s="1013"/>
      <c r="P54" s="1014">
        <f t="shared" si="0"/>
        <v>0</v>
      </c>
      <c r="U54" s="13"/>
    </row>
    <row r="55" spans="1:21" ht="13.5" thickBot="1">
      <c r="A55" s="1429"/>
      <c r="B55" s="4039" t="s">
        <v>732</v>
      </c>
      <c r="C55" s="4040"/>
      <c r="D55" s="1923"/>
      <c r="E55" s="1924"/>
      <c r="F55" s="2360">
        <f>SUM(F51:F54)</f>
        <v>0</v>
      </c>
      <c r="G55" s="2350">
        <f t="shared" ref="G55:J55" si="15">SUM(G51:G54)</f>
        <v>0</v>
      </c>
      <c r="H55" s="2350">
        <f t="shared" si="15"/>
        <v>0</v>
      </c>
      <c r="I55" s="2350">
        <f t="shared" si="15"/>
        <v>0</v>
      </c>
      <c r="J55" s="2351">
        <f t="shared" si="15"/>
        <v>0</v>
      </c>
      <c r="K55" s="2360">
        <f>SUM(K51:K54)</f>
        <v>0</v>
      </c>
      <c r="L55" s="2350">
        <f t="shared" ref="L55:O55" si="16">SUM(L51:L54)</f>
        <v>0</v>
      </c>
      <c r="M55" s="2350">
        <f t="shared" si="16"/>
        <v>0</v>
      </c>
      <c r="N55" s="2350">
        <f t="shared" si="16"/>
        <v>0</v>
      </c>
      <c r="O55" s="2351">
        <f t="shared" si="16"/>
        <v>0</v>
      </c>
      <c r="P55" s="2352">
        <f t="shared" ref="P55" si="17">SUM(P20:P54)</f>
        <v>0</v>
      </c>
      <c r="U55" s="13"/>
    </row>
    <row r="56" spans="1:21" ht="13.5" thickBot="1">
      <c r="A56" s="1429"/>
    </row>
    <row r="57" spans="1:21" ht="20.25" customHeight="1" thickBot="1">
      <c r="A57" s="1429"/>
      <c r="B57" s="858" t="s">
        <v>728</v>
      </c>
      <c r="C57" s="859"/>
      <c r="D57" s="859"/>
      <c r="E57" s="859"/>
      <c r="F57" s="859"/>
      <c r="G57" s="859"/>
      <c r="H57" s="859"/>
      <c r="I57" s="859"/>
      <c r="J57" s="859"/>
      <c r="K57" s="859"/>
      <c r="L57" s="859"/>
      <c r="M57" s="859"/>
      <c r="N57" s="859"/>
      <c r="O57" s="859"/>
      <c r="P57" s="860"/>
      <c r="U57" s="13"/>
    </row>
    <row r="58" spans="1:21" ht="13.5" thickBot="1">
      <c r="A58" s="1429"/>
      <c r="B58" s="4039" t="s">
        <v>63</v>
      </c>
      <c r="C58" s="4040"/>
      <c r="D58" s="1923"/>
      <c r="E58" s="1924"/>
      <c r="F58" s="2360">
        <f>SUM(F55,F48,F41,F29)</f>
        <v>0</v>
      </c>
      <c r="G58" s="2350">
        <f t="shared" ref="G58:O58" si="18">SUM(G55,G48,G41,G29)</f>
        <v>0</v>
      </c>
      <c r="H58" s="2350">
        <f t="shared" si="18"/>
        <v>0</v>
      </c>
      <c r="I58" s="2350">
        <f t="shared" si="18"/>
        <v>0</v>
      </c>
      <c r="J58" s="2351">
        <f t="shared" si="18"/>
        <v>0</v>
      </c>
      <c r="K58" s="2360">
        <f t="shared" si="18"/>
        <v>0</v>
      </c>
      <c r="L58" s="2350">
        <f t="shared" si="18"/>
        <v>0</v>
      </c>
      <c r="M58" s="2350">
        <f t="shared" si="18"/>
        <v>0</v>
      </c>
      <c r="N58" s="2350">
        <f t="shared" si="18"/>
        <v>0</v>
      </c>
      <c r="O58" s="2351">
        <f t="shared" si="18"/>
        <v>0</v>
      </c>
      <c r="P58" s="2352">
        <v>0</v>
      </c>
      <c r="U58" s="13"/>
    </row>
  </sheetData>
  <mergeCells count="33">
    <mergeCell ref="B8:D8"/>
    <mergeCell ref="B11:F11"/>
    <mergeCell ref="B14:C17"/>
    <mergeCell ref="D14:D17"/>
    <mergeCell ref="E14:E17"/>
    <mergeCell ref="F15:I15"/>
    <mergeCell ref="B9:F9"/>
    <mergeCell ref="B10:F10"/>
    <mergeCell ref="P14:P17"/>
    <mergeCell ref="B20:B22"/>
    <mergeCell ref="B23:B25"/>
    <mergeCell ref="B26:B28"/>
    <mergeCell ref="F14:J14"/>
    <mergeCell ref="K14:O14"/>
    <mergeCell ref="I16:O16"/>
    <mergeCell ref="F16:H16"/>
    <mergeCell ref="J15:O15"/>
    <mergeCell ref="B48:C48"/>
    <mergeCell ref="B41:C41"/>
    <mergeCell ref="B29:C29"/>
    <mergeCell ref="B58:C58"/>
    <mergeCell ref="B47:C47"/>
    <mergeCell ref="B51:C51"/>
    <mergeCell ref="B52:C52"/>
    <mergeCell ref="B53:C53"/>
    <mergeCell ref="B54:C54"/>
    <mergeCell ref="B55:C55"/>
    <mergeCell ref="B32:B34"/>
    <mergeCell ref="B35:B37"/>
    <mergeCell ref="B38:B40"/>
    <mergeCell ref="B44:C44"/>
    <mergeCell ref="B45:C45"/>
    <mergeCell ref="B46:C46"/>
  </mergeCells>
  <pageMargins left="0.75" right="0.75" top="1" bottom="1" header="0.5" footer="0.5"/>
  <pageSetup paperSize="9" orientation="portrait" r:id="rId1"/>
  <headerFooter alignWithMargins="0"/>
  <customProperties>
    <customPr name="_pios_id" r:id="rId2"/>
  </customProperties>
  <drawing r:id="rId3"/>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6" tint="0.59999389629810485"/>
    <pageSetUpPr autoPageBreaks="0" fitToPage="1"/>
  </sheetPr>
  <dimension ref="A1:ED145"/>
  <sheetViews>
    <sheetView showGridLines="0" tabSelected="1" zoomScale="70" zoomScaleNormal="70" workbookViewId="0">
      <selection activeCell="P8" sqref="P8"/>
    </sheetView>
  </sheetViews>
  <sheetFormatPr defaultColWidth="9.140625" defaultRowHeight="12.75"/>
  <cols>
    <col min="1" max="1" width="16.28515625" style="94" bestFit="1" customWidth="1"/>
    <col min="2" max="2" width="54.42578125" style="94" customWidth="1"/>
    <col min="3" max="3" width="52.140625" style="94" customWidth="1"/>
    <col min="4" max="17" width="15.7109375" style="94" customWidth="1"/>
    <col min="18" max="18" width="14" customWidth="1"/>
    <col min="19" max="36" width="8.7109375" customWidth="1"/>
    <col min="37" max="16384" width="9.140625" style="94"/>
  </cols>
  <sheetData>
    <row r="1" spans="1:134"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c r="T1"/>
      <c r="U1"/>
      <c r="V1"/>
      <c r="W1"/>
      <c r="X1"/>
      <c r="Y1"/>
      <c r="Z1"/>
      <c r="AA1"/>
      <c r="AB1"/>
      <c r="AC1"/>
      <c r="AD1"/>
      <c r="AE1"/>
      <c r="AF1"/>
      <c r="AG1"/>
      <c r="AH1"/>
      <c r="AI1"/>
      <c r="AJ1"/>
    </row>
    <row r="2" spans="1:134" s="223" customFormat="1" ht="24.95"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s="1428"/>
      <c r="S2"/>
      <c r="T2"/>
      <c r="U2"/>
      <c r="V2"/>
      <c r="W2"/>
      <c r="X2"/>
      <c r="Y2"/>
      <c r="Z2"/>
      <c r="AA2"/>
      <c r="AB2"/>
      <c r="AC2"/>
      <c r="AD2"/>
      <c r="AE2"/>
      <c r="AF2"/>
      <c r="AG2"/>
      <c r="AH2"/>
      <c r="AI2"/>
      <c r="AJ2"/>
    </row>
    <row r="3" spans="1:134"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s="1426"/>
      <c r="S3"/>
      <c r="T3"/>
      <c r="U3"/>
      <c r="V3"/>
      <c r="W3"/>
      <c r="X3"/>
      <c r="Y3"/>
      <c r="Z3"/>
      <c r="AA3"/>
      <c r="AB3"/>
      <c r="AC3"/>
      <c r="AD3"/>
      <c r="AE3"/>
      <c r="AF3"/>
      <c r="AG3"/>
      <c r="AH3"/>
      <c r="AI3"/>
      <c r="AJ3"/>
    </row>
    <row r="4" spans="1:134" s="165" customFormat="1" ht="24" customHeight="1">
      <c r="B4" s="10" t="s">
        <v>399</v>
      </c>
      <c r="C4" s="12"/>
      <c r="D4" s="12"/>
      <c r="E4" s="12"/>
      <c r="F4" s="12"/>
      <c r="G4" s="12"/>
      <c r="H4" s="12"/>
      <c r="I4" s="12"/>
      <c r="J4" s="12"/>
      <c r="K4" s="12"/>
      <c r="L4" s="12"/>
      <c r="M4" s="12"/>
      <c r="N4" s="12"/>
      <c r="O4" s="12"/>
      <c r="P4" s="12"/>
      <c r="Q4" s="12"/>
      <c r="R4" s="12"/>
      <c r="S4"/>
      <c r="T4"/>
      <c r="U4"/>
      <c r="V4"/>
      <c r="W4"/>
      <c r="X4"/>
      <c r="Y4"/>
      <c r="Z4"/>
      <c r="AA4"/>
      <c r="AB4"/>
      <c r="AC4"/>
      <c r="AD4"/>
      <c r="AE4"/>
      <c r="AF4"/>
      <c r="AG4"/>
      <c r="AH4"/>
      <c r="AI4"/>
      <c r="AJ4"/>
    </row>
    <row r="5" spans="1:134" ht="23.25" customHeight="1">
      <c r="A5" s="409"/>
      <c r="B5" s="308"/>
      <c r="C5" s="308"/>
      <c r="D5" s="308"/>
      <c r="E5" s="308"/>
      <c r="F5" s="308"/>
      <c r="G5" s="308"/>
      <c r="H5" s="308"/>
      <c r="I5" s="308"/>
      <c r="J5" s="308"/>
      <c r="K5" s="308"/>
      <c r="L5" s="308"/>
      <c r="M5" s="308"/>
      <c r="N5" s="308"/>
      <c r="O5" s="308"/>
      <c r="P5" s="308"/>
      <c r="Q5"/>
    </row>
    <row r="6" spans="1:134" ht="28.5" customHeight="1">
      <c r="A6" s="308"/>
      <c r="B6" s="4097" t="s">
        <v>59</v>
      </c>
      <c r="C6" s="4097"/>
      <c r="D6" s="4097"/>
      <c r="E6" s="4097"/>
      <c r="F6" s="4097"/>
      <c r="G6"/>
      <c r="H6"/>
      <c r="I6"/>
      <c r="J6"/>
      <c r="K6"/>
      <c r="L6"/>
      <c r="M6"/>
    </row>
    <row r="7" spans="1:134" ht="20.25" customHeight="1">
      <c r="A7" s="308"/>
      <c r="B7" s="4087" t="s">
        <v>8</v>
      </c>
      <c r="C7" s="4087"/>
      <c r="D7" s="4087"/>
      <c r="E7" s="4087"/>
      <c r="F7" s="4087"/>
      <c r="G7"/>
      <c r="H7"/>
      <c r="I7"/>
      <c r="J7"/>
      <c r="K7"/>
      <c r="L7"/>
      <c r="M7"/>
    </row>
    <row r="8" spans="1:134" s="529" customFormat="1" ht="36.75" customHeight="1">
      <c r="A8" s="308"/>
      <c r="B8" s="4087" t="s">
        <v>759</v>
      </c>
      <c r="C8" s="4087"/>
      <c r="D8" s="4087"/>
      <c r="E8" s="4087"/>
      <c r="F8" s="4087"/>
      <c r="G8" s="1427"/>
      <c r="H8" s="1427"/>
      <c r="I8" s="1427"/>
      <c r="J8" s="1427"/>
      <c r="K8" s="1427"/>
      <c r="L8" s="1427"/>
      <c r="M8" s="94"/>
      <c r="N8" s="94"/>
      <c r="O8" s="94"/>
      <c r="P8" s="94"/>
      <c r="Q8" s="94"/>
      <c r="R8" s="94"/>
      <c r="S8" s="308"/>
      <c r="T8" s="308"/>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row>
    <row r="9" spans="1:134" s="529" customFormat="1" ht="18.75" customHeight="1">
      <c r="A9" s="308"/>
      <c r="B9" s="4087" t="s">
        <v>758</v>
      </c>
      <c r="C9" s="4088"/>
      <c r="D9" s="4088"/>
      <c r="E9" s="4088"/>
      <c r="F9" s="4088"/>
      <c r="G9" s="1427"/>
      <c r="H9" s="1427"/>
      <c r="I9" s="1427"/>
      <c r="J9" s="1427"/>
      <c r="K9" s="1427"/>
      <c r="L9" s="1427"/>
      <c r="M9" s="94"/>
      <c r="N9" s="94"/>
      <c r="O9" s="94"/>
      <c r="P9" s="94"/>
      <c r="Q9" s="94"/>
      <c r="R9" s="94"/>
      <c r="S9" s="308"/>
      <c r="T9" s="308"/>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229"/>
      <c r="CK9" s="229"/>
      <c r="CL9" s="229"/>
      <c r="CM9" s="229"/>
      <c r="CN9" s="229"/>
      <c r="CO9" s="229"/>
      <c r="CP9" s="229"/>
      <c r="CQ9" s="229"/>
      <c r="CR9" s="229"/>
      <c r="CS9" s="229"/>
      <c r="CT9" s="229"/>
      <c r="CU9" s="229"/>
      <c r="CV9" s="229"/>
      <c r="CW9" s="229"/>
      <c r="CX9" s="229"/>
      <c r="CY9" s="229"/>
      <c r="CZ9" s="229"/>
      <c r="DA9" s="229"/>
      <c r="DB9" s="229"/>
      <c r="DC9" s="229"/>
      <c r="DD9" s="229"/>
      <c r="DE9" s="229"/>
      <c r="DF9" s="229"/>
      <c r="DG9" s="229"/>
      <c r="DH9" s="229"/>
      <c r="DI9" s="229"/>
      <c r="DJ9" s="229"/>
      <c r="DK9" s="229"/>
      <c r="DL9" s="229"/>
      <c r="DM9" s="229"/>
      <c r="DN9" s="229"/>
      <c r="DO9" s="229"/>
      <c r="DP9" s="229"/>
      <c r="DQ9" s="229"/>
      <c r="DR9" s="229"/>
      <c r="DS9" s="229"/>
      <c r="DT9" s="229"/>
    </row>
    <row r="10" spans="1:134" s="529" customFormat="1" ht="30.75" customHeight="1">
      <c r="A10" s="308"/>
      <c r="B10" s="4098" t="s">
        <v>0</v>
      </c>
      <c r="C10" s="4098"/>
      <c r="D10" s="4098"/>
      <c r="E10" s="4098"/>
      <c r="F10" s="4098"/>
      <c r="G10" s="1427"/>
      <c r="H10" s="1427"/>
      <c r="I10" s="1427"/>
      <c r="J10" s="1427"/>
      <c r="K10" s="1427"/>
      <c r="L10" s="1427"/>
      <c r="M10" s="94"/>
      <c r="N10" s="94"/>
      <c r="O10" s="94"/>
      <c r="P10" s="94"/>
      <c r="Q10" s="94"/>
      <c r="R10" s="94"/>
      <c r="S10" s="308"/>
      <c r="T10" s="308"/>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row>
    <row r="11" spans="1:134" s="78" customFormat="1" ht="39" customHeight="1">
      <c r="A11" s="308"/>
      <c r="B11" s="4087" t="s">
        <v>767</v>
      </c>
      <c r="C11" s="4087"/>
      <c r="D11" s="4087"/>
      <c r="E11" s="4087"/>
      <c r="F11" s="4087"/>
      <c r="G11"/>
      <c r="H11"/>
      <c r="I11"/>
      <c r="J11"/>
      <c r="K11"/>
      <c r="L11"/>
      <c r="M11"/>
      <c r="N11" s="3438"/>
      <c r="O11" s="3438"/>
      <c r="P11" s="3438"/>
      <c r="Q11" s="3438"/>
      <c r="R11" s="3438"/>
      <c r="S11"/>
      <c r="T11"/>
      <c r="U11"/>
      <c r="V11"/>
      <c r="W11"/>
      <c r="X11"/>
      <c r="Y11"/>
      <c r="Z11"/>
      <c r="AA11"/>
      <c r="AB11"/>
      <c r="AC11"/>
      <c r="AD11"/>
      <c r="AE11"/>
      <c r="AF11"/>
      <c r="AG11"/>
      <c r="AH11"/>
      <c r="AI11"/>
      <c r="AJ11"/>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row>
    <row r="12" spans="1:134">
      <c r="A12" s="308"/>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row>
    <row r="13" spans="1:134" s="79" customFormat="1" ht="12.75" customHeight="1" thickBot="1">
      <c r="A13" s="308"/>
      <c r="B13" s="94"/>
      <c r="C13" s="94"/>
      <c r="D13" s="94"/>
      <c r="E13" s="94"/>
      <c r="F13" s="94"/>
      <c r="G13" s="94"/>
      <c r="H13" s="94"/>
      <c r="I13" s="94"/>
      <c r="J13" s="94"/>
      <c r="K13" s="94"/>
      <c r="L13" s="94"/>
      <c r="M13" s="94"/>
      <c r="N13" s="94"/>
      <c r="O13" s="94"/>
      <c r="P13" s="94"/>
      <c r="Q13" s="94"/>
      <c r="R13"/>
      <c r="S13"/>
      <c r="T13"/>
      <c r="U13"/>
      <c r="V13"/>
      <c r="W13"/>
      <c r="X13"/>
      <c r="Y13"/>
      <c r="Z13"/>
      <c r="AA13"/>
      <c r="AB13"/>
      <c r="AC13"/>
      <c r="AD13"/>
      <c r="AE13"/>
      <c r="AF13"/>
      <c r="AG13"/>
      <c r="AH13"/>
      <c r="AI13"/>
      <c r="AJ13"/>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row>
    <row r="14" spans="1:134" s="79" customFormat="1" ht="12.75" customHeight="1" thickBot="1">
      <c r="A14" s="308"/>
      <c r="B14" s="972" t="s">
        <v>567</v>
      </c>
      <c r="C14" s="972"/>
      <c r="D14" s="989"/>
      <c r="E14" s="989"/>
      <c r="F14" s="989"/>
      <c r="G14" s="989"/>
      <c r="H14" s="989"/>
      <c r="I14" s="989"/>
      <c r="J14" s="989"/>
      <c r="K14" s="990"/>
      <c r="L14" s="990"/>
      <c r="M14" s="990"/>
      <c r="N14" s="990"/>
      <c r="O14" s="990"/>
      <c r="P14" s="990"/>
      <c r="Q14" s="990"/>
      <c r="R14" s="990"/>
      <c r="S14"/>
      <c r="T14"/>
      <c r="U14"/>
      <c r="V14"/>
      <c r="W14"/>
      <c r="X14"/>
      <c r="Y14"/>
      <c r="Z14"/>
      <c r="AA14"/>
      <c r="AB14"/>
      <c r="AC14"/>
      <c r="AD14"/>
      <c r="AE14"/>
      <c r="AF14"/>
      <c r="AG14"/>
      <c r="AH14"/>
      <c r="AI14"/>
      <c r="AJ1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row>
    <row r="15" spans="1:134">
      <c r="B15" s="4089"/>
      <c r="C15" s="4090"/>
      <c r="D15" s="4095" t="s">
        <v>36</v>
      </c>
      <c r="E15" s="4096"/>
      <c r="F15" s="4096"/>
      <c r="G15" s="4096"/>
      <c r="H15" s="4096"/>
      <c r="I15" s="4078" t="s">
        <v>37</v>
      </c>
      <c r="J15" s="4079"/>
      <c r="K15" s="4079"/>
      <c r="L15" s="4079"/>
      <c r="M15" s="4079"/>
      <c r="N15" s="4080" t="s">
        <v>73</v>
      </c>
      <c r="O15" s="4080"/>
      <c r="P15" s="4080"/>
      <c r="Q15" s="4080"/>
      <c r="R15" s="4081"/>
    </row>
    <row r="16" spans="1:134">
      <c r="B16" s="4091"/>
      <c r="C16" s="4092"/>
      <c r="D16" s="4082" t="s">
        <v>713</v>
      </c>
      <c r="E16" s="4083"/>
      <c r="F16" s="4083"/>
      <c r="G16" s="4083"/>
      <c r="H16" s="4083"/>
      <c r="I16" s="4083"/>
      <c r="J16" s="4083"/>
      <c r="K16" s="4083"/>
      <c r="L16" s="4083"/>
      <c r="M16" s="4083"/>
      <c r="N16" s="4083"/>
      <c r="O16" s="4083"/>
      <c r="P16" s="4083"/>
      <c r="Q16" s="4083"/>
      <c r="R16" s="4084"/>
    </row>
    <row r="17" spans="2:36">
      <c r="B17" s="4091"/>
      <c r="C17" s="4092"/>
      <c r="D17" s="4082" t="s">
        <v>54</v>
      </c>
      <c r="E17" s="4083"/>
      <c r="F17" s="4083"/>
      <c r="G17" s="4083"/>
      <c r="H17" s="4083"/>
      <c r="I17" s="4083"/>
      <c r="J17" s="4083"/>
      <c r="K17" s="4083"/>
      <c r="L17" s="3510" t="s">
        <v>55</v>
      </c>
      <c r="M17" s="4085"/>
      <c r="N17" s="4085"/>
      <c r="O17" s="4085"/>
      <c r="P17" s="4085"/>
      <c r="Q17" s="4085"/>
      <c r="R17" s="4086"/>
    </row>
    <row r="18" spans="2:36" ht="13.5" thickBot="1">
      <c r="B18" s="4093"/>
      <c r="C18" s="4094"/>
      <c r="D18" s="3407">
        <f t="array" ref="D18:H18">PRCP</f>
        <v>2008</v>
      </c>
      <c r="E18" s="1027">
        <v>2009</v>
      </c>
      <c r="F18" s="1027">
        <v>2010</v>
      </c>
      <c r="G18" s="1027">
        <v>2011</v>
      </c>
      <c r="H18" s="1027">
        <v>2012</v>
      </c>
      <c r="I18" s="1028">
        <f>CRCP_y1</f>
        <v>2013</v>
      </c>
      <c r="J18" s="1028">
        <f>CRCP_y2</f>
        <v>2014</v>
      </c>
      <c r="K18" s="1028">
        <f>CRCP_y3</f>
        <v>2015</v>
      </c>
      <c r="L18" s="1028">
        <f>CRCP_y4</f>
        <v>2016</v>
      </c>
      <c r="M18" s="1028">
        <f>CRCP_y5</f>
        <v>2017</v>
      </c>
      <c r="N18" s="1027" t="str">
        <f t="array" ref="N18:R18">FRCP</f>
        <v>2018</v>
      </c>
      <c r="O18" s="1027">
        <v>2019</v>
      </c>
      <c r="P18" s="1027">
        <v>2020</v>
      </c>
      <c r="Q18" s="1027">
        <v>2021</v>
      </c>
      <c r="R18" s="1095">
        <v>2022</v>
      </c>
    </row>
    <row r="19" spans="2:36" ht="15.75" thickBot="1">
      <c r="B19" s="3401" t="s">
        <v>568</v>
      </c>
      <c r="C19" s="2666"/>
      <c r="D19" s="3399"/>
      <c r="E19" s="3399"/>
      <c r="F19" s="3399"/>
      <c r="G19" s="3399"/>
      <c r="H19" s="3399"/>
      <c r="I19" s="3399"/>
      <c r="J19" s="3399"/>
      <c r="K19" s="3399"/>
      <c r="L19" s="3399"/>
      <c r="M19" s="3399"/>
      <c r="N19" s="3399">
        <v>2018</v>
      </c>
      <c r="O19" s="3399">
        <f>+N19+1</f>
        <v>2019</v>
      </c>
      <c r="P19" s="3399">
        <f t="shared" ref="P19:R19" si="0">+O19+1</f>
        <v>2020</v>
      </c>
      <c r="Q19" s="3399">
        <f t="shared" si="0"/>
        <v>2021</v>
      </c>
      <c r="R19" s="3400">
        <f t="shared" si="0"/>
        <v>2022</v>
      </c>
      <c r="S19" s="1427"/>
      <c r="T19" s="1427"/>
      <c r="U19" s="1427"/>
      <c r="V19" s="1427"/>
      <c r="W19" s="1427"/>
      <c r="X19" s="1427"/>
      <c r="Y19" s="1427"/>
      <c r="Z19" s="1427"/>
      <c r="AA19" s="1427"/>
      <c r="AB19" s="1427"/>
      <c r="AC19" s="1427"/>
      <c r="AD19" s="1427"/>
      <c r="AE19" s="1427"/>
      <c r="AF19" s="1427"/>
      <c r="AG19" s="1427"/>
      <c r="AH19" s="1427"/>
      <c r="AI19" s="1427"/>
      <c r="AJ19" s="1427"/>
    </row>
    <row r="20" spans="2:36" ht="15.75" thickBot="1">
      <c r="B20" s="2669" t="s">
        <v>1465</v>
      </c>
      <c r="C20" s="2668"/>
      <c r="D20" s="2667"/>
      <c r="E20" s="2667"/>
      <c r="F20" s="2667"/>
      <c r="G20" s="2667"/>
      <c r="H20" s="2667"/>
      <c r="I20" s="3439"/>
      <c r="J20" s="2667"/>
      <c r="K20" s="2667"/>
      <c r="L20" s="2667"/>
      <c r="M20" s="2667"/>
      <c r="N20" s="2667"/>
      <c r="O20" s="2667"/>
      <c r="P20" s="2667"/>
      <c r="Q20" s="2667"/>
      <c r="R20" s="2233"/>
    </row>
    <row r="21" spans="2:36" ht="15.75" thickBot="1">
      <c r="B21" s="2672" t="s">
        <v>1550</v>
      </c>
      <c r="C21" s="2668"/>
      <c r="D21" s="2667"/>
      <c r="E21" s="2667"/>
      <c r="F21" s="2667"/>
      <c r="G21" s="2667"/>
      <c r="H21" s="2667"/>
      <c r="I21" s="3439"/>
      <c r="J21" s="2667"/>
      <c r="K21" s="2667"/>
      <c r="L21" s="2667"/>
      <c r="M21" s="2667"/>
      <c r="N21" s="2667"/>
      <c r="O21" s="2667"/>
      <c r="P21" s="2667"/>
      <c r="Q21" s="2667"/>
      <c r="R21" s="2233"/>
    </row>
    <row r="22" spans="2:36" ht="15.75" thickBot="1">
      <c r="B22" s="2673" t="str">
        <f>CONCATENATE("Table 27.1.1"," - ", B21)</f>
        <v>Table 27.1.1 - Tariff V</v>
      </c>
      <c r="C22" s="3402"/>
      <c r="D22" s="3403"/>
      <c r="E22" s="3403"/>
      <c r="F22" s="3403"/>
      <c r="G22" s="3403"/>
      <c r="H22" s="3403"/>
      <c r="I22" s="3403"/>
      <c r="J22" s="3403"/>
      <c r="K22" s="3403"/>
      <c r="L22" s="3403"/>
      <c r="M22" s="3403"/>
      <c r="N22" s="3403"/>
      <c r="O22" s="3403"/>
      <c r="P22" s="3403"/>
      <c r="Q22" s="3403"/>
      <c r="R22" s="3404"/>
      <c r="S22" s="1427"/>
      <c r="T22" s="1427"/>
      <c r="U22" s="1427"/>
      <c r="V22" s="1427"/>
      <c r="W22" s="1427"/>
      <c r="X22" s="1427"/>
      <c r="Y22" s="1427"/>
      <c r="Z22" s="1427"/>
      <c r="AA22" s="1427"/>
      <c r="AB22" s="1427"/>
      <c r="AC22" s="1427"/>
      <c r="AD22" s="1427"/>
      <c r="AE22" s="1427"/>
      <c r="AF22" s="1427"/>
      <c r="AG22" s="1427"/>
      <c r="AH22" s="1427"/>
      <c r="AI22" s="1427"/>
      <c r="AJ22" s="1427"/>
    </row>
    <row r="23" spans="2:36" ht="15.75" thickBot="1">
      <c r="B23" s="1675" t="str">
        <f>CONCATENATE("Residential customers"," : ", B21)</f>
        <v>Residential customers : Tariff V</v>
      </c>
      <c r="C23" s="2670"/>
      <c r="D23" s="2670"/>
      <c r="E23" s="2670"/>
      <c r="F23" s="2670"/>
      <c r="G23" s="2670"/>
      <c r="H23" s="2670"/>
      <c r="I23" s="2670"/>
      <c r="J23" s="2670"/>
      <c r="K23" s="2670"/>
      <c r="L23" s="2670"/>
      <c r="M23" s="2670"/>
      <c r="N23" s="2670"/>
      <c r="O23" s="2670"/>
      <c r="P23" s="2670"/>
      <c r="Q23" s="2670"/>
      <c r="R23" s="2671"/>
    </row>
    <row r="24" spans="2:36">
      <c r="B24" s="4075" t="s">
        <v>1466</v>
      </c>
      <c r="C24" s="3397" t="s">
        <v>756</v>
      </c>
      <c r="D24" s="1933">
        <v>401909</v>
      </c>
      <c r="E24" s="508">
        <f>D25</f>
        <v>412724</v>
      </c>
      <c r="F24" s="508">
        <f t="shared" ref="F24:H24" si="1">E25</f>
        <v>425596</v>
      </c>
      <c r="G24" s="508">
        <f t="shared" si="1"/>
        <v>439199</v>
      </c>
      <c r="H24" s="508">
        <f t="shared" si="1"/>
        <v>452092</v>
      </c>
      <c r="I24" s="1933">
        <f>+H25</f>
        <v>462492</v>
      </c>
      <c r="J24" s="508">
        <f>I25</f>
        <v>471995</v>
      </c>
      <c r="K24" s="508">
        <f t="shared" ref="K24:M24" si="2">J25</f>
        <v>482826</v>
      </c>
      <c r="L24" s="508">
        <f t="shared" si="2"/>
        <v>493699</v>
      </c>
      <c r="M24" s="508">
        <f t="shared" si="2"/>
        <v>506225.73767889815</v>
      </c>
      <c r="N24" s="1933">
        <f>+M25</f>
        <v>518603.86662061949</v>
      </c>
      <c r="O24" s="508">
        <f>N25</f>
        <v>531410.35457983916</v>
      </c>
      <c r="P24" s="508">
        <f t="shared" ref="P24:R24" si="3">O25</f>
        <v>544601.45078099193</v>
      </c>
      <c r="Q24" s="508">
        <f t="shared" si="3"/>
        <v>558190.35051046207</v>
      </c>
      <c r="R24" s="587">
        <f t="shared" si="3"/>
        <v>572190.73825436772</v>
      </c>
    </row>
    <row r="25" spans="2:36">
      <c r="B25" s="4076"/>
      <c r="C25" s="3398" t="s">
        <v>757</v>
      </c>
      <c r="D25" s="527">
        <v>412724</v>
      </c>
      <c r="E25" s="522">
        <v>425596</v>
      </c>
      <c r="F25" s="522">
        <v>439199</v>
      </c>
      <c r="G25" s="522">
        <v>452092</v>
      </c>
      <c r="H25" s="1934">
        <v>462492</v>
      </c>
      <c r="I25" s="527">
        <v>471995</v>
      </c>
      <c r="J25" s="522">
        <v>482826</v>
      </c>
      <c r="K25" s="522">
        <v>493699</v>
      </c>
      <c r="L25" s="522">
        <f>+L24+L27-L28</f>
        <v>506225.73767889815</v>
      </c>
      <c r="M25" s="1934">
        <f t="shared" ref="M25:R25" si="4">+M24+M27-M28</f>
        <v>518603.86662061949</v>
      </c>
      <c r="N25" s="527">
        <f t="shared" si="4"/>
        <v>531410.35457983916</v>
      </c>
      <c r="O25" s="522">
        <f t="shared" si="4"/>
        <v>544601.45078099193</v>
      </c>
      <c r="P25" s="522">
        <f t="shared" si="4"/>
        <v>558190.35051046207</v>
      </c>
      <c r="Q25" s="522">
        <f t="shared" si="4"/>
        <v>572190.73825436772</v>
      </c>
      <c r="R25" s="535">
        <f t="shared" si="4"/>
        <v>585647.19917416677</v>
      </c>
      <c r="S25" s="1427"/>
      <c r="T25" s="1427"/>
      <c r="U25" s="1427"/>
      <c r="V25" s="1427"/>
      <c r="W25" s="1427"/>
      <c r="X25" s="1427"/>
      <c r="Y25" s="1427"/>
      <c r="Z25" s="1427"/>
      <c r="AA25" s="1427"/>
      <c r="AB25" s="1427"/>
      <c r="AC25" s="1427"/>
      <c r="AD25" s="1427"/>
      <c r="AE25" s="1427"/>
      <c r="AF25" s="1427"/>
      <c r="AG25" s="1427"/>
      <c r="AH25" s="1427"/>
      <c r="AI25" s="1427"/>
      <c r="AJ25" s="1427"/>
    </row>
    <row r="26" spans="2:36">
      <c r="B26" s="4076"/>
      <c r="C26" s="3398" t="s">
        <v>68</v>
      </c>
      <c r="D26" s="401">
        <f>IF(ISERROR(AVERAGE(D24:D25)),0,AVERAGE(D24:D25))</f>
        <v>407316.5</v>
      </c>
      <c r="E26" s="402">
        <f t="shared" ref="E26:L26" si="5">IF(ISERROR(AVERAGE(E24:E25)),0,AVERAGE(E24:E25))</f>
        <v>419160</v>
      </c>
      <c r="F26" s="402">
        <f t="shared" si="5"/>
        <v>432397.5</v>
      </c>
      <c r="G26" s="402">
        <f t="shared" si="5"/>
        <v>445645.5</v>
      </c>
      <c r="H26" s="505">
        <f t="shared" si="5"/>
        <v>457292</v>
      </c>
      <c r="I26" s="401">
        <f t="shared" si="5"/>
        <v>467243.5</v>
      </c>
      <c r="J26" s="402">
        <f t="shared" si="5"/>
        <v>477410.5</v>
      </c>
      <c r="K26" s="402">
        <f t="shared" si="5"/>
        <v>488262.5</v>
      </c>
      <c r="L26" s="402">
        <f t="shared" si="5"/>
        <v>499962.36883944907</v>
      </c>
      <c r="M26" s="3442">
        <v>511863.09600730741</v>
      </c>
      <c r="N26" s="3443">
        <v>524669.58396652713</v>
      </c>
      <c r="O26" s="3444">
        <v>537860.68016767991</v>
      </c>
      <c r="P26" s="3444">
        <v>551449.57989715005</v>
      </c>
      <c r="Q26" s="3444">
        <v>565449.9676410557</v>
      </c>
      <c r="R26" s="3442">
        <v>578906.42856085475</v>
      </c>
      <c r="S26" s="1427"/>
      <c r="T26" s="1427"/>
      <c r="U26" s="1427"/>
      <c r="V26" s="1427"/>
      <c r="W26" s="1427"/>
      <c r="X26" s="1427"/>
      <c r="Y26" s="1427"/>
      <c r="Z26" s="1427"/>
      <c r="AA26" s="1427"/>
      <c r="AB26" s="1427"/>
      <c r="AC26" s="1427"/>
      <c r="AD26" s="1427"/>
      <c r="AE26" s="1427"/>
      <c r="AF26" s="1427"/>
      <c r="AG26" s="1427"/>
      <c r="AH26" s="1427"/>
      <c r="AI26" s="1427"/>
      <c r="AJ26" s="1427"/>
    </row>
    <row r="27" spans="2:36">
      <c r="B27" s="4076"/>
      <c r="C27" s="3398" t="s">
        <v>69</v>
      </c>
      <c r="D27" s="527">
        <f>+D25-D24+D28</f>
        <v>11848</v>
      </c>
      <c r="E27" s="522">
        <f t="shared" ref="E27:K27" si="6">+E25-E24+E28</f>
        <v>13954</v>
      </c>
      <c r="F27" s="522">
        <f t="shared" si="6"/>
        <v>14831</v>
      </c>
      <c r="G27" s="522">
        <f t="shared" si="6"/>
        <v>13949</v>
      </c>
      <c r="H27" s="1934">
        <f t="shared" si="6"/>
        <v>11417</v>
      </c>
      <c r="I27" s="527">
        <f t="shared" si="6"/>
        <v>10684</v>
      </c>
      <c r="J27" s="522">
        <f t="shared" si="6"/>
        <v>12217</v>
      </c>
      <c r="K27" s="522">
        <f t="shared" si="6"/>
        <v>12408</v>
      </c>
      <c r="L27" s="522">
        <v>14008.342089041478</v>
      </c>
      <c r="M27" s="1934">
        <v>13910.386494091794</v>
      </c>
      <c r="N27" s="527">
        <v>14373.080239688959</v>
      </c>
      <c r="O27" s="522">
        <v>14794.572883361207</v>
      </c>
      <c r="P27" s="522">
        <v>15229.855631552766</v>
      </c>
      <c r="Q27" s="522">
        <v>15679.55088232764</v>
      </c>
      <c r="R27" s="535">
        <v>15174.668631246188</v>
      </c>
      <c r="S27" s="1427"/>
      <c r="T27" s="1427"/>
      <c r="U27" s="1427"/>
      <c r="V27" s="1427"/>
      <c r="W27" s="1427"/>
      <c r="X27" s="1427"/>
      <c r="Y27" s="1427"/>
      <c r="Z27" s="1427"/>
      <c r="AA27" s="1427"/>
      <c r="AB27" s="1427"/>
      <c r="AC27" s="1427"/>
      <c r="AD27" s="1427"/>
      <c r="AE27" s="1427"/>
      <c r="AF27" s="1427"/>
      <c r="AG27" s="1427"/>
      <c r="AH27" s="1427"/>
      <c r="AI27" s="1427"/>
      <c r="AJ27" s="1427"/>
    </row>
    <row r="28" spans="2:36" ht="13.5" thickBot="1">
      <c r="B28" s="4077"/>
      <c r="C28" s="1927" t="s">
        <v>58</v>
      </c>
      <c r="D28" s="1935">
        <v>1033</v>
      </c>
      <c r="E28" s="1936">
        <v>1082</v>
      </c>
      <c r="F28" s="1936">
        <v>1228</v>
      </c>
      <c r="G28" s="1936">
        <v>1056</v>
      </c>
      <c r="H28" s="1937">
        <v>1017</v>
      </c>
      <c r="I28" s="1935">
        <v>1181</v>
      </c>
      <c r="J28" s="1936">
        <v>1386</v>
      </c>
      <c r="K28" s="1936">
        <v>1535</v>
      </c>
      <c r="L28" s="1936">
        <v>1481.6044101433297</v>
      </c>
      <c r="M28" s="1937">
        <v>1532.257552370452</v>
      </c>
      <c r="N28" s="1935">
        <v>1566.5922804692348</v>
      </c>
      <c r="O28" s="1936">
        <v>1603.4766822084332</v>
      </c>
      <c r="P28" s="1936">
        <v>1640.9559020826255</v>
      </c>
      <c r="Q28" s="1936">
        <v>1679.1631384219879</v>
      </c>
      <c r="R28" s="3406">
        <v>1718.2077114471381</v>
      </c>
      <c r="S28" s="1427"/>
      <c r="T28" s="1427"/>
      <c r="U28" s="1427"/>
      <c r="V28" s="1427"/>
      <c r="W28" s="1427"/>
      <c r="X28" s="1427"/>
      <c r="Y28" s="1427"/>
      <c r="Z28" s="1427"/>
      <c r="AA28" s="1427"/>
      <c r="AB28" s="1427"/>
      <c r="AC28" s="1427"/>
      <c r="AD28" s="1427"/>
      <c r="AE28" s="1427"/>
      <c r="AF28" s="1427"/>
      <c r="AG28" s="1427"/>
      <c r="AH28" s="1427"/>
      <c r="AI28" s="1427"/>
      <c r="AJ28" s="1427"/>
    </row>
    <row r="29" spans="2:36" ht="15.75" thickBot="1">
      <c r="B29" s="1675" t="str">
        <f>CONCATENATE("Commercial/industrial customers"," : ",B21)</f>
        <v>Commercial/industrial customers : Tariff V</v>
      </c>
      <c r="C29" s="2670"/>
      <c r="D29" s="2670"/>
      <c r="E29" s="2670"/>
      <c r="F29" s="2670"/>
      <c r="G29" s="2670"/>
      <c r="H29" s="2670"/>
      <c r="I29" s="2670"/>
      <c r="J29" s="2670"/>
      <c r="K29" s="2670"/>
      <c r="L29" s="2670"/>
      <c r="M29" s="2670"/>
      <c r="N29" s="3445"/>
      <c r="O29" s="3445"/>
      <c r="P29" s="3445"/>
      <c r="Q29" s="3445"/>
      <c r="R29" s="3445"/>
    </row>
    <row r="30" spans="2:36">
      <c r="B30" s="4075" t="s">
        <v>1467</v>
      </c>
      <c r="C30" s="3397" t="s">
        <v>756</v>
      </c>
      <c r="D30" s="1933">
        <v>9311</v>
      </c>
      <c r="E30" s="508">
        <f>D31</f>
        <v>9383</v>
      </c>
      <c r="F30" s="508">
        <f t="shared" ref="F30:H30" si="7">E31</f>
        <v>9481</v>
      </c>
      <c r="G30" s="508">
        <f t="shared" si="7"/>
        <v>9582</v>
      </c>
      <c r="H30" s="508">
        <f t="shared" si="7"/>
        <v>9671</v>
      </c>
      <c r="I30" s="1933">
        <f>+H31</f>
        <v>9819</v>
      </c>
      <c r="J30" s="508">
        <f>I31</f>
        <v>9915</v>
      </c>
      <c r="K30" s="508">
        <f t="shared" ref="K30:M30" si="8">J31</f>
        <v>10064</v>
      </c>
      <c r="L30" s="508">
        <f t="shared" si="8"/>
        <v>10217</v>
      </c>
      <c r="M30" s="508">
        <f t="shared" si="8"/>
        <v>10313.371207705688</v>
      </c>
      <c r="N30" s="1933">
        <f>+M32</f>
        <v>10050.009994394617</v>
      </c>
      <c r="O30" s="508">
        <f>N31</f>
        <v>10197.404311072243</v>
      </c>
      <c r="P30" s="508">
        <f t="shared" ref="P30:R30" si="9">O31</f>
        <v>10349.226370175224</v>
      </c>
      <c r="Q30" s="508">
        <f t="shared" si="9"/>
        <v>10505.6282203592</v>
      </c>
      <c r="R30" s="587">
        <f t="shared" si="9"/>
        <v>10666.767556354684</v>
      </c>
    </row>
    <row r="31" spans="2:36">
      <c r="B31" s="4076"/>
      <c r="C31" s="3398" t="s">
        <v>757</v>
      </c>
      <c r="D31" s="527">
        <v>9383</v>
      </c>
      <c r="E31" s="522">
        <v>9481</v>
      </c>
      <c r="F31" s="522">
        <v>9582</v>
      </c>
      <c r="G31" s="522">
        <v>9671</v>
      </c>
      <c r="H31" s="1934">
        <v>9819</v>
      </c>
      <c r="I31" s="527">
        <v>9915</v>
      </c>
      <c r="J31" s="522">
        <v>10064</v>
      </c>
      <c r="K31" s="522">
        <v>10217</v>
      </c>
      <c r="L31" s="522">
        <f>+L30+L33-L34</f>
        <v>10313.371207705688</v>
      </c>
      <c r="M31" s="1934">
        <f t="shared" ref="M31" si="10">+M30+M33-M34</f>
        <v>10309.406375375747</v>
      </c>
      <c r="N31" s="527">
        <f t="shared" ref="N31" si="11">+N30+N33-N34</f>
        <v>10197.404311072243</v>
      </c>
      <c r="O31" s="522">
        <f t="shared" ref="O31" si="12">+O30+O33-O34</f>
        <v>10349.226370175224</v>
      </c>
      <c r="P31" s="522">
        <f t="shared" ref="P31" si="13">+P30+P33-P34</f>
        <v>10505.6282203592</v>
      </c>
      <c r="Q31" s="522">
        <f t="shared" ref="Q31" si="14">+Q30+Q33-Q34</f>
        <v>10666.767556354684</v>
      </c>
      <c r="R31" s="535">
        <f t="shared" ref="R31" si="15">+R30+R33-R34</f>
        <v>10821.567592240439</v>
      </c>
    </row>
    <row r="32" spans="2:36">
      <c r="B32" s="4076"/>
      <c r="C32" s="3398" t="s">
        <v>68</v>
      </c>
      <c r="D32" s="401">
        <f>IF(ISERROR(AVERAGE(D30:D31)),0,AVERAGE(D30:D31))</f>
        <v>9347</v>
      </c>
      <c r="E32" s="402">
        <f t="shared" ref="E32" si="16">IF(ISERROR(AVERAGE(E30:E31)),0,AVERAGE(E30:E31))</f>
        <v>9432</v>
      </c>
      <c r="F32" s="402">
        <f t="shared" ref="F32" si="17">IF(ISERROR(AVERAGE(F30:F31)),0,AVERAGE(F30:F31))</f>
        <v>9531.5</v>
      </c>
      <c r="G32" s="402">
        <f t="shared" ref="G32" si="18">IF(ISERROR(AVERAGE(G30:G31)),0,AVERAGE(G30:G31))</f>
        <v>9626.5</v>
      </c>
      <c r="H32" s="505">
        <f t="shared" ref="H32" si="19">IF(ISERROR(AVERAGE(H30:H31)),0,AVERAGE(H30:H31))</f>
        <v>9745</v>
      </c>
      <c r="I32" s="401">
        <f t="shared" ref="I32" si="20">IF(ISERROR(AVERAGE(I30:I31)),0,AVERAGE(I30:I31))</f>
        <v>9867</v>
      </c>
      <c r="J32" s="402">
        <f t="shared" ref="J32" si="21">IF(ISERROR(AVERAGE(J30:J31)),0,AVERAGE(J30:J31))</f>
        <v>9989.5</v>
      </c>
      <c r="K32" s="402">
        <f t="shared" ref="K32" si="22">IF(ISERROR(AVERAGE(K30:K31)),0,AVERAGE(K30:K31))</f>
        <v>10140.5</v>
      </c>
      <c r="L32" s="402">
        <f t="shared" ref="L32" si="23">IF(ISERROR(AVERAGE(L30:L31)),0,AVERAGE(L30:L31))</f>
        <v>10265.185603852844</v>
      </c>
      <c r="M32" s="3442">
        <v>10050.009994394617</v>
      </c>
      <c r="N32" s="3443">
        <v>10197.404311072243</v>
      </c>
      <c r="O32" s="3444">
        <v>10349.226370175224</v>
      </c>
      <c r="P32" s="3444">
        <v>10505.6282203592</v>
      </c>
      <c r="Q32" s="3444">
        <v>10666.767556354684</v>
      </c>
      <c r="R32" s="3442">
        <v>10821.567592240439</v>
      </c>
    </row>
    <row r="33" spans="2:23">
      <c r="B33" s="4076"/>
      <c r="C33" s="3398" t="s">
        <v>69</v>
      </c>
      <c r="D33" s="527">
        <f>+D31-D30+D34</f>
        <v>125</v>
      </c>
      <c r="E33" s="522">
        <f t="shared" ref="E33" si="24">+E31-E30+E34</f>
        <v>166</v>
      </c>
      <c r="F33" s="522">
        <f t="shared" ref="F33" si="25">+F31-F30+F34</f>
        <v>175</v>
      </c>
      <c r="G33" s="522">
        <f t="shared" ref="G33" si="26">+G31-G30+G34</f>
        <v>165</v>
      </c>
      <c r="H33" s="1934">
        <f t="shared" ref="H33" si="27">+H31-H30+H34</f>
        <v>189</v>
      </c>
      <c r="I33" s="527">
        <f t="shared" ref="I33" si="28">+I31-I30+I34</f>
        <v>183</v>
      </c>
      <c r="J33" s="522">
        <f t="shared" ref="J33" si="29">+J31-J30+J34</f>
        <v>229</v>
      </c>
      <c r="K33" s="522">
        <f t="shared" ref="K33" si="30">+K31-K30+K34</f>
        <v>228</v>
      </c>
      <c r="L33" s="522">
        <v>163.98885476451153</v>
      </c>
      <c r="M33" s="1934">
        <v>60.805755905353422</v>
      </c>
      <c r="N33" s="527">
        <v>212.08288244993079</v>
      </c>
      <c r="O33" s="522">
        <v>217.2135192545272</v>
      </c>
      <c r="P33" s="522">
        <v>222.51150880663326</v>
      </c>
      <c r="Q33" s="522">
        <v>227.98114376148925</v>
      </c>
      <c r="R33" s="535">
        <v>222.39003832459383</v>
      </c>
    </row>
    <row r="34" spans="2:23" ht="13.5" thickBot="1">
      <c r="B34" s="4077"/>
      <c r="C34" s="1927" t="s">
        <v>58</v>
      </c>
      <c r="D34" s="1935">
        <v>53</v>
      </c>
      <c r="E34" s="1936">
        <v>68</v>
      </c>
      <c r="F34" s="1936">
        <v>74</v>
      </c>
      <c r="G34" s="1936">
        <v>76</v>
      </c>
      <c r="H34" s="1937">
        <v>41</v>
      </c>
      <c r="I34" s="1935">
        <v>87</v>
      </c>
      <c r="J34" s="1936">
        <v>80</v>
      </c>
      <c r="K34" s="1936">
        <v>75</v>
      </c>
      <c r="L34" s="1936">
        <v>67.617647058823536</v>
      </c>
      <c r="M34" s="1937">
        <v>64.770588235294113</v>
      </c>
      <c r="N34" s="1935">
        <v>64.688565772304599</v>
      </c>
      <c r="O34" s="1936">
        <v>65.391460151546852</v>
      </c>
      <c r="P34" s="1936">
        <v>66.109658622656838</v>
      </c>
      <c r="Q34" s="1936">
        <v>66.841807766005601</v>
      </c>
      <c r="R34" s="3406">
        <v>67.590002438838553</v>
      </c>
    </row>
    <row r="35" spans="2:23">
      <c r="B35" s="2668"/>
      <c r="C35" s="2667"/>
      <c r="D35" s="2667"/>
      <c r="E35" s="2667"/>
      <c r="F35" s="2667"/>
      <c r="G35" s="2667"/>
      <c r="H35" s="2667"/>
      <c r="I35" s="2667"/>
      <c r="J35" s="2667"/>
      <c r="K35" s="2667"/>
      <c r="L35" s="2667"/>
      <c r="M35" s="2667"/>
      <c r="N35" s="2667"/>
      <c r="O35" s="2667"/>
      <c r="P35" s="2667"/>
      <c r="Q35" s="2667"/>
      <c r="R35" s="2233"/>
    </row>
    <row r="36" spans="2:23" ht="13.5" thickBot="1">
      <c r="B36" s="3408"/>
      <c r="C36" s="1408"/>
      <c r="D36" s="3405"/>
      <c r="E36" s="3405"/>
      <c r="F36" s="3405"/>
      <c r="G36" s="3405"/>
      <c r="H36" s="3405"/>
      <c r="I36" s="3405"/>
      <c r="J36" s="3405"/>
      <c r="K36" s="3405"/>
      <c r="L36" s="3405"/>
      <c r="M36" s="3405"/>
      <c r="N36" s="3405"/>
      <c r="O36" s="3405"/>
      <c r="P36" s="3405"/>
      <c r="Q36" s="3405"/>
      <c r="R36" s="3409"/>
      <c r="S36" s="574"/>
    </row>
    <row r="37" spans="2:23" ht="15.75" thickBot="1">
      <c r="B37" s="3401" t="s">
        <v>1469</v>
      </c>
      <c r="C37" s="2666"/>
      <c r="D37" s="3399"/>
      <c r="E37" s="3399"/>
      <c r="F37" s="3399"/>
      <c r="G37" s="3399"/>
      <c r="H37" s="3399"/>
      <c r="I37" s="3399"/>
      <c r="J37" s="3399"/>
      <c r="K37" s="3399"/>
      <c r="L37" s="3399"/>
      <c r="M37" s="3399"/>
      <c r="N37" s="3399"/>
      <c r="O37" s="3399"/>
      <c r="P37" s="3399"/>
      <c r="Q37" s="3399"/>
      <c r="R37" s="3400"/>
      <c r="S37" s="574"/>
      <c r="T37" s="574"/>
      <c r="U37" s="1427"/>
      <c r="V37" s="1427"/>
      <c r="W37" s="1427"/>
    </row>
    <row r="38" spans="2:23" ht="15.75" thickBot="1">
      <c r="B38" s="2669" t="s">
        <v>1468</v>
      </c>
      <c r="C38" s="2668"/>
      <c r="D38" s="2667"/>
      <c r="E38" s="2667"/>
      <c r="F38" s="2667"/>
      <c r="G38" s="2667"/>
      <c r="H38" s="2667"/>
      <c r="I38" s="2667"/>
      <c r="J38" s="2667"/>
      <c r="K38" s="2667"/>
      <c r="L38" s="2667"/>
      <c r="M38" s="2667"/>
      <c r="N38" s="2667"/>
      <c r="O38" s="2667"/>
      <c r="P38" s="2667"/>
      <c r="Q38" s="2667"/>
      <c r="R38" s="2233"/>
    </row>
    <row r="39" spans="2:23" ht="15.75" thickBot="1">
      <c r="B39" s="2672" t="s">
        <v>1550</v>
      </c>
      <c r="C39" s="2668"/>
      <c r="D39" s="2667"/>
      <c r="E39" s="2667"/>
      <c r="F39" s="2667"/>
      <c r="G39" s="2667"/>
      <c r="H39" s="2667"/>
      <c r="I39" s="2667"/>
      <c r="J39" s="2667"/>
      <c r="K39" s="2667"/>
      <c r="L39" s="2667"/>
      <c r="M39" s="2667"/>
      <c r="N39" s="2667"/>
      <c r="O39" s="2667"/>
      <c r="P39" s="2667"/>
      <c r="Q39" s="2667"/>
      <c r="R39" s="2233"/>
    </row>
    <row r="40" spans="2:23" ht="15.75" thickBot="1">
      <c r="B40" s="2673" t="str">
        <f>CONCATENATE("Table 27.2.1"," - ", B39)</f>
        <v>Table 27.2.1 - Tariff V</v>
      </c>
      <c r="C40" s="3402"/>
      <c r="D40" s="3403"/>
      <c r="E40" s="3403"/>
      <c r="F40" s="3403"/>
      <c r="G40" s="3403"/>
      <c r="H40" s="3403"/>
      <c r="I40" s="3403"/>
      <c r="J40" s="3403"/>
      <c r="K40" s="3403"/>
      <c r="L40" s="3403"/>
      <c r="M40" s="3403"/>
      <c r="N40" s="3403"/>
      <c r="O40" s="3403"/>
      <c r="P40" s="3403"/>
      <c r="Q40" s="3403"/>
      <c r="R40" s="3404"/>
    </row>
    <row r="41" spans="2:23" ht="15.75" thickBot="1">
      <c r="B41" s="1675" t="str">
        <f>CONCATENATE("Residential customers"," : ", B39)</f>
        <v>Residential customers : Tariff V</v>
      </c>
      <c r="C41" s="2670"/>
      <c r="D41" s="2670"/>
      <c r="E41" s="2670"/>
      <c r="F41" s="2670"/>
      <c r="G41" s="2670"/>
      <c r="H41" s="2670"/>
      <c r="I41" s="2670"/>
      <c r="J41" s="2670"/>
      <c r="K41" s="2670"/>
      <c r="L41" s="2670"/>
      <c r="M41" s="2670"/>
      <c r="N41" s="2670"/>
      <c r="O41" s="2670"/>
      <c r="P41" s="2670"/>
      <c r="Q41" s="2670"/>
      <c r="R41" s="2671"/>
    </row>
    <row r="42" spans="2:23">
      <c r="B42" s="4075" t="s">
        <v>1466</v>
      </c>
      <c r="C42" s="3397" t="s">
        <v>756</v>
      </c>
      <c r="D42" s="1933">
        <v>115771</v>
      </c>
      <c r="E42" s="508">
        <f>D43</f>
        <v>118107</v>
      </c>
      <c r="F42" s="508">
        <f t="shared" ref="F42" si="31">E43</f>
        <v>120689</v>
      </c>
      <c r="G42" s="508">
        <f t="shared" ref="G42" si="32">F43</f>
        <v>123964</v>
      </c>
      <c r="H42" s="508">
        <f t="shared" ref="H42" si="33">G43</f>
        <v>126904</v>
      </c>
      <c r="I42" s="1933">
        <f>+H43</f>
        <v>130023</v>
      </c>
      <c r="J42" s="508">
        <f>I43</f>
        <v>132674</v>
      </c>
      <c r="K42" s="508">
        <f t="shared" ref="K42" si="34">J43</f>
        <v>135266</v>
      </c>
      <c r="L42" s="508">
        <f t="shared" ref="L42" si="35">K43</f>
        <v>137490</v>
      </c>
      <c r="M42" s="508">
        <f t="shared" ref="M42" si="36">L43</f>
        <v>140027.68434422347</v>
      </c>
      <c r="N42" s="1933">
        <f>+M43</f>
        <v>142129.90882185928</v>
      </c>
      <c r="O42" s="508">
        <f>N43</f>
        <v>144011.76285882373</v>
      </c>
      <c r="P42" s="508">
        <f t="shared" ref="P42" si="37">O43</f>
        <v>145927.08754810618</v>
      </c>
      <c r="Q42" s="508">
        <f t="shared" ref="Q42" si="38">P43</f>
        <v>147876.56281818892</v>
      </c>
      <c r="R42" s="587">
        <f t="shared" ref="R42" si="39">Q43</f>
        <v>149860.88325956344</v>
      </c>
    </row>
    <row r="43" spans="2:23">
      <c r="B43" s="4076"/>
      <c r="C43" s="3398" t="s">
        <v>757</v>
      </c>
      <c r="D43" s="527">
        <v>118107</v>
      </c>
      <c r="E43" s="522">
        <v>120689</v>
      </c>
      <c r="F43" s="522">
        <v>123964</v>
      </c>
      <c r="G43" s="522">
        <v>126904</v>
      </c>
      <c r="H43" s="1934">
        <v>130023</v>
      </c>
      <c r="I43" s="527">
        <v>132674</v>
      </c>
      <c r="J43" s="522">
        <v>135266</v>
      </c>
      <c r="K43" s="522">
        <v>137490</v>
      </c>
      <c r="L43" s="522">
        <f>+L42+L45-L46</f>
        <v>140027.68434422347</v>
      </c>
      <c r="M43" s="1934">
        <f t="shared" ref="M43" si="40">+M42+M45-M46</f>
        <v>142129.90882185928</v>
      </c>
      <c r="N43" s="527">
        <f t="shared" ref="N43" si="41">+N42+N45-N46</f>
        <v>144011.76285882373</v>
      </c>
      <c r="O43" s="522">
        <f t="shared" ref="O43" si="42">+O42+O45-O46</f>
        <v>145927.08754810618</v>
      </c>
      <c r="P43" s="522">
        <f t="shared" ref="P43" si="43">+P42+P45-P46</f>
        <v>147876.56281818892</v>
      </c>
      <c r="Q43" s="522">
        <f t="shared" ref="Q43" si="44">+Q42+Q45-Q46</f>
        <v>149860.88325956344</v>
      </c>
      <c r="R43" s="535">
        <f t="shared" ref="R43" si="45">+R42+R45-R46</f>
        <v>151669.71770830068</v>
      </c>
    </row>
    <row r="44" spans="2:23">
      <c r="B44" s="4076"/>
      <c r="C44" s="3398" t="s">
        <v>68</v>
      </c>
      <c r="D44" s="401">
        <f>IF(ISERROR(AVERAGE(D42:D43)),0,AVERAGE(D42:D43))</f>
        <v>116939</v>
      </c>
      <c r="E44" s="402">
        <f t="shared" ref="E44:L44" si="46">IF(ISERROR(AVERAGE(E42:E43)),0,AVERAGE(E42:E43))</f>
        <v>119398</v>
      </c>
      <c r="F44" s="402">
        <f t="shared" si="46"/>
        <v>122326.5</v>
      </c>
      <c r="G44" s="402">
        <f t="shared" si="46"/>
        <v>125434</v>
      </c>
      <c r="H44" s="505">
        <f t="shared" si="46"/>
        <v>128463.5</v>
      </c>
      <c r="I44" s="401">
        <f t="shared" si="46"/>
        <v>131348.5</v>
      </c>
      <c r="J44" s="402">
        <f t="shared" si="46"/>
        <v>133970</v>
      </c>
      <c r="K44" s="402">
        <f t="shared" si="46"/>
        <v>136378</v>
      </c>
      <c r="L44" s="402">
        <f t="shared" si="46"/>
        <v>138758.84217211173</v>
      </c>
      <c r="M44" s="3442">
        <v>140934.74218621594</v>
      </c>
      <c r="N44" s="3443">
        <v>142816.59622318039</v>
      </c>
      <c r="O44" s="3444">
        <v>144731.92091246284</v>
      </c>
      <c r="P44" s="3444">
        <v>146681.39618254558</v>
      </c>
      <c r="Q44" s="3444">
        <v>148665.7166239201</v>
      </c>
      <c r="R44" s="3442">
        <v>150474.55107265734</v>
      </c>
    </row>
    <row r="45" spans="2:23">
      <c r="B45" s="4076"/>
      <c r="C45" s="3398" t="s">
        <v>69</v>
      </c>
      <c r="D45" s="527">
        <f>+D43-D42+D46</f>
        <v>2532</v>
      </c>
      <c r="E45" s="522">
        <f t="shared" ref="E45" si="47">+E43-E42+E46</f>
        <v>2756</v>
      </c>
      <c r="F45" s="522">
        <f t="shared" ref="F45" si="48">+F43-F42+F46</f>
        <v>3433</v>
      </c>
      <c r="G45" s="522">
        <f t="shared" ref="G45" si="49">+G43-G42+G46</f>
        <v>3052</v>
      </c>
      <c r="H45" s="1934">
        <f t="shared" ref="H45" si="50">+H43-H42+H46</f>
        <v>3272</v>
      </c>
      <c r="I45" s="527">
        <f t="shared" ref="I45" si="51">+I43-I42+I46</f>
        <v>2766</v>
      </c>
      <c r="J45" s="522">
        <f t="shared" ref="J45" si="52">+J43-J42+J46</f>
        <v>2732</v>
      </c>
      <c r="K45" s="522">
        <f t="shared" ref="K45" si="53">+K43-K42+K46</f>
        <v>2378</v>
      </c>
      <c r="L45" s="522">
        <v>2685.411356351362</v>
      </c>
      <c r="M45" s="1934">
        <v>2255.0019859048316</v>
      </c>
      <c r="N45" s="527">
        <v>2038.0549737542854</v>
      </c>
      <c r="O45" s="522">
        <v>2075.2032760750544</v>
      </c>
      <c r="P45" s="522">
        <v>2113.0908146833699</v>
      </c>
      <c r="Q45" s="522">
        <v>2151.7455324556067</v>
      </c>
      <c r="R45" s="535">
        <v>1980.1525750126839</v>
      </c>
    </row>
    <row r="46" spans="2:23" ht="13.5" thickBot="1">
      <c r="B46" s="4077"/>
      <c r="C46" s="1927" t="s">
        <v>58</v>
      </c>
      <c r="D46" s="1935">
        <v>196</v>
      </c>
      <c r="E46" s="1936">
        <v>174</v>
      </c>
      <c r="F46" s="1936">
        <v>158</v>
      </c>
      <c r="G46" s="1936">
        <v>112</v>
      </c>
      <c r="H46" s="1937">
        <v>153</v>
      </c>
      <c r="I46" s="1935">
        <v>115</v>
      </c>
      <c r="J46" s="1936">
        <v>140</v>
      </c>
      <c r="K46" s="1936">
        <v>154</v>
      </c>
      <c r="L46" s="1936">
        <v>147.72701212789417</v>
      </c>
      <c r="M46" s="1937">
        <v>152.77750826901874</v>
      </c>
      <c r="N46" s="1935">
        <v>156.20093678983838</v>
      </c>
      <c r="O46" s="1936">
        <v>159.87858679260097</v>
      </c>
      <c r="P46" s="1936">
        <v>163.61554460063235</v>
      </c>
      <c r="Q46" s="1936">
        <v>167.42509108108072</v>
      </c>
      <c r="R46" s="3406">
        <v>171.31812627544602</v>
      </c>
    </row>
    <row r="47" spans="2:23" ht="15.75" thickBot="1">
      <c r="B47" s="1675" t="str">
        <f>CONCATENATE("Commercial/industrial customers"," : ",B39)</f>
        <v>Commercial/industrial customers : Tariff V</v>
      </c>
      <c r="C47" s="2670"/>
      <c r="D47" s="2670"/>
      <c r="E47" s="2670"/>
      <c r="F47" s="2670"/>
      <c r="G47" s="2670"/>
      <c r="H47" s="2670"/>
      <c r="I47" s="2670"/>
      <c r="J47" s="2670"/>
      <c r="K47" s="2670"/>
      <c r="L47" s="2670"/>
      <c r="M47" s="2670"/>
      <c r="N47" s="2670"/>
      <c r="O47" s="2670"/>
      <c r="P47" s="2670"/>
      <c r="Q47" s="2670"/>
      <c r="R47" s="2671"/>
    </row>
    <row r="48" spans="2:23">
      <c r="B48" s="4075" t="s">
        <v>1467</v>
      </c>
      <c r="C48" s="3397" t="s">
        <v>756</v>
      </c>
      <c r="D48" s="1933">
        <v>6126</v>
      </c>
      <c r="E48" s="508">
        <f>D49</f>
        <v>6115</v>
      </c>
      <c r="F48" s="508">
        <f t="shared" ref="F48" si="54">E49</f>
        <v>6123</v>
      </c>
      <c r="G48" s="508">
        <f t="shared" ref="G48" si="55">F49</f>
        <v>6127</v>
      </c>
      <c r="H48" s="508">
        <f t="shared" ref="H48" si="56">G49</f>
        <v>6135</v>
      </c>
      <c r="I48" s="1933">
        <f>+H49</f>
        <v>6178</v>
      </c>
      <c r="J48" s="508">
        <f>I49</f>
        <v>6184</v>
      </c>
      <c r="K48" s="508">
        <f t="shared" ref="K48" si="57">J49</f>
        <v>6152</v>
      </c>
      <c r="L48" s="508">
        <f t="shared" ref="L48" si="58">K49</f>
        <v>6200</v>
      </c>
      <c r="M48" s="508">
        <f t="shared" ref="M48" si="59">L49</f>
        <v>6235.4017392298911</v>
      </c>
      <c r="N48" s="1933">
        <f>+M49</f>
        <v>6210.6265734118288</v>
      </c>
      <c r="O48" s="508">
        <f>N49</f>
        <v>6232.7158766793664</v>
      </c>
      <c r="P48" s="508">
        <f t="shared" ref="P48" si="60">O49</f>
        <v>6255.1952535441014</v>
      </c>
      <c r="Q48" s="508">
        <f t="shared" ref="Q48" si="61">P49</f>
        <v>6278.072551528363</v>
      </c>
      <c r="R48" s="587">
        <f t="shared" ref="R48" si="62">Q49</f>
        <v>6301.3557853186203</v>
      </c>
    </row>
    <row r="49" spans="2:19">
      <c r="B49" s="4076"/>
      <c r="C49" s="3398" t="s">
        <v>757</v>
      </c>
      <c r="D49" s="527">
        <v>6115</v>
      </c>
      <c r="E49" s="522">
        <v>6123</v>
      </c>
      <c r="F49" s="522">
        <v>6127</v>
      </c>
      <c r="G49" s="522">
        <v>6135</v>
      </c>
      <c r="H49" s="1934">
        <v>6178</v>
      </c>
      <c r="I49" s="527">
        <v>6184</v>
      </c>
      <c r="J49" s="522">
        <v>6152</v>
      </c>
      <c r="K49" s="522">
        <v>6200</v>
      </c>
      <c r="L49" s="522">
        <f>+L48+L51-L52</f>
        <v>6235.4017392298911</v>
      </c>
      <c r="M49" s="1934">
        <f t="shared" ref="M49" si="63">+M48+M51-M52</f>
        <v>6210.6265734118288</v>
      </c>
      <c r="N49" s="527">
        <f t="shared" ref="N49" si="64">+N48+N51-N52</f>
        <v>6232.7158766793664</v>
      </c>
      <c r="O49" s="522">
        <f t="shared" ref="O49" si="65">+O48+O51-O52</f>
        <v>6255.1952535441014</v>
      </c>
      <c r="P49" s="522">
        <f t="shared" ref="P49" si="66">+P48+P51-P52</f>
        <v>6278.072551528363</v>
      </c>
      <c r="Q49" s="522">
        <f t="shared" ref="Q49" si="67">+Q48+Q51-Q52</f>
        <v>6301.3557853186203</v>
      </c>
      <c r="R49" s="535">
        <f t="shared" ref="R49" si="68">+R48+R51-R52</f>
        <v>6322.2746192211089</v>
      </c>
    </row>
    <row r="50" spans="2:19">
      <c r="B50" s="4076"/>
      <c r="C50" s="3398" t="s">
        <v>68</v>
      </c>
      <c r="D50" s="401">
        <f>IF(ISERROR(AVERAGE(D48:D49)),0,AVERAGE(D48:D49))</f>
        <v>6120.5</v>
      </c>
      <c r="E50" s="402">
        <f t="shared" ref="E50:L50" si="69">IF(ISERROR(AVERAGE(E48:E49)),0,AVERAGE(E48:E49))</f>
        <v>6119</v>
      </c>
      <c r="F50" s="402">
        <f t="shared" si="69"/>
        <v>6125</v>
      </c>
      <c r="G50" s="402">
        <f t="shared" si="69"/>
        <v>6131</v>
      </c>
      <c r="H50" s="505">
        <f t="shared" si="69"/>
        <v>6156.5</v>
      </c>
      <c r="I50" s="401">
        <f t="shared" si="69"/>
        <v>6181</v>
      </c>
      <c r="J50" s="402">
        <f t="shared" si="69"/>
        <v>6168</v>
      </c>
      <c r="K50" s="402">
        <f t="shared" si="69"/>
        <v>6176</v>
      </c>
      <c r="L50" s="402">
        <f t="shared" si="69"/>
        <v>6217.700869614946</v>
      </c>
      <c r="M50" s="3442">
        <v>6112.5290350075611</v>
      </c>
      <c r="N50" s="3443">
        <v>6134.6183382750987</v>
      </c>
      <c r="O50" s="3444">
        <v>6157.0977151398338</v>
      </c>
      <c r="P50" s="3444">
        <v>6179.9750131240953</v>
      </c>
      <c r="Q50" s="3444">
        <v>6203.2582469143526</v>
      </c>
      <c r="R50" s="3442">
        <v>6224.1770808168412</v>
      </c>
    </row>
    <row r="51" spans="2:19">
      <c r="B51" s="4076"/>
      <c r="C51" s="3398" t="s">
        <v>69</v>
      </c>
      <c r="D51" s="527">
        <f>+D49-D48+D52</f>
        <v>21</v>
      </c>
      <c r="E51" s="522">
        <f t="shared" ref="E51" si="70">+E49-E48+E52</f>
        <v>35</v>
      </c>
      <c r="F51" s="522">
        <f t="shared" ref="F51" si="71">+F49-F48+F52</f>
        <v>43</v>
      </c>
      <c r="G51" s="522">
        <f t="shared" ref="G51" si="72">+G49-G48+G52</f>
        <v>38</v>
      </c>
      <c r="H51" s="1934">
        <f t="shared" ref="H51" si="73">+H49-H48+H52</f>
        <v>76</v>
      </c>
      <c r="I51" s="527">
        <f t="shared" ref="I51" si="74">+I49-I48+I52</f>
        <v>29</v>
      </c>
      <c r="J51" s="522">
        <f t="shared" ref="J51" si="75">+J49-J48+J52</f>
        <v>3</v>
      </c>
      <c r="K51" s="522">
        <f t="shared" ref="K51" si="76">+K49-K48+K52</f>
        <v>85</v>
      </c>
      <c r="L51" s="522">
        <v>61.94585687694989</v>
      </c>
      <c r="M51" s="1934">
        <v>0.65130477017298816</v>
      </c>
      <c r="N51" s="527">
        <v>47.483574955012564</v>
      </c>
      <c r="O51" s="522">
        <v>48.14957816389601</v>
      </c>
      <c r="P51" s="522">
        <v>48.829436699767314</v>
      </c>
      <c r="Q51" s="522">
        <v>49.522786425672749</v>
      </c>
      <c r="R51" s="535">
        <v>47.452099322693797</v>
      </c>
    </row>
    <row r="52" spans="2:19" ht="13.5" thickBot="1">
      <c r="B52" s="4077"/>
      <c r="C52" s="1927" t="s">
        <v>58</v>
      </c>
      <c r="D52" s="1935">
        <v>32</v>
      </c>
      <c r="E52" s="1936">
        <v>27</v>
      </c>
      <c r="F52" s="1936">
        <v>39</v>
      </c>
      <c r="G52" s="1936">
        <v>30</v>
      </c>
      <c r="H52" s="1937">
        <v>33</v>
      </c>
      <c r="I52" s="1935">
        <v>23</v>
      </c>
      <c r="J52" s="1936">
        <v>35</v>
      </c>
      <c r="K52" s="1936">
        <v>37</v>
      </c>
      <c r="L52" s="1936">
        <v>26.544117647058822</v>
      </c>
      <c r="M52" s="1937">
        <v>25.426470588235293</v>
      </c>
      <c r="N52" s="1935">
        <v>25.394271687474948</v>
      </c>
      <c r="O52" s="1936">
        <v>25.670201299160954</v>
      </c>
      <c r="P52" s="1936">
        <v>25.952138715505786</v>
      </c>
      <c r="Q52" s="1936">
        <v>26.239552635415425</v>
      </c>
      <c r="R52" s="3406">
        <v>26.533265420205215</v>
      </c>
    </row>
    <row r="53" spans="2:19">
      <c r="B53" s="2668"/>
      <c r="C53" s="2667"/>
      <c r="D53" s="2667"/>
      <c r="E53" s="2667"/>
      <c r="F53" s="2667"/>
      <c r="G53" s="2667"/>
      <c r="H53" s="2667"/>
      <c r="I53" s="2667"/>
      <c r="J53" s="2667"/>
      <c r="K53" s="2667"/>
      <c r="L53" s="2667"/>
      <c r="M53" s="2667"/>
      <c r="N53" s="2667"/>
      <c r="O53" s="2667"/>
      <c r="P53" s="2667"/>
      <c r="Q53" s="2667"/>
      <c r="R53" s="2233"/>
    </row>
    <row r="54" spans="2:19" ht="13.5" thickBot="1">
      <c r="B54" s="2668"/>
      <c r="C54" s="2667"/>
      <c r="D54" s="2667"/>
      <c r="E54" s="2667"/>
      <c r="F54" s="2667"/>
      <c r="G54" s="2667"/>
      <c r="H54" s="2667"/>
      <c r="I54" s="2667"/>
      <c r="J54" s="2667"/>
      <c r="K54" s="2667"/>
      <c r="L54" s="2667"/>
      <c r="M54" s="2667"/>
      <c r="N54" s="2667"/>
      <c r="O54" s="2667"/>
      <c r="P54" s="2667"/>
      <c r="Q54" s="2667"/>
      <c r="R54" s="3410"/>
      <c r="S54" s="94"/>
    </row>
    <row r="55" spans="2:19" ht="15.75" thickBot="1">
      <c r="B55" s="3401" t="s">
        <v>1471</v>
      </c>
      <c r="C55" s="2666"/>
      <c r="D55" s="3399"/>
      <c r="E55" s="3399"/>
      <c r="F55" s="3399"/>
      <c r="G55" s="3399"/>
      <c r="H55" s="3399"/>
      <c r="I55" s="3399"/>
      <c r="J55" s="3399"/>
      <c r="K55" s="3399"/>
      <c r="L55" s="3399"/>
      <c r="M55" s="3399"/>
      <c r="N55" s="3399"/>
      <c r="O55" s="3399"/>
      <c r="P55" s="3399"/>
      <c r="Q55" s="3399"/>
      <c r="R55" s="3400"/>
    </row>
    <row r="56" spans="2:19" ht="15.75" thickBot="1">
      <c r="B56" s="2669" t="s">
        <v>1470</v>
      </c>
      <c r="C56" s="2668"/>
      <c r="D56" s="2667"/>
      <c r="E56" s="2667"/>
      <c r="F56" s="2667"/>
      <c r="G56" s="2667"/>
      <c r="H56" s="2667"/>
      <c r="I56" s="2667"/>
      <c r="J56" s="2667"/>
      <c r="K56" s="2667"/>
      <c r="L56" s="2667"/>
      <c r="M56" s="2667"/>
      <c r="N56" s="2667"/>
      <c r="O56" s="2667"/>
      <c r="P56" s="2667"/>
      <c r="Q56" s="2667"/>
      <c r="R56" s="2233"/>
    </row>
    <row r="57" spans="2:19" ht="15.75" thickBot="1">
      <c r="B57" s="2672" t="s">
        <v>1550</v>
      </c>
      <c r="C57" s="2668"/>
      <c r="D57" s="2667"/>
      <c r="E57" s="2667"/>
      <c r="F57" s="2667"/>
      <c r="G57" s="2667"/>
      <c r="H57" s="2667"/>
      <c r="I57" s="2667"/>
      <c r="J57" s="2667"/>
      <c r="K57" s="2667"/>
      <c r="L57" s="2667"/>
      <c r="M57" s="2667"/>
      <c r="N57" s="2667"/>
      <c r="O57" s="2667"/>
      <c r="P57" s="2667"/>
      <c r="Q57" s="2667"/>
      <c r="R57" s="2233"/>
    </row>
    <row r="58" spans="2:19" ht="15.75" thickBot="1">
      <c r="B58" s="2673" t="str">
        <f>CONCATENATE("Table 27.3.1"," - ", B57)</f>
        <v>Table 27.3.1 - Tariff V</v>
      </c>
      <c r="C58" s="3402"/>
      <c r="D58" s="3403"/>
      <c r="E58" s="3403"/>
      <c r="F58" s="3403"/>
      <c r="G58" s="3403"/>
      <c r="H58" s="3403"/>
      <c r="I58" s="3403"/>
      <c r="J58" s="3403"/>
      <c r="K58" s="3403"/>
      <c r="L58" s="3403"/>
      <c r="M58" s="3403"/>
      <c r="N58" s="3403"/>
      <c r="O58" s="3403"/>
      <c r="P58" s="3403"/>
      <c r="Q58" s="3403"/>
      <c r="R58" s="3404"/>
    </row>
    <row r="59" spans="2:19" ht="15.75" thickBot="1">
      <c r="B59" s="1675" t="str">
        <f>CONCATENATE("Residential customers"," : ", B57)</f>
        <v>Residential customers : Tariff V</v>
      </c>
      <c r="C59" s="2670"/>
      <c r="D59" s="2670"/>
      <c r="E59" s="2670"/>
      <c r="F59" s="2670"/>
      <c r="G59" s="2670"/>
      <c r="H59" s="2670"/>
      <c r="I59" s="2670"/>
      <c r="J59" s="2670"/>
      <c r="K59" s="2670"/>
      <c r="L59" s="2670"/>
      <c r="M59" s="2670"/>
      <c r="N59" s="2670"/>
      <c r="O59" s="2670"/>
      <c r="P59" s="2670"/>
      <c r="Q59" s="2670"/>
      <c r="R59" s="2671"/>
    </row>
    <row r="60" spans="2:19">
      <c r="B60" s="4075" t="s">
        <v>1466</v>
      </c>
      <c r="C60" s="3397" t="s">
        <v>756</v>
      </c>
      <c r="D60" s="1933">
        <v>52</v>
      </c>
      <c r="E60" s="508">
        <f>D61</f>
        <v>525</v>
      </c>
      <c r="F60" s="508">
        <f t="shared" ref="F60" si="77">E61</f>
        <v>732</v>
      </c>
      <c r="G60" s="508">
        <f t="shared" ref="G60" si="78">F61</f>
        <v>925</v>
      </c>
      <c r="H60" s="508">
        <f t="shared" ref="H60" si="79">G61</f>
        <v>1087</v>
      </c>
      <c r="I60" s="1933">
        <f>+H61</f>
        <v>1211</v>
      </c>
      <c r="J60" s="508">
        <f>I61</f>
        <v>1325</v>
      </c>
      <c r="K60" s="508">
        <f t="shared" ref="K60" si="80">J61</f>
        <v>1417</v>
      </c>
      <c r="L60" s="508">
        <f t="shared" ref="L60" si="81">K61</f>
        <v>1508</v>
      </c>
      <c r="M60" s="508">
        <f t="shared" ref="M60" si="82">L61</f>
        <v>1602.5803500767165</v>
      </c>
      <c r="N60" s="1933">
        <f>+M61</f>
        <v>1699.5803500767165</v>
      </c>
      <c r="O60" s="508">
        <f>N61</f>
        <v>2109.9285061424516</v>
      </c>
      <c r="P60" s="508">
        <f t="shared" ref="P60" si="83">O61</f>
        <v>2428.9538867008032</v>
      </c>
      <c r="Q60" s="508">
        <f t="shared" ref="Q60" si="84">P61</f>
        <v>2679.6820509259537</v>
      </c>
      <c r="R60" s="587">
        <f t="shared" ref="R60" si="85">Q61</f>
        <v>2879.385547344189</v>
      </c>
    </row>
    <row r="61" spans="2:19">
      <c r="B61" s="4076"/>
      <c r="C61" s="3398" t="s">
        <v>757</v>
      </c>
      <c r="D61" s="527">
        <v>525</v>
      </c>
      <c r="E61" s="522">
        <v>732</v>
      </c>
      <c r="F61" s="522">
        <v>925</v>
      </c>
      <c r="G61" s="522">
        <v>1087</v>
      </c>
      <c r="H61" s="1934">
        <v>1211</v>
      </c>
      <c r="I61" s="527">
        <v>1325</v>
      </c>
      <c r="J61" s="522">
        <v>1417</v>
      </c>
      <c r="K61" s="522">
        <v>1508</v>
      </c>
      <c r="L61" s="522">
        <f>+L60+L63-L64</f>
        <v>1602.5803500767165</v>
      </c>
      <c r="M61" s="1934">
        <f t="shared" ref="M61" si="86">+M60+M63-M64</f>
        <v>1699.5803500767165</v>
      </c>
      <c r="N61" s="527">
        <f t="shared" ref="N61" si="87">+N60+N63-N64</f>
        <v>2109.9285061424516</v>
      </c>
      <c r="O61" s="522">
        <f t="shared" ref="O61" si="88">+O60+O63-O64</f>
        <v>2428.9538867008032</v>
      </c>
      <c r="P61" s="522">
        <f t="shared" ref="P61" si="89">+P60+P63-P64</f>
        <v>2679.6820509259537</v>
      </c>
      <c r="Q61" s="522">
        <f t="shared" ref="Q61" si="90">+Q60+Q63-Q64</f>
        <v>2879.385547344189</v>
      </c>
      <c r="R61" s="535">
        <f t="shared" ref="R61" si="91">+R60+R63-R64</f>
        <v>3039.469488036767</v>
      </c>
    </row>
    <row r="62" spans="2:19">
      <c r="B62" s="4076"/>
      <c r="C62" s="3398" t="s">
        <v>68</v>
      </c>
      <c r="D62" s="401">
        <f>IF(ISERROR(AVERAGE(D60:D61)),0,AVERAGE(D60:D61))</f>
        <v>288.5</v>
      </c>
      <c r="E62" s="402">
        <f t="shared" ref="E62:L62" si="92">IF(ISERROR(AVERAGE(E60:E61)),0,AVERAGE(E60:E61))</f>
        <v>628.5</v>
      </c>
      <c r="F62" s="402">
        <f t="shared" si="92"/>
        <v>828.5</v>
      </c>
      <c r="G62" s="402">
        <f t="shared" si="92"/>
        <v>1006</v>
      </c>
      <c r="H62" s="505">
        <f t="shared" si="92"/>
        <v>1149</v>
      </c>
      <c r="I62" s="401">
        <f t="shared" si="92"/>
        <v>1268</v>
      </c>
      <c r="J62" s="402">
        <f t="shared" si="92"/>
        <v>1371</v>
      </c>
      <c r="K62" s="402">
        <f t="shared" si="92"/>
        <v>1462.5</v>
      </c>
      <c r="L62" s="402">
        <f t="shared" si="92"/>
        <v>1555.2901750383583</v>
      </c>
      <c r="M62" s="3442">
        <v>1649.0649190417469</v>
      </c>
      <c r="N62" s="3443">
        <v>2059.4130751074817</v>
      </c>
      <c r="O62" s="3444">
        <v>2378.4384556658333</v>
      </c>
      <c r="P62" s="3444">
        <v>2629.1666198909838</v>
      </c>
      <c r="Q62" s="3444">
        <v>2828.8701163092192</v>
      </c>
      <c r="R62" s="3442">
        <v>2988.9540570017971</v>
      </c>
    </row>
    <row r="63" spans="2:19">
      <c r="B63" s="4076"/>
      <c r="C63" s="3398" t="s">
        <v>69</v>
      </c>
      <c r="D63" s="527">
        <f>+D61-D60+D64</f>
        <v>473</v>
      </c>
      <c r="E63" s="522">
        <f t="shared" ref="E63" si="93">+E61-E60+E64</f>
        <v>207</v>
      </c>
      <c r="F63" s="522">
        <f t="shared" ref="F63" si="94">+F61-F60+F64</f>
        <v>193</v>
      </c>
      <c r="G63" s="522">
        <f t="shared" ref="G63" si="95">+G61-G60+G64</f>
        <v>162</v>
      </c>
      <c r="H63" s="1934">
        <f t="shared" ref="H63" si="96">+H61-H60+H64</f>
        <v>128</v>
      </c>
      <c r="I63" s="527">
        <f t="shared" ref="I63" si="97">+I61-I60+I64</f>
        <v>116</v>
      </c>
      <c r="J63" s="522">
        <f t="shared" ref="J63" si="98">+J61-J60+J64</f>
        <v>97</v>
      </c>
      <c r="K63" s="522">
        <f t="shared" ref="K63" si="99">+K61-K60+K64</f>
        <v>94</v>
      </c>
      <c r="L63" s="522">
        <v>98.192257463706596</v>
      </c>
      <c r="M63" s="1934">
        <v>100.73539140022051</v>
      </c>
      <c r="N63" s="527">
        <v>414.16724987477738</v>
      </c>
      <c r="O63" s="522">
        <v>322.93439246037116</v>
      </c>
      <c r="P63" s="522">
        <v>254.72854428873566</v>
      </c>
      <c r="Q63" s="522">
        <v>203.7970194275527</v>
      </c>
      <c r="R63" s="535">
        <v>164.27264793647637</v>
      </c>
    </row>
    <row r="64" spans="2:19" ht="13.5" thickBot="1">
      <c r="B64" s="4077"/>
      <c r="C64" s="1927" t="s">
        <v>58</v>
      </c>
      <c r="D64" s="1935">
        <v>0</v>
      </c>
      <c r="E64" s="1936">
        <v>0</v>
      </c>
      <c r="F64" s="1936">
        <v>0</v>
      </c>
      <c r="G64" s="1936">
        <v>0</v>
      </c>
      <c r="H64" s="1937">
        <v>4</v>
      </c>
      <c r="I64" s="1935">
        <v>2</v>
      </c>
      <c r="J64" s="1936">
        <v>5</v>
      </c>
      <c r="K64" s="1936">
        <v>3</v>
      </c>
      <c r="L64" s="1936">
        <v>3.6119073869900773</v>
      </c>
      <c r="M64" s="1937">
        <v>3.7353914002205073</v>
      </c>
      <c r="N64" s="1935">
        <v>3.8190938090425033</v>
      </c>
      <c r="O64" s="1936">
        <v>3.9090119020195839</v>
      </c>
      <c r="P64" s="1936">
        <v>4.0003800635851432</v>
      </c>
      <c r="Q64" s="1936">
        <v>4.0935230093173764</v>
      </c>
      <c r="R64" s="3406">
        <v>4.1887072438984356</v>
      </c>
    </row>
    <row r="65" spans="2:36" ht="15.75" thickBot="1">
      <c r="B65" s="1675" t="str">
        <f>CONCATENATE("Commercial/industrial customers"," : ",B57)</f>
        <v>Commercial/industrial customers : Tariff V</v>
      </c>
      <c r="C65" s="2670"/>
      <c r="D65" s="2670"/>
      <c r="E65" s="2670"/>
      <c r="F65" s="2670"/>
      <c r="G65" s="2670"/>
      <c r="H65" s="2670"/>
      <c r="I65" s="2670"/>
      <c r="J65" s="2670"/>
      <c r="K65" s="2670"/>
      <c r="L65" s="2670"/>
      <c r="M65" s="2670"/>
      <c r="N65" s="2670"/>
      <c r="O65" s="2670"/>
      <c r="P65" s="2670"/>
      <c r="Q65" s="2670"/>
      <c r="R65" s="2671"/>
    </row>
    <row r="66" spans="2:36">
      <c r="B66" s="4075" t="s">
        <v>1467</v>
      </c>
      <c r="C66" s="3397" t="s">
        <v>756</v>
      </c>
      <c r="D66" s="1933">
        <v>1</v>
      </c>
      <c r="E66" s="508">
        <f>D67</f>
        <v>4</v>
      </c>
      <c r="F66" s="508">
        <f t="shared" ref="F66" si="100">E67</f>
        <v>7</v>
      </c>
      <c r="G66" s="508">
        <f t="shared" ref="G66" si="101">F67</f>
        <v>9</v>
      </c>
      <c r="H66" s="508">
        <f t="shared" ref="H66" si="102">G67</f>
        <v>10</v>
      </c>
      <c r="I66" s="1933">
        <f>+H67</f>
        <v>12</v>
      </c>
      <c r="J66" s="508">
        <f>I67</f>
        <v>13</v>
      </c>
      <c r="K66" s="508">
        <f t="shared" ref="K66" si="103">J67</f>
        <v>14</v>
      </c>
      <c r="L66" s="508">
        <f t="shared" ref="L66" si="104">K67</f>
        <v>13</v>
      </c>
      <c r="M66" s="508">
        <f t="shared" ref="M66" si="105">L67</f>
        <v>14.882498458696935</v>
      </c>
      <c r="N66" s="1933">
        <f>+M67</f>
        <v>16.882498458696933</v>
      </c>
      <c r="O66" s="508">
        <f>N67</f>
        <v>21.35097350899705</v>
      </c>
      <c r="P66" s="508">
        <f t="shared" ref="P66" si="106">O67</f>
        <v>24.749180676867432</v>
      </c>
      <c r="Q66" s="508">
        <f t="shared" ref="Q66" si="107">P67</f>
        <v>27.345501658678032</v>
      </c>
      <c r="R66" s="587">
        <f t="shared" ref="R66" si="108">Q67</f>
        <v>29.341236939533214</v>
      </c>
    </row>
    <row r="67" spans="2:36">
      <c r="B67" s="4076"/>
      <c r="C67" s="3398" t="s">
        <v>757</v>
      </c>
      <c r="D67" s="527">
        <v>4</v>
      </c>
      <c r="E67" s="522">
        <v>7</v>
      </c>
      <c r="F67" s="522">
        <v>9</v>
      </c>
      <c r="G67" s="522">
        <v>10</v>
      </c>
      <c r="H67" s="1934">
        <v>12</v>
      </c>
      <c r="I67" s="527">
        <v>13</v>
      </c>
      <c r="J67" s="522">
        <v>14</v>
      </c>
      <c r="K67" s="522">
        <v>13</v>
      </c>
      <c r="L67" s="522">
        <f>+L66+L69-L70</f>
        <v>14.882498458696935</v>
      </c>
      <c r="M67" s="1934">
        <f t="shared" ref="M67" si="109">+M66+M69-M70</f>
        <v>16.882498458696933</v>
      </c>
      <c r="N67" s="527">
        <f t="shared" ref="N67" si="110">+N66+N69-N70</f>
        <v>21.35097350899705</v>
      </c>
      <c r="O67" s="522">
        <f t="shared" ref="O67" si="111">+O66+O69-O70</f>
        <v>24.749180676867432</v>
      </c>
      <c r="P67" s="522">
        <f t="shared" ref="P67" si="112">+P66+P69-P70</f>
        <v>27.345501658678032</v>
      </c>
      <c r="Q67" s="522">
        <f t="shared" ref="Q67" si="113">+Q66+Q69-Q70</f>
        <v>29.341236939533214</v>
      </c>
      <c r="R67" s="535">
        <f t="shared" ref="R67" si="114">+R66+R69-R70</f>
        <v>30.882187222523466</v>
      </c>
    </row>
    <row r="68" spans="2:36">
      <c r="B68" s="4076"/>
      <c r="C68" s="3398" t="s">
        <v>68</v>
      </c>
      <c r="D68" s="401">
        <f>IF(ISERROR(AVERAGE(D66:D67)),0,AVERAGE(D66:D67))</f>
        <v>2.5</v>
      </c>
      <c r="E68" s="402">
        <f t="shared" ref="E68:L68" si="115">IF(ISERROR(AVERAGE(E66:E67)),0,AVERAGE(E66:E67))</f>
        <v>5.5</v>
      </c>
      <c r="F68" s="402">
        <f t="shared" si="115"/>
        <v>8</v>
      </c>
      <c r="G68" s="402">
        <f t="shared" si="115"/>
        <v>9.5</v>
      </c>
      <c r="H68" s="505">
        <f t="shared" si="115"/>
        <v>11</v>
      </c>
      <c r="I68" s="401">
        <f t="shared" si="115"/>
        <v>12.5</v>
      </c>
      <c r="J68" s="402">
        <f t="shared" si="115"/>
        <v>13.5</v>
      </c>
      <c r="K68" s="402">
        <f t="shared" si="115"/>
        <v>13.5</v>
      </c>
      <c r="L68" s="402">
        <f t="shared" si="115"/>
        <v>13.941249229348468</v>
      </c>
      <c r="M68" s="3442">
        <v>15.356140138833494</v>
      </c>
      <c r="N68" s="3443">
        <v>19.82461518913361</v>
      </c>
      <c r="O68" s="3444">
        <v>23.222822357003992</v>
      </c>
      <c r="P68" s="3444">
        <v>25.819143338814591</v>
      </c>
      <c r="Q68" s="3444">
        <v>27.81487861966977</v>
      </c>
      <c r="R68" s="3442">
        <v>29.355828902660022</v>
      </c>
    </row>
    <row r="69" spans="2:36">
      <c r="B69" s="4076"/>
      <c r="C69" s="3398" t="s">
        <v>69</v>
      </c>
      <c r="D69" s="527">
        <f>+D67-D66+D70</f>
        <v>3</v>
      </c>
      <c r="E69" s="522">
        <f t="shared" ref="E69" si="116">+E67-E66+E70</f>
        <v>3</v>
      </c>
      <c r="F69" s="522">
        <f t="shared" ref="F69" si="117">+F67-F66+F70</f>
        <v>2</v>
      </c>
      <c r="G69" s="522">
        <f t="shared" ref="G69" si="118">+G67-G66+G70</f>
        <v>1</v>
      </c>
      <c r="H69" s="1934">
        <f t="shared" ref="H69" si="119">+H67-H66+H70</f>
        <v>2</v>
      </c>
      <c r="I69" s="527">
        <f t="shared" ref="I69" si="120">+I67-I66+I70</f>
        <v>1</v>
      </c>
      <c r="J69" s="522">
        <f t="shared" ref="J69" si="121">+J67-J66+J70</f>
        <v>1</v>
      </c>
      <c r="K69" s="522">
        <f t="shared" ref="K69" si="122">+K67-K66+K70</f>
        <v>0</v>
      </c>
      <c r="L69" s="522">
        <v>2.1619102234028169</v>
      </c>
      <c r="M69" s="1934">
        <v>2.2676470588235293</v>
      </c>
      <c r="N69" s="527">
        <v>4.7357831733261682</v>
      </c>
      <c r="O69" s="522">
        <v>3.6684198131247077</v>
      </c>
      <c r="P69" s="522">
        <v>2.8695013893422394</v>
      </c>
      <c r="Q69" s="522">
        <v>2.2719410980700783</v>
      </c>
      <c r="R69" s="535">
        <v>1.8202478137292544</v>
      </c>
    </row>
    <row r="70" spans="2:36" ht="13.5" thickBot="1">
      <c r="B70" s="4077"/>
      <c r="C70" s="1927" t="s">
        <v>58</v>
      </c>
      <c r="D70" s="1935">
        <v>0</v>
      </c>
      <c r="E70" s="1936">
        <v>0</v>
      </c>
      <c r="F70" s="1936">
        <v>0</v>
      </c>
      <c r="G70" s="1936">
        <v>0</v>
      </c>
      <c r="H70" s="1937">
        <v>0</v>
      </c>
      <c r="I70" s="1935">
        <v>0</v>
      </c>
      <c r="J70" s="1936">
        <v>0</v>
      </c>
      <c r="K70" s="1936">
        <v>1</v>
      </c>
      <c r="L70" s="1936">
        <v>0.27941176470588236</v>
      </c>
      <c r="M70" s="1937">
        <v>0.2676470588235294</v>
      </c>
      <c r="N70" s="1935">
        <v>0.26730812302605206</v>
      </c>
      <c r="O70" s="1936">
        <v>0.27021264525432581</v>
      </c>
      <c r="P70" s="1936">
        <v>0.2731804075316398</v>
      </c>
      <c r="Q70" s="1936">
        <v>0.27620581721489917</v>
      </c>
      <c r="R70" s="3406">
        <v>0.27929753073900226</v>
      </c>
    </row>
    <row r="71" spans="2:36">
      <c r="B71" s="2668"/>
      <c r="C71" s="2667"/>
      <c r="D71" s="2667"/>
      <c r="E71" s="2667"/>
      <c r="F71" s="2667"/>
      <c r="G71" s="2667"/>
      <c r="H71" s="2667"/>
      <c r="I71" s="2667"/>
      <c r="J71" s="2667"/>
      <c r="K71" s="2667"/>
      <c r="L71" s="2667"/>
      <c r="M71" s="2667"/>
      <c r="N71" s="2667"/>
      <c r="O71" s="2667"/>
      <c r="P71" s="2667"/>
      <c r="Q71" s="2667"/>
      <c r="R71" s="2233"/>
    </row>
    <row r="72" spans="2:36" ht="13.5" thickBot="1">
      <c r="B72" s="2668"/>
      <c r="C72" s="2667"/>
      <c r="D72" s="2667"/>
      <c r="E72" s="2667"/>
      <c r="F72" s="2667"/>
      <c r="G72" s="2667"/>
      <c r="H72" s="2667"/>
      <c r="I72" s="2667"/>
      <c r="J72" s="2667"/>
      <c r="K72" s="2667"/>
      <c r="L72" s="2667"/>
      <c r="M72" s="2667"/>
      <c r="N72" s="2667"/>
      <c r="O72" s="2667"/>
      <c r="P72" s="2667"/>
      <c r="Q72" s="2667"/>
      <c r="R72" s="3410"/>
      <c r="S72" s="1427"/>
      <c r="T72" s="1427"/>
      <c r="U72" s="1427"/>
      <c r="V72" s="1427"/>
      <c r="W72" s="1427"/>
      <c r="X72" s="1427"/>
      <c r="Y72" s="1427"/>
      <c r="Z72" s="1427"/>
      <c r="AA72" s="1427"/>
      <c r="AB72" s="1427"/>
      <c r="AC72" s="1427"/>
      <c r="AD72" s="1427"/>
      <c r="AE72" s="1427"/>
      <c r="AF72" s="1427"/>
      <c r="AG72" s="1427"/>
      <c r="AH72" s="1427"/>
      <c r="AI72" s="1427"/>
      <c r="AJ72" s="1427"/>
    </row>
    <row r="73" spans="2:36" ht="15.75" thickBot="1">
      <c r="B73" s="3401" t="s">
        <v>1473</v>
      </c>
      <c r="C73" s="2666"/>
      <c r="D73" s="3399"/>
      <c r="E73" s="3399"/>
      <c r="F73" s="3399"/>
      <c r="G73" s="3399"/>
      <c r="H73" s="3399"/>
      <c r="I73" s="3399"/>
      <c r="J73" s="3399"/>
      <c r="K73" s="3399"/>
      <c r="L73" s="3399"/>
      <c r="M73" s="3399"/>
      <c r="N73" s="3399"/>
      <c r="O73" s="3399"/>
      <c r="P73" s="3399"/>
      <c r="Q73" s="3399"/>
      <c r="R73" s="3400"/>
    </row>
    <row r="74" spans="2:36" ht="15.75" thickBot="1">
      <c r="B74" s="2669" t="s">
        <v>1472</v>
      </c>
      <c r="C74" s="2668"/>
      <c r="D74" s="2667"/>
      <c r="E74" s="2667"/>
      <c r="F74" s="2667"/>
      <c r="G74" s="2667"/>
      <c r="H74" s="2667"/>
      <c r="I74" s="2667"/>
      <c r="J74" s="2667"/>
      <c r="K74" s="2667"/>
      <c r="L74" s="2667"/>
      <c r="M74" s="2667"/>
      <c r="N74" s="2667"/>
      <c r="O74" s="2667"/>
      <c r="P74" s="2667"/>
      <c r="Q74" s="2667"/>
      <c r="R74" s="2233"/>
    </row>
    <row r="75" spans="2:36" ht="15.75" thickBot="1">
      <c r="B75" s="2672" t="s">
        <v>1550</v>
      </c>
      <c r="C75" s="2668"/>
      <c r="D75" s="2667"/>
      <c r="E75" s="2667"/>
      <c r="F75" s="2667"/>
      <c r="G75" s="2667"/>
      <c r="H75" s="2667"/>
      <c r="I75" s="2667"/>
      <c r="J75" s="2667"/>
      <c r="K75" s="2667"/>
      <c r="L75" s="2667"/>
      <c r="M75" s="2667"/>
      <c r="N75" s="2667"/>
      <c r="O75" s="2667"/>
      <c r="P75" s="2667"/>
      <c r="Q75" s="2667"/>
      <c r="R75" s="2233"/>
    </row>
    <row r="76" spans="2:36" ht="15.75" thickBot="1">
      <c r="B76" s="2673" t="str">
        <f>CONCATENATE("Table 27.4.1"," - ", B75)</f>
        <v>Table 27.4.1 - Tariff V</v>
      </c>
      <c r="C76" s="3402"/>
      <c r="D76" s="3403"/>
      <c r="E76" s="3403"/>
      <c r="F76" s="3403"/>
      <c r="G76" s="3403"/>
      <c r="H76" s="3403"/>
      <c r="I76" s="3403"/>
      <c r="J76" s="3403"/>
      <c r="K76" s="3403"/>
      <c r="L76" s="3403"/>
      <c r="M76" s="3403"/>
      <c r="N76" s="3403"/>
      <c r="O76" s="3403"/>
      <c r="P76" s="3403"/>
      <c r="Q76" s="3403"/>
      <c r="R76" s="3404"/>
    </row>
    <row r="77" spans="2:36" ht="15.75" thickBot="1">
      <c r="B77" s="1675" t="str">
        <f>CONCATENATE("Residential customers"," : ", B75)</f>
        <v>Residential customers : Tariff V</v>
      </c>
      <c r="C77" s="2670"/>
      <c r="D77" s="2670"/>
      <c r="E77" s="2670"/>
      <c r="F77" s="2670"/>
      <c r="G77" s="2670"/>
      <c r="H77" s="2670"/>
      <c r="I77" s="2670"/>
      <c r="J77" s="2670"/>
      <c r="K77" s="2670"/>
      <c r="L77" s="2670"/>
      <c r="M77" s="2670"/>
      <c r="N77" s="2670"/>
      <c r="O77" s="2670"/>
      <c r="P77" s="2670"/>
      <c r="Q77" s="2670"/>
      <c r="R77" s="2671"/>
    </row>
    <row r="78" spans="2:36">
      <c r="B78" s="4075" t="s">
        <v>1466</v>
      </c>
      <c r="C78" s="3397" t="s">
        <v>756</v>
      </c>
      <c r="D78" s="1933">
        <v>2212</v>
      </c>
      <c r="E78" s="508">
        <f>D79</f>
        <v>4146</v>
      </c>
      <c r="F78" s="508">
        <f t="shared" ref="F78" si="123">E79</f>
        <v>5499</v>
      </c>
      <c r="G78" s="508">
        <f t="shared" ref="G78" si="124">F79</f>
        <v>6389</v>
      </c>
      <c r="H78" s="508">
        <f t="shared" ref="H78" si="125">G79</f>
        <v>7224</v>
      </c>
      <c r="I78" s="1933">
        <f>+H79</f>
        <v>7887</v>
      </c>
      <c r="J78" s="508">
        <f>I79</f>
        <v>8470</v>
      </c>
      <c r="K78" s="508">
        <f t="shared" ref="K78" si="126">J79</f>
        <v>9024</v>
      </c>
      <c r="L78" s="508">
        <f t="shared" ref="L78" si="127">K79</f>
        <v>9456</v>
      </c>
      <c r="M78" s="508">
        <f t="shared" ref="M78" si="128">L79</f>
        <v>9878.3932307759296</v>
      </c>
      <c r="N78" s="1933">
        <f>+M79</f>
        <v>10389.39323077593</v>
      </c>
      <c r="O78" s="508">
        <f>N79</f>
        <v>10935.780008330337</v>
      </c>
      <c r="P78" s="508">
        <f t="shared" ref="P78" si="129">O79</f>
        <v>11409.1570217731</v>
      </c>
      <c r="Q78" s="508">
        <f t="shared" ref="Q78" si="130">P79</f>
        <v>11828.781316655062</v>
      </c>
      <c r="R78" s="587">
        <f t="shared" ref="R78" si="131">Q79</f>
        <v>12209.115911268598</v>
      </c>
    </row>
    <row r="79" spans="2:36">
      <c r="B79" s="4076"/>
      <c r="C79" s="3398" t="s">
        <v>757</v>
      </c>
      <c r="D79" s="527">
        <v>4146</v>
      </c>
      <c r="E79" s="522">
        <v>5499</v>
      </c>
      <c r="F79" s="522">
        <v>6389</v>
      </c>
      <c r="G79" s="522">
        <v>7224</v>
      </c>
      <c r="H79" s="1934">
        <v>7887</v>
      </c>
      <c r="I79" s="527">
        <v>8470</v>
      </c>
      <c r="J79" s="522">
        <v>9024</v>
      </c>
      <c r="K79" s="522">
        <v>9456</v>
      </c>
      <c r="L79" s="522">
        <f>+L78+L81-L82</f>
        <v>9878.3932307759296</v>
      </c>
      <c r="M79" s="1934">
        <f t="shared" ref="M79" si="132">+M78+M81-M82</f>
        <v>10389.39323077593</v>
      </c>
      <c r="N79" s="527">
        <f t="shared" ref="N79" si="133">+N78+N81-N82</f>
        <v>10935.780008330337</v>
      </c>
      <c r="O79" s="522">
        <f t="shared" ref="O79" si="134">+O78+O81-O82</f>
        <v>11409.1570217731</v>
      </c>
      <c r="P79" s="522">
        <f t="shared" ref="P79" si="135">+P78+P81-P82</f>
        <v>11828.781316655062</v>
      </c>
      <c r="Q79" s="522">
        <f t="shared" ref="Q79" si="136">+Q78+Q81-Q82</f>
        <v>12209.115911268598</v>
      </c>
      <c r="R79" s="535">
        <f t="shared" ref="R79" si="137">+R78+R81-R82</f>
        <v>12400.922079921911</v>
      </c>
    </row>
    <row r="80" spans="2:36">
      <c r="B80" s="4076"/>
      <c r="C80" s="3398" t="s">
        <v>68</v>
      </c>
      <c r="D80" s="401">
        <f>IF(ISERROR(AVERAGE(D78:D79)),0,AVERAGE(D78:D79))</f>
        <v>3179</v>
      </c>
      <c r="E80" s="402">
        <f t="shared" ref="E80:L80" si="138">IF(ISERROR(AVERAGE(E78:E79)),0,AVERAGE(E78:E79))</f>
        <v>4822.5</v>
      </c>
      <c r="F80" s="402">
        <f t="shared" si="138"/>
        <v>5944</v>
      </c>
      <c r="G80" s="402">
        <f t="shared" si="138"/>
        <v>6806.5</v>
      </c>
      <c r="H80" s="505">
        <f t="shared" si="138"/>
        <v>7555.5</v>
      </c>
      <c r="I80" s="401">
        <f t="shared" si="138"/>
        <v>8178.5</v>
      </c>
      <c r="J80" s="402">
        <f t="shared" si="138"/>
        <v>8747</v>
      </c>
      <c r="K80" s="402">
        <f t="shared" si="138"/>
        <v>9240</v>
      </c>
      <c r="L80" s="402">
        <f t="shared" si="138"/>
        <v>9667.1966153879657</v>
      </c>
      <c r="M80" s="3442">
        <v>10159.745681429251</v>
      </c>
      <c r="N80" s="3443">
        <v>10706.132458983659</v>
      </c>
      <c r="O80" s="3444">
        <v>11179.509472426422</v>
      </c>
      <c r="P80" s="3444">
        <v>11599.133767308384</v>
      </c>
      <c r="Q80" s="3444">
        <v>11979.468361921919</v>
      </c>
      <c r="R80" s="3442">
        <v>12171.274530575232</v>
      </c>
    </row>
    <row r="81" spans="2:18">
      <c r="B81" s="4076"/>
      <c r="C81" s="3398" t="s">
        <v>69</v>
      </c>
      <c r="D81" s="527">
        <f>+D79-D78+D82</f>
        <v>1934</v>
      </c>
      <c r="E81" s="522">
        <f t="shared" ref="E81" si="139">+E79-E78+E82</f>
        <v>1353</v>
      </c>
      <c r="F81" s="522">
        <f t="shared" ref="F81" si="140">+F79-F78+F82</f>
        <v>890</v>
      </c>
      <c r="G81" s="522">
        <f t="shared" ref="G81" si="141">+G79-G78+G82</f>
        <v>837</v>
      </c>
      <c r="H81" s="1934">
        <f t="shared" ref="H81" si="142">+H79-H78+H82</f>
        <v>666</v>
      </c>
      <c r="I81" s="527">
        <f t="shared" ref="I81" si="143">+I79-I78+I82</f>
        <v>586</v>
      </c>
      <c r="J81" s="522">
        <f t="shared" ref="J81" si="144">+J79-J78+J82</f>
        <v>558</v>
      </c>
      <c r="K81" s="522">
        <f t="shared" ref="K81" si="145">+K79-K78+K82</f>
        <v>439</v>
      </c>
      <c r="L81" s="522">
        <v>427.44990111771574</v>
      </c>
      <c r="M81" s="1934">
        <v>516.22954796030876</v>
      </c>
      <c r="N81" s="527">
        <v>551.73350888706716</v>
      </c>
      <c r="O81" s="522">
        <v>478.84963010559062</v>
      </c>
      <c r="P81" s="522">
        <v>425.22482697098098</v>
      </c>
      <c r="Q81" s="522">
        <v>386.06552682658031</v>
      </c>
      <c r="R81" s="535">
        <v>197.67035879477066</v>
      </c>
    </row>
    <row r="82" spans="2:18" ht="13.5" thickBot="1">
      <c r="B82" s="4077"/>
      <c r="C82" s="1927" t="s">
        <v>58</v>
      </c>
      <c r="D82" s="1935">
        <v>0</v>
      </c>
      <c r="E82" s="1936">
        <v>0</v>
      </c>
      <c r="F82" s="1936">
        <v>0</v>
      </c>
      <c r="G82" s="1936">
        <v>2</v>
      </c>
      <c r="H82" s="1937">
        <v>3</v>
      </c>
      <c r="I82" s="1935">
        <v>3</v>
      </c>
      <c r="J82" s="1936">
        <v>4</v>
      </c>
      <c r="K82" s="1936">
        <v>7</v>
      </c>
      <c r="L82" s="1936">
        <v>5.0566703417861083</v>
      </c>
      <c r="M82" s="1937">
        <v>5.2295479603087101</v>
      </c>
      <c r="N82" s="1935">
        <v>5.3467313326595045</v>
      </c>
      <c r="O82" s="1936">
        <v>5.4726166628274173</v>
      </c>
      <c r="P82" s="1936">
        <v>5.6005320890192003</v>
      </c>
      <c r="Q82" s="1936">
        <v>5.7309322130443272</v>
      </c>
      <c r="R82" s="3406">
        <v>5.8641901414578097</v>
      </c>
    </row>
    <row r="83" spans="2:18" ht="15.75" thickBot="1">
      <c r="B83" s="1675" t="str">
        <f>CONCATENATE("Commercial/industrial customers"," : ",B75)</f>
        <v>Commercial/industrial customers : Tariff V</v>
      </c>
      <c r="C83" s="2670"/>
      <c r="D83" s="2670"/>
      <c r="E83" s="2670"/>
      <c r="F83" s="2670"/>
      <c r="G83" s="2670"/>
      <c r="H83" s="2670"/>
      <c r="I83" s="2670"/>
      <c r="J83" s="2670"/>
      <c r="K83" s="2670"/>
      <c r="L83" s="2670"/>
      <c r="M83" s="2670"/>
      <c r="N83" s="2670"/>
      <c r="O83" s="2670"/>
      <c r="P83" s="2670"/>
      <c r="Q83" s="2670"/>
      <c r="R83" s="2671"/>
    </row>
    <row r="84" spans="2:18">
      <c r="B84" s="4075" t="s">
        <v>1467</v>
      </c>
      <c r="C84" s="3397" t="s">
        <v>756</v>
      </c>
      <c r="D84" s="1933">
        <v>69</v>
      </c>
      <c r="E84" s="508">
        <f>D85</f>
        <v>93</v>
      </c>
      <c r="F84" s="508">
        <f t="shared" ref="F84" si="146">E85</f>
        <v>123</v>
      </c>
      <c r="G84" s="508">
        <f t="shared" ref="G84" si="147">F85</f>
        <v>151</v>
      </c>
      <c r="H84" s="508">
        <f t="shared" ref="H84" si="148">G85</f>
        <v>176</v>
      </c>
      <c r="I84" s="1933">
        <f>+H85</f>
        <v>193</v>
      </c>
      <c r="J84" s="508">
        <f>I85</f>
        <v>206</v>
      </c>
      <c r="K84" s="508">
        <f t="shared" ref="K84" si="149">J85</f>
        <v>224</v>
      </c>
      <c r="L84" s="508">
        <f t="shared" ref="L84" si="150">K85</f>
        <v>242</v>
      </c>
      <c r="M84" s="508">
        <f t="shared" ref="M84" si="151">L85</f>
        <v>266.84007085796918</v>
      </c>
      <c r="N84" s="1933">
        <f>+M85</f>
        <v>278.84007085796918</v>
      </c>
      <c r="O84" s="508">
        <f>N85</f>
        <v>283.59865320240255</v>
      </c>
      <c r="P84" s="508">
        <f t="shared" ref="P84" si="152">O85</f>
        <v>288.4977671458409</v>
      </c>
      <c r="Q84" s="508">
        <f t="shared" ref="Q84" si="153">P85</f>
        <v>292.76186158732139</v>
      </c>
      <c r="R84" s="587">
        <f t="shared" ref="R84" si="154">Q85</f>
        <v>296.55948784178349</v>
      </c>
    </row>
    <row r="85" spans="2:18">
      <c r="B85" s="4076"/>
      <c r="C85" s="3398" t="s">
        <v>757</v>
      </c>
      <c r="D85" s="527">
        <v>93</v>
      </c>
      <c r="E85" s="522">
        <v>123</v>
      </c>
      <c r="F85" s="522">
        <v>151</v>
      </c>
      <c r="G85" s="522">
        <v>176</v>
      </c>
      <c r="H85" s="1934">
        <v>193</v>
      </c>
      <c r="I85" s="527">
        <v>206</v>
      </c>
      <c r="J85" s="522">
        <v>224</v>
      </c>
      <c r="K85" s="522">
        <v>242</v>
      </c>
      <c r="L85" s="522">
        <f>+L84+L87-L88</f>
        <v>266.84007085796918</v>
      </c>
      <c r="M85" s="1934">
        <f t="shared" ref="M85" si="155">+M84+M87-M88</f>
        <v>278.84007085796918</v>
      </c>
      <c r="N85" s="527">
        <f t="shared" ref="N85" si="156">+N84+N87-N88</f>
        <v>283.59865320240255</v>
      </c>
      <c r="O85" s="522">
        <f t="shared" ref="O85" si="157">+O84+O87-O88</f>
        <v>288.4977671458409</v>
      </c>
      <c r="P85" s="522">
        <f t="shared" ref="P85" si="158">+P84+P87-P88</f>
        <v>292.76186158732139</v>
      </c>
      <c r="Q85" s="522">
        <f t="shared" ref="Q85" si="159">+Q84+Q87-Q88</f>
        <v>296.55948784178349</v>
      </c>
      <c r="R85" s="535">
        <f t="shared" ref="R85" si="160">+R84+R87-R88</f>
        <v>298.51596580135072</v>
      </c>
    </row>
    <row r="86" spans="2:18">
      <c r="B86" s="4076"/>
      <c r="C86" s="3398" t="s">
        <v>68</v>
      </c>
      <c r="D86" s="401">
        <f>IF(ISERROR(AVERAGE(D84:D85)),0,AVERAGE(D84:D85))</f>
        <v>81</v>
      </c>
      <c r="E86" s="402">
        <f t="shared" ref="E86:L86" si="161">IF(ISERROR(AVERAGE(E84:E85)),0,AVERAGE(E84:E85))</f>
        <v>108</v>
      </c>
      <c r="F86" s="402">
        <f t="shared" si="161"/>
        <v>137</v>
      </c>
      <c r="G86" s="402">
        <f t="shared" si="161"/>
        <v>163.5</v>
      </c>
      <c r="H86" s="505">
        <f t="shared" si="161"/>
        <v>184.5</v>
      </c>
      <c r="I86" s="401">
        <f t="shared" si="161"/>
        <v>199.5</v>
      </c>
      <c r="J86" s="402">
        <f t="shared" si="161"/>
        <v>215</v>
      </c>
      <c r="K86" s="402">
        <f t="shared" si="161"/>
        <v>233</v>
      </c>
      <c r="L86" s="402">
        <f t="shared" si="161"/>
        <v>254.42003542898459</v>
      </c>
      <c r="M86" s="3442">
        <v>267.83155855235555</v>
      </c>
      <c r="N86" s="3443">
        <v>272.59014089678891</v>
      </c>
      <c r="O86" s="3444">
        <v>277.48925484022726</v>
      </c>
      <c r="P86" s="3444">
        <v>281.75334928170776</v>
      </c>
      <c r="Q86" s="3444">
        <v>285.55097553616986</v>
      </c>
      <c r="R86" s="3442">
        <v>287.50745349573708</v>
      </c>
    </row>
    <row r="87" spans="2:18">
      <c r="B87" s="4076"/>
      <c r="C87" s="3398" t="s">
        <v>69</v>
      </c>
      <c r="D87" s="527">
        <f>+D85-D84+D88</f>
        <v>24</v>
      </c>
      <c r="E87" s="522">
        <f t="shared" ref="E87" si="162">+E85-E84+E88</f>
        <v>30</v>
      </c>
      <c r="F87" s="522">
        <f t="shared" ref="F87" si="163">+F85-F84+F88</f>
        <v>28</v>
      </c>
      <c r="G87" s="522">
        <f t="shared" ref="G87" si="164">+G85-G84+G88</f>
        <v>25</v>
      </c>
      <c r="H87" s="1934">
        <f t="shared" ref="H87" si="165">+H85-H84+H88</f>
        <v>18</v>
      </c>
      <c r="I87" s="527">
        <f t="shared" ref="I87" si="166">+I85-I84+I88</f>
        <v>13</v>
      </c>
      <c r="J87" s="522">
        <f t="shared" ref="J87" si="167">+J85-J84+J88</f>
        <v>19</v>
      </c>
      <c r="K87" s="522">
        <f t="shared" ref="K87" si="168">+K85-K84+K88</f>
        <v>19</v>
      </c>
      <c r="L87" s="522">
        <v>25.398894387380974</v>
      </c>
      <c r="M87" s="1934">
        <v>12.535294117647059</v>
      </c>
      <c r="N87" s="527">
        <v>5.2931985904854679</v>
      </c>
      <c r="O87" s="522">
        <v>5.439539233947003</v>
      </c>
      <c r="P87" s="522">
        <v>4.8104552565437748</v>
      </c>
      <c r="Q87" s="522">
        <v>4.3500378888919009</v>
      </c>
      <c r="R87" s="535">
        <v>2.5150730210452279</v>
      </c>
    </row>
    <row r="88" spans="2:18" ht="13.5" thickBot="1">
      <c r="B88" s="4077"/>
      <c r="C88" s="1927" t="s">
        <v>58</v>
      </c>
      <c r="D88" s="1935">
        <v>0</v>
      </c>
      <c r="E88" s="1936">
        <v>0</v>
      </c>
      <c r="F88" s="1936">
        <v>0</v>
      </c>
      <c r="G88" s="1936">
        <v>0</v>
      </c>
      <c r="H88" s="1937">
        <v>1</v>
      </c>
      <c r="I88" s="1935">
        <v>0</v>
      </c>
      <c r="J88" s="1936">
        <v>1</v>
      </c>
      <c r="K88" s="1936">
        <v>1</v>
      </c>
      <c r="L88" s="1936">
        <v>0.55882352941176472</v>
      </c>
      <c r="M88" s="1937">
        <v>0.53529411764705881</v>
      </c>
      <c r="N88" s="1935">
        <v>0.53461624605210412</v>
      </c>
      <c r="O88" s="1936">
        <v>0.54042529050865162</v>
      </c>
      <c r="P88" s="1936">
        <v>0.5463608150632796</v>
      </c>
      <c r="Q88" s="1936">
        <v>0.55241163442979835</v>
      </c>
      <c r="R88" s="3406">
        <v>0.55859506147800453</v>
      </c>
    </row>
    <row r="89" spans="2:18">
      <c r="B89" s="2668"/>
      <c r="C89" s="2667"/>
      <c r="D89" s="2667"/>
      <c r="E89" s="2667"/>
      <c r="F89" s="2667"/>
      <c r="G89" s="2667"/>
      <c r="H89" s="2667"/>
      <c r="I89" s="2667"/>
      <c r="J89" s="2667"/>
      <c r="K89" s="2667"/>
      <c r="L89" s="2667"/>
      <c r="M89" s="2667"/>
      <c r="N89" s="2667"/>
      <c r="O89" s="2667"/>
      <c r="P89" s="2667"/>
      <c r="Q89" s="2667"/>
      <c r="R89" s="2233"/>
    </row>
    <row r="90" spans="2:18" ht="13.5" thickBot="1">
      <c r="B90" s="2668"/>
      <c r="C90" s="2667"/>
      <c r="D90" s="2667"/>
      <c r="E90" s="2667"/>
      <c r="F90" s="2667"/>
      <c r="G90" s="2667"/>
      <c r="H90" s="2667"/>
      <c r="I90" s="2667"/>
      <c r="J90" s="2667"/>
      <c r="K90" s="2667"/>
      <c r="L90" s="2667"/>
      <c r="M90" s="2667"/>
      <c r="N90" s="2667"/>
      <c r="O90" s="2667"/>
      <c r="P90" s="2667"/>
      <c r="Q90" s="2667"/>
      <c r="R90" s="3410"/>
    </row>
    <row r="91" spans="2:18" ht="15.75" thickBot="1">
      <c r="B91" s="3401" t="s">
        <v>1474</v>
      </c>
      <c r="C91" s="2666"/>
      <c r="D91" s="3399"/>
      <c r="E91" s="3399"/>
      <c r="F91" s="3399"/>
      <c r="G91" s="3399"/>
      <c r="H91" s="3399"/>
      <c r="I91" s="3399"/>
      <c r="J91" s="3399"/>
      <c r="K91" s="3399"/>
      <c r="L91" s="3399"/>
      <c r="M91" s="3399"/>
      <c r="N91" s="3399"/>
      <c r="O91" s="3399"/>
      <c r="P91" s="3399"/>
      <c r="Q91" s="3399"/>
      <c r="R91" s="3400"/>
    </row>
    <row r="92" spans="2:18" ht="15.75" thickBot="1">
      <c r="B92" s="2669" t="s">
        <v>1475</v>
      </c>
      <c r="C92" s="2668"/>
      <c r="D92" s="2667"/>
      <c r="E92" s="2667"/>
      <c r="F92" s="2667"/>
      <c r="G92" s="2667"/>
      <c r="H92" s="2667"/>
      <c r="I92" s="2667"/>
      <c r="J92" s="2667"/>
      <c r="K92" s="2667"/>
      <c r="L92" s="2667"/>
      <c r="M92" s="2667"/>
      <c r="N92" s="2667"/>
      <c r="O92" s="2667"/>
      <c r="P92" s="2667"/>
      <c r="Q92" s="2667"/>
      <c r="R92" s="2233"/>
    </row>
    <row r="93" spans="2:18" ht="15.75" thickBot="1">
      <c r="B93" s="2672" t="s">
        <v>1551</v>
      </c>
      <c r="C93" s="2668"/>
      <c r="D93" s="2667"/>
      <c r="E93" s="2667"/>
      <c r="F93" s="2667"/>
      <c r="G93" s="2667"/>
      <c r="H93" s="2667"/>
      <c r="I93" s="2667"/>
      <c r="J93" s="2667"/>
      <c r="K93" s="2667"/>
      <c r="L93" s="2667"/>
      <c r="M93" s="2667"/>
      <c r="N93" s="2667"/>
      <c r="O93" s="2667"/>
      <c r="P93" s="2667"/>
      <c r="Q93" s="2667"/>
      <c r="R93" s="2233"/>
    </row>
    <row r="94" spans="2:18" ht="15.75" thickBot="1">
      <c r="B94" s="2673" t="str">
        <f>CONCATENATE("Table 27.4.1"," - ", B93)</f>
        <v>Table 27.4.1 - MHQ customers</v>
      </c>
      <c r="C94" s="3402"/>
      <c r="D94" s="3403"/>
      <c r="E94" s="3403"/>
      <c r="F94" s="3403"/>
      <c r="G94" s="3403"/>
      <c r="H94" s="3403"/>
      <c r="I94" s="3403"/>
      <c r="J94" s="3403"/>
      <c r="K94" s="3403"/>
      <c r="L94" s="3403"/>
      <c r="M94" s="3403"/>
      <c r="N94" s="3403"/>
      <c r="O94" s="3403"/>
      <c r="P94" s="3403"/>
      <c r="Q94" s="3403"/>
      <c r="R94" s="3404"/>
    </row>
    <row r="95" spans="2:18" ht="15.75" thickBot="1">
      <c r="B95" s="1675" t="str">
        <f>CONCATENATE("Commercial/industrial customers"," : ",B93)</f>
        <v>Commercial/industrial customers : MHQ customers</v>
      </c>
      <c r="C95" s="2670"/>
      <c r="D95" s="2670"/>
      <c r="E95" s="2670"/>
      <c r="F95" s="2670"/>
      <c r="G95" s="2670"/>
      <c r="H95" s="2670"/>
      <c r="I95" s="2670"/>
      <c r="J95" s="2670"/>
      <c r="K95" s="2670"/>
      <c r="L95" s="2670"/>
      <c r="M95" s="2670"/>
      <c r="N95" s="2670"/>
      <c r="O95" s="2670"/>
      <c r="P95" s="2670"/>
      <c r="Q95" s="2670"/>
      <c r="R95" s="2671"/>
    </row>
    <row r="96" spans="2:18">
      <c r="B96" s="4075" t="s">
        <v>1476</v>
      </c>
      <c r="C96" s="3397" t="s">
        <v>756</v>
      </c>
      <c r="D96" s="1933">
        <v>285</v>
      </c>
      <c r="E96" s="508">
        <f>D97</f>
        <v>287</v>
      </c>
      <c r="F96" s="508">
        <f t="shared" ref="F96:H96" si="169">E97</f>
        <v>283</v>
      </c>
      <c r="G96" s="508">
        <f t="shared" si="169"/>
        <v>271</v>
      </c>
      <c r="H96" s="508">
        <f t="shared" si="169"/>
        <v>256</v>
      </c>
      <c r="I96" s="1933">
        <f>+H97</f>
        <v>259</v>
      </c>
      <c r="J96" s="508">
        <f>I97</f>
        <v>251</v>
      </c>
      <c r="K96" s="508">
        <f t="shared" ref="K96:M96" si="170">J97</f>
        <v>252</v>
      </c>
      <c r="L96" s="508">
        <f t="shared" si="170"/>
        <v>247</v>
      </c>
      <c r="M96" s="508">
        <f t="shared" si="170"/>
        <v>244</v>
      </c>
      <c r="N96" s="1933">
        <f>+M97</f>
        <v>242</v>
      </c>
      <c r="O96" s="508">
        <f>N97</f>
        <v>239.28571428571468</v>
      </c>
      <c r="P96" s="508">
        <f t="shared" ref="P96:R96" si="171">O97</f>
        <v>236.57142857142844</v>
      </c>
      <c r="Q96" s="508">
        <f t="shared" si="171"/>
        <v>233.85714285714312</v>
      </c>
      <c r="R96" s="587">
        <f t="shared" si="171"/>
        <v>231.14285714285779</v>
      </c>
    </row>
    <row r="97" spans="2:18">
      <c r="B97" s="4076"/>
      <c r="C97" s="3398" t="s">
        <v>757</v>
      </c>
      <c r="D97" s="527">
        <v>287</v>
      </c>
      <c r="E97" s="522">
        <v>283</v>
      </c>
      <c r="F97" s="522">
        <v>271</v>
      </c>
      <c r="G97" s="522">
        <v>256</v>
      </c>
      <c r="H97" s="1934">
        <v>259</v>
      </c>
      <c r="I97" s="527">
        <v>251</v>
      </c>
      <c r="J97" s="522">
        <v>252</v>
      </c>
      <c r="K97" s="522">
        <v>247</v>
      </c>
      <c r="L97" s="522">
        <v>244</v>
      </c>
      <c r="M97" s="1934">
        <f>TREND($G97:$L97,$G$18:$L$18,M18)</f>
        <v>242</v>
      </c>
      <c r="N97" s="527">
        <f>TREND($G97:$L97,$G$18:$L$18,N19)</f>
        <v>239.28571428571468</v>
      </c>
      <c r="O97" s="522">
        <f t="shared" ref="O97:R97" si="172">TREND($G97:$L97,$G$18:$L$18,O19)</f>
        <v>236.57142857142844</v>
      </c>
      <c r="P97" s="522">
        <f t="shared" si="172"/>
        <v>233.85714285714312</v>
      </c>
      <c r="Q97" s="522">
        <f t="shared" si="172"/>
        <v>231.14285714285779</v>
      </c>
      <c r="R97" s="535">
        <f t="shared" si="172"/>
        <v>228.42857142857156</v>
      </c>
    </row>
    <row r="98" spans="2:18">
      <c r="B98" s="4076"/>
      <c r="C98" s="3398" t="s">
        <v>68</v>
      </c>
      <c r="D98" s="401">
        <f>IF(ISERROR(AVERAGE(D96:D97)),0,AVERAGE(D96:D97))</f>
        <v>286</v>
      </c>
      <c r="E98" s="402">
        <f t="shared" ref="E98:R98" si="173">IF(ISERROR(AVERAGE(E96:E97)),0,AVERAGE(E96:E97))</f>
        <v>285</v>
      </c>
      <c r="F98" s="402">
        <f t="shared" si="173"/>
        <v>277</v>
      </c>
      <c r="G98" s="402">
        <f t="shared" si="173"/>
        <v>263.5</v>
      </c>
      <c r="H98" s="505">
        <f t="shared" si="173"/>
        <v>257.5</v>
      </c>
      <c r="I98" s="401">
        <f t="shared" si="173"/>
        <v>255</v>
      </c>
      <c r="J98" s="402">
        <f t="shared" si="173"/>
        <v>251.5</v>
      </c>
      <c r="K98" s="402">
        <f t="shared" si="173"/>
        <v>249.5</v>
      </c>
      <c r="L98" s="402">
        <f t="shared" si="173"/>
        <v>245.5</v>
      </c>
      <c r="M98" s="505">
        <f t="shared" si="173"/>
        <v>243</v>
      </c>
      <c r="N98" s="401">
        <f t="shared" si="173"/>
        <v>240.64285714285734</v>
      </c>
      <c r="O98" s="402">
        <f t="shared" si="173"/>
        <v>237.92857142857156</v>
      </c>
      <c r="P98" s="402">
        <f t="shared" si="173"/>
        <v>235.21428571428578</v>
      </c>
      <c r="Q98" s="402">
        <f t="shared" si="173"/>
        <v>232.50000000000045</v>
      </c>
      <c r="R98" s="505">
        <f t="shared" si="173"/>
        <v>229.78571428571468</v>
      </c>
    </row>
    <row r="99" spans="2:18">
      <c r="B99" s="4076"/>
      <c r="C99" s="3398" t="s">
        <v>69</v>
      </c>
      <c r="D99" s="527">
        <v>7</v>
      </c>
      <c r="E99" s="522">
        <v>0</v>
      </c>
      <c r="F99" s="522">
        <v>2</v>
      </c>
      <c r="G99" s="522">
        <v>2</v>
      </c>
      <c r="H99" s="1934">
        <v>5</v>
      </c>
      <c r="I99" s="527">
        <v>2</v>
      </c>
      <c r="J99" s="522">
        <v>4</v>
      </c>
      <c r="K99" s="522">
        <v>3</v>
      </c>
      <c r="L99" s="522">
        <v>0</v>
      </c>
      <c r="M99" s="1934">
        <f t="shared" ref="M99:R99" si="174">+M97-M96+M100</f>
        <v>5.166666666666667</v>
      </c>
      <c r="N99" s="527">
        <f t="shared" si="174"/>
        <v>4.4523809523813425</v>
      </c>
      <c r="O99" s="522">
        <f t="shared" si="174"/>
        <v>4.452380952380433</v>
      </c>
      <c r="P99" s="522">
        <f t="shared" si="174"/>
        <v>4.4523809523813425</v>
      </c>
      <c r="Q99" s="522">
        <f t="shared" si="174"/>
        <v>4.4523809523813425</v>
      </c>
      <c r="R99" s="535">
        <f t="shared" si="174"/>
        <v>4.452380952380433</v>
      </c>
    </row>
    <row r="100" spans="2:18" ht="13.5" thickBot="1">
      <c r="B100" s="4077"/>
      <c r="C100" s="1927" t="s">
        <v>58</v>
      </c>
      <c r="D100" s="1935">
        <f>+D96+D99-D97</f>
        <v>5</v>
      </c>
      <c r="E100" s="1936">
        <f t="shared" ref="E100:K100" si="175">+E96+E99-E97</f>
        <v>4</v>
      </c>
      <c r="F100" s="1936">
        <f t="shared" si="175"/>
        <v>14</v>
      </c>
      <c r="G100" s="1936">
        <f t="shared" si="175"/>
        <v>17</v>
      </c>
      <c r="H100" s="1937">
        <f t="shared" si="175"/>
        <v>2</v>
      </c>
      <c r="I100" s="1935">
        <f t="shared" si="175"/>
        <v>10</v>
      </c>
      <c r="J100" s="1936">
        <f t="shared" si="175"/>
        <v>3</v>
      </c>
      <c r="K100" s="1936">
        <f t="shared" si="175"/>
        <v>8</v>
      </c>
      <c r="L100" s="1936">
        <v>3</v>
      </c>
      <c r="M100" s="1937">
        <f>+AVERAGE(G100:L100)</f>
        <v>7.166666666666667</v>
      </c>
      <c r="N100" s="1935">
        <f>+M100</f>
        <v>7.166666666666667</v>
      </c>
      <c r="O100" s="1936">
        <f t="shared" ref="O100:R100" si="176">+N100</f>
        <v>7.166666666666667</v>
      </c>
      <c r="P100" s="1936">
        <f t="shared" si="176"/>
        <v>7.166666666666667</v>
      </c>
      <c r="Q100" s="1936">
        <f t="shared" si="176"/>
        <v>7.166666666666667</v>
      </c>
      <c r="R100" s="3406">
        <f t="shared" si="176"/>
        <v>7.166666666666667</v>
      </c>
    </row>
    <row r="101" spans="2:18" ht="15.75" thickBot="1">
      <c r="B101" s="1675" t="str">
        <f>CONCATENATE("Commercial/industrial customers"," : ",B93)</f>
        <v>Commercial/industrial customers : MHQ customers</v>
      </c>
      <c r="C101" s="2670"/>
      <c r="D101" s="2670"/>
      <c r="E101" s="2670"/>
      <c r="F101" s="2670"/>
      <c r="G101" s="2670"/>
      <c r="H101" s="2670"/>
      <c r="I101" s="2670"/>
      <c r="J101" s="2670"/>
      <c r="K101" s="2670"/>
      <c r="L101" s="2670"/>
      <c r="M101" s="2670"/>
      <c r="N101" s="2670"/>
      <c r="O101" s="2670"/>
      <c r="P101" s="2670"/>
      <c r="Q101" s="2670"/>
      <c r="R101" s="2671"/>
    </row>
    <row r="102" spans="2:18">
      <c r="B102" s="4075" t="s">
        <v>1477</v>
      </c>
      <c r="C102" s="3397" t="s">
        <v>756</v>
      </c>
      <c r="D102" s="1933">
        <v>1</v>
      </c>
      <c r="E102" s="508">
        <f>D103</f>
        <v>1</v>
      </c>
      <c r="F102" s="508">
        <f t="shared" ref="F102:H102" si="177">E103</f>
        <v>9</v>
      </c>
      <c r="G102" s="508">
        <f t="shared" si="177"/>
        <v>9</v>
      </c>
      <c r="H102" s="508">
        <f t="shared" si="177"/>
        <v>10</v>
      </c>
      <c r="I102" s="1933">
        <f>+H103</f>
        <v>14</v>
      </c>
      <c r="J102" s="508">
        <f>I103</f>
        <v>14</v>
      </c>
      <c r="K102" s="508">
        <f t="shared" ref="K102:M102" si="178">J103</f>
        <v>17</v>
      </c>
      <c r="L102" s="508">
        <f t="shared" si="178"/>
        <v>20</v>
      </c>
      <c r="M102" s="508">
        <f t="shared" si="178"/>
        <v>21</v>
      </c>
      <c r="N102" s="1933">
        <f>+M103</f>
        <v>23.600000000000364</v>
      </c>
      <c r="O102" s="508">
        <f>N103</f>
        <v>25.771428571429169</v>
      </c>
      <c r="P102" s="508">
        <f t="shared" ref="P102:R102" si="179">O103</f>
        <v>27.942857142857065</v>
      </c>
      <c r="Q102" s="508">
        <f t="shared" si="179"/>
        <v>30.11428571428587</v>
      </c>
      <c r="R102" s="587">
        <f t="shared" si="179"/>
        <v>32.285714285714675</v>
      </c>
    </row>
    <row r="103" spans="2:18">
      <c r="B103" s="4076"/>
      <c r="C103" s="3398" t="s">
        <v>757</v>
      </c>
      <c r="D103" s="527">
        <v>1</v>
      </c>
      <c r="E103" s="522">
        <v>9</v>
      </c>
      <c r="F103" s="522">
        <v>9</v>
      </c>
      <c r="G103" s="522">
        <v>10</v>
      </c>
      <c r="H103" s="1934">
        <v>14</v>
      </c>
      <c r="I103" s="527">
        <v>14</v>
      </c>
      <c r="J103" s="522">
        <v>17</v>
      </c>
      <c r="K103" s="522">
        <v>20</v>
      </c>
      <c r="L103" s="522">
        <v>21</v>
      </c>
      <c r="M103" s="1934">
        <f>TREND($G103:$L103,$G$18:$L$18,M18)</f>
        <v>23.600000000000364</v>
      </c>
      <c r="N103" s="527">
        <f>TREND($G103:$L103,$G$18:$L$18,N19)</f>
        <v>25.771428571429169</v>
      </c>
      <c r="O103" s="522">
        <f t="shared" ref="O103:R103" si="180">TREND($G103:$L103,$G$18:$L$18,O19)</f>
        <v>27.942857142857065</v>
      </c>
      <c r="P103" s="522">
        <f t="shared" si="180"/>
        <v>30.11428571428587</v>
      </c>
      <c r="Q103" s="522">
        <f t="shared" si="180"/>
        <v>32.285714285714675</v>
      </c>
      <c r="R103" s="535">
        <f t="shared" si="180"/>
        <v>34.457142857143481</v>
      </c>
    </row>
    <row r="104" spans="2:18">
      <c r="B104" s="4076"/>
      <c r="C104" s="3398" t="s">
        <v>68</v>
      </c>
      <c r="D104" s="401">
        <f>IF(ISERROR(AVERAGE(D102:D103)),0,AVERAGE(D102:D103))</f>
        <v>1</v>
      </c>
      <c r="E104" s="402">
        <f t="shared" ref="E104:R104" si="181">IF(ISERROR(AVERAGE(E102:E103)),0,AVERAGE(E102:E103))</f>
        <v>5</v>
      </c>
      <c r="F104" s="402">
        <f t="shared" si="181"/>
        <v>9</v>
      </c>
      <c r="G104" s="402">
        <f t="shared" si="181"/>
        <v>9.5</v>
      </c>
      <c r="H104" s="505">
        <f t="shared" si="181"/>
        <v>12</v>
      </c>
      <c r="I104" s="401">
        <f t="shared" si="181"/>
        <v>14</v>
      </c>
      <c r="J104" s="402">
        <f t="shared" si="181"/>
        <v>15.5</v>
      </c>
      <c r="K104" s="402">
        <f t="shared" si="181"/>
        <v>18.5</v>
      </c>
      <c r="L104" s="402">
        <f t="shared" si="181"/>
        <v>20.5</v>
      </c>
      <c r="M104" s="505">
        <f t="shared" si="181"/>
        <v>22.300000000000182</v>
      </c>
      <c r="N104" s="401">
        <f t="shared" si="181"/>
        <v>24.685714285714766</v>
      </c>
      <c r="O104" s="402">
        <f t="shared" si="181"/>
        <v>26.857142857143117</v>
      </c>
      <c r="P104" s="402">
        <f t="shared" si="181"/>
        <v>29.028571428571468</v>
      </c>
      <c r="Q104" s="402">
        <f t="shared" si="181"/>
        <v>31.200000000000273</v>
      </c>
      <c r="R104" s="505">
        <f t="shared" si="181"/>
        <v>33.371428571429078</v>
      </c>
    </row>
    <row r="105" spans="2:18">
      <c r="B105" s="4076"/>
      <c r="C105" s="3398" t="s">
        <v>69</v>
      </c>
      <c r="D105" s="527">
        <v>0</v>
      </c>
      <c r="E105" s="522">
        <v>8</v>
      </c>
      <c r="F105" s="522">
        <v>0</v>
      </c>
      <c r="G105" s="522">
        <v>1</v>
      </c>
      <c r="H105" s="1934">
        <v>4</v>
      </c>
      <c r="I105" s="527">
        <v>0</v>
      </c>
      <c r="J105" s="522">
        <v>4</v>
      </c>
      <c r="K105" s="522">
        <v>3</v>
      </c>
      <c r="L105" s="522">
        <v>0</v>
      </c>
      <c r="M105" s="1934">
        <f t="shared" ref="M105:R105" si="182">+M103-M102+M106</f>
        <v>2.6000000000003638</v>
      </c>
      <c r="N105" s="527">
        <f t="shared" si="182"/>
        <v>2.1714285714288053</v>
      </c>
      <c r="O105" s="522">
        <f t="shared" si="182"/>
        <v>2.1714285714278958</v>
      </c>
      <c r="P105" s="522">
        <f t="shared" si="182"/>
        <v>2.1714285714288053</v>
      </c>
      <c r="Q105" s="522">
        <f t="shared" si="182"/>
        <v>2.1714285714288053</v>
      </c>
      <c r="R105" s="535">
        <f t="shared" si="182"/>
        <v>2.1714285714288053</v>
      </c>
    </row>
    <row r="106" spans="2:18" ht="13.5" thickBot="1">
      <c r="B106" s="4077"/>
      <c r="C106" s="1927" t="s">
        <v>58</v>
      </c>
      <c r="D106" s="1935">
        <f>+D102+D105-D103</f>
        <v>0</v>
      </c>
      <c r="E106" s="1936">
        <f t="shared" ref="E106:K106" si="183">+E102+E105-E103</f>
        <v>0</v>
      </c>
      <c r="F106" s="1936">
        <f t="shared" si="183"/>
        <v>0</v>
      </c>
      <c r="G106" s="1936">
        <f t="shared" si="183"/>
        <v>0</v>
      </c>
      <c r="H106" s="1937">
        <f t="shared" si="183"/>
        <v>0</v>
      </c>
      <c r="I106" s="1935">
        <f t="shared" si="183"/>
        <v>0</v>
      </c>
      <c r="J106" s="1936">
        <f t="shared" si="183"/>
        <v>1</v>
      </c>
      <c r="K106" s="1936">
        <f t="shared" si="183"/>
        <v>0</v>
      </c>
      <c r="L106" s="1936">
        <v>0</v>
      </c>
      <c r="M106" s="1937">
        <f>ROUND(AVERAGE(G106:L106),0)</f>
        <v>0</v>
      </c>
      <c r="N106" s="1935">
        <f t="shared" ref="N106:R106" si="184">ROUND(AVERAGE(H106:M106),0)</f>
        <v>0</v>
      </c>
      <c r="O106" s="1936">
        <f t="shared" si="184"/>
        <v>0</v>
      </c>
      <c r="P106" s="1936">
        <f t="shared" si="184"/>
        <v>0</v>
      </c>
      <c r="Q106" s="1936">
        <f t="shared" si="184"/>
        <v>0</v>
      </c>
      <c r="R106" s="3406">
        <f t="shared" si="184"/>
        <v>0</v>
      </c>
    </row>
    <row r="107" spans="2:18">
      <c r="B107" s="2668"/>
      <c r="C107" s="2667"/>
      <c r="D107" s="2667"/>
      <c r="E107" s="2667"/>
      <c r="F107" s="2667"/>
      <c r="G107" s="2667"/>
      <c r="H107" s="2667"/>
      <c r="I107" s="2667"/>
      <c r="J107" s="2667"/>
      <c r="K107" s="2667"/>
      <c r="L107" s="2667"/>
      <c r="M107" s="2667"/>
      <c r="N107" s="2667"/>
      <c r="O107" s="2667"/>
      <c r="P107" s="2667"/>
      <c r="Q107" s="2667"/>
      <c r="R107" s="2233"/>
    </row>
    <row r="108" spans="2:18" ht="13.5" thickBot="1">
      <c r="B108" s="2668"/>
      <c r="C108" s="2667"/>
      <c r="D108" s="2667"/>
      <c r="E108" s="2667"/>
      <c r="F108" s="2667"/>
      <c r="G108" s="2667"/>
      <c r="H108" s="2667"/>
      <c r="I108" s="2667"/>
      <c r="J108" s="2667"/>
      <c r="K108" s="2667"/>
      <c r="L108" s="2667"/>
      <c r="M108" s="2667"/>
      <c r="N108" s="2667"/>
      <c r="O108" s="2667"/>
      <c r="P108" s="2667"/>
      <c r="Q108" s="2667"/>
      <c r="R108" s="3410"/>
    </row>
    <row r="109" spans="2:18" ht="15.75" thickBot="1">
      <c r="B109" s="3401" t="s">
        <v>1474</v>
      </c>
      <c r="C109" s="2666"/>
      <c r="D109" s="3399"/>
      <c r="E109" s="3399"/>
      <c r="F109" s="3399"/>
      <c r="G109" s="3399"/>
      <c r="H109" s="3399"/>
      <c r="I109" s="3399"/>
      <c r="J109" s="3399"/>
      <c r="K109" s="3399"/>
      <c r="L109" s="3399"/>
      <c r="M109" s="3399"/>
      <c r="N109" s="3399"/>
      <c r="O109" s="3399"/>
      <c r="P109" s="3399"/>
      <c r="Q109" s="3399"/>
      <c r="R109" s="3400"/>
    </row>
    <row r="110" spans="2:18" ht="15.75" thickBot="1">
      <c r="B110" s="2669" t="s">
        <v>1478</v>
      </c>
      <c r="C110" s="2668"/>
      <c r="D110" s="2667"/>
      <c r="E110" s="2667"/>
      <c r="F110" s="2667"/>
      <c r="G110" s="2667"/>
      <c r="H110" s="2667"/>
      <c r="I110" s="2667"/>
      <c r="J110" s="2667"/>
      <c r="K110" s="2667"/>
      <c r="L110" s="2667"/>
      <c r="M110" s="2667"/>
      <c r="N110" s="2667"/>
      <c r="O110" s="2667"/>
      <c r="P110" s="2667"/>
      <c r="Q110" s="2667"/>
      <c r="R110" s="2233"/>
    </row>
    <row r="111" spans="2:18" ht="15.75" thickBot="1">
      <c r="B111" s="2672" t="s">
        <v>1551</v>
      </c>
      <c r="C111" s="2668"/>
      <c r="D111" s="2667"/>
      <c r="E111" s="2667"/>
      <c r="F111" s="2667"/>
      <c r="G111" s="2667"/>
      <c r="H111" s="2667"/>
      <c r="I111" s="2667"/>
      <c r="J111" s="2667"/>
      <c r="K111" s="2667"/>
      <c r="L111" s="2667"/>
      <c r="M111" s="2667"/>
      <c r="N111" s="2667"/>
      <c r="O111" s="2667"/>
      <c r="P111" s="2667"/>
      <c r="Q111" s="2667"/>
      <c r="R111" s="2233"/>
    </row>
    <row r="112" spans="2:18" ht="15.75" thickBot="1">
      <c r="B112" s="2673" t="str">
        <f>CONCATENATE("Table 27.4.1"," - ", B111)</f>
        <v>Table 27.4.1 - MHQ customers</v>
      </c>
      <c r="C112" s="3402"/>
      <c r="D112" s="3403"/>
      <c r="E112" s="3403"/>
      <c r="F112" s="3403"/>
      <c r="G112" s="3403"/>
      <c r="H112" s="3403"/>
      <c r="I112" s="3403"/>
      <c r="J112" s="3403"/>
      <c r="K112" s="3403"/>
      <c r="L112" s="3403"/>
      <c r="M112" s="3403"/>
      <c r="N112" s="3403"/>
      <c r="O112" s="3403"/>
      <c r="P112" s="3403"/>
      <c r="Q112" s="3403"/>
      <c r="R112" s="3404"/>
    </row>
    <row r="113" spans="2:18" ht="15.75" thickBot="1">
      <c r="B113" s="1675" t="str">
        <f>CONCATENATE("Commercial/industrial customers"," : ",B111)</f>
        <v>Commercial/industrial customers : MHQ customers</v>
      </c>
      <c r="C113" s="2670"/>
      <c r="D113" s="2670"/>
      <c r="E113" s="2670"/>
      <c r="F113" s="2670"/>
      <c r="G113" s="2670"/>
      <c r="H113" s="2670"/>
      <c r="I113" s="2670"/>
      <c r="J113" s="2670"/>
      <c r="K113" s="2670"/>
      <c r="L113" s="2670"/>
      <c r="M113" s="2670"/>
      <c r="N113" s="2670"/>
      <c r="O113" s="2670"/>
      <c r="P113" s="2670"/>
      <c r="Q113" s="2670"/>
      <c r="R113" s="2671"/>
    </row>
    <row r="114" spans="2:18">
      <c r="B114" s="4075" t="s">
        <v>1476</v>
      </c>
      <c r="C114" s="3397" t="s">
        <v>756</v>
      </c>
      <c r="D114" s="1933">
        <v>1</v>
      </c>
      <c r="E114" s="508">
        <f>D115</f>
        <v>1</v>
      </c>
      <c r="F114" s="508">
        <f t="shared" ref="F114:H114" si="185">E115</f>
        <v>1</v>
      </c>
      <c r="G114" s="508">
        <f t="shared" si="185"/>
        <v>1</v>
      </c>
      <c r="H114" s="508">
        <f t="shared" si="185"/>
        <v>2</v>
      </c>
      <c r="I114" s="1933">
        <f>+H115</f>
        <v>2</v>
      </c>
      <c r="J114" s="508">
        <f>I115</f>
        <v>3</v>
      </c>
      <c r="K114" s="508">
        <f t="shared" ref="K114:M114" si="186">J115</f>
        <v>3</v>
      </c>
      <c r="L114" s="508">
        <f t="shared" si="186"/>
        <v>3</v>
      </c>
      <c r="M114" s="508">
        <f t="shared" si="186"/>
        <v>3</v>
      </c>
      <c r="N114" s="1933">
        <f>+M115</f>
        <v>3</v>
      </c>
      <c r="O114" s="508">
        <f>N115</f>
        <v>3</v>
      </c>
      <c r="P114" s="508">
        <f t="shared" ref="P114:R114" si="187">O115</f>
        <v>3</v>
      </c>
      <c r="Q114" s="508">
        <f t="shared" si="187"/>
        <v>3</v>
      </c>
      <c r="R114" s="587">
        <f t="shared" si="187"/>
        <v>3</v>
      </c>
    </row>
    <row r="115" spans="2:18">
      <c r="B115" s="4076"/>
      <c r="C115" s="3398" t="s">
        <v>757</v>
      </c>
      <c r="D115" s="527">
        <v>1</v>
      </c>
      <c r="E115" s="522">
        <v>1</v>
      </c>
      <c r="F115" s="522">
        <v>1</v>
      </c>
      <c r="G115" s="522">
        <v>2</v>
      </c>
      <c r="H115" s="1934">
        <v>2</v>
      </c>
      <c r="I115" s="527">
        <v>3</v>
      </c>
      <c r="J115" s="522">
        <v>3</v>
      </c>
      <c r="K115" s="522">
        <v>3</v>
      </c>
      <c r="L115" s="522">
        <v>3</v>
      </c>
      <c r="M115" s="1934">
        <f>+L115</f>
        <v>3</v>
      </c>
      <c r="N115" s="527">
        <f t="shared" ref="N115:R115" si="188">+M115</f>
        <v>3</v>
      </c>
      <c r="O115" s="522">
        <f t="shared" si="188"/>
        <v>3</v>
      </c>
      <c r="P115" s="522">
        <f t="shared" si="188"/>
        <v>3</v>
      </c>
      <c r="Q115" s="522">
        <f t="shared" si="188"/>
        <v>3</v>
      </c>
      <c r="R115" s="535">
        <f t="shared" si="188"/>
        <v>3</v>
      </c>
    </row>
    <row r="116" spans="2:18">
      <c r="B116" s="4076"/>
      <c r="C116" s="3398" t="s">
        <v>68</v>
      </c>
      <c r="D116" s="401">
        <f>IF(ISERROR(AVERAGE(D114:D115)),0,AVERAGE(D114:D115))</f>
        <v>1</v>
      </c>
      <c r="E116" s="402">
        <f t="shared" ref="E116:R116" si="189">IF(ISERROR(AVERAGE(E114:E115)),0,AVERAGE(E114:E115))</f>
        <v>1</v>
      </c>
      <c r="F116" s="402">
        <f t="shared" si="189"/>
        <v>1</v>
      </c>
      <c r="G116" s="402">
        <f t="shared" si="189"/>
        <v>1.5</v>
      </c>
      <c r="H116" s="505">
        <f t="shared" si="189"/>
        <v>2</v>
      </c>
      <c r="I116" s="401">
        <f t="shared" si="189"/>
        <v>2.5</v>
      </c>
      <c r="J116" s="402">
        <f t="shared" si="189"/>
        <v>3</v>
      </c>
      <c r="K116" s="402">
        <f t="shared" si="189"/>
        <v>3</v>
      </c>
      <c r="L116" s="402">
        <f t="shared" si="189"/>
        <v>3</v>
      </c>
      <c r="M116" s="505">
        <f t="shared" si="189"/>
        <v>3</v>
      </c>
      <c r="N116" s="401">
        <f t="shared" si="189"/>
        <v>3</v>
      </c>
      <c r="O116" s="402">
        <f t="shared" si="189"/>
        <v>3</v>
      </c>
      <c r="P116" s="402">
        <f t="shared" si="189"/>
        <v>3</v>
      </c>
      <c r="Q116" s="402">
        <f t="shared" si="189"/>
        <v>3</v>
      </c>
      <c r="R116" s="505">
        <f t="shared" si="189"/>
        <v>3</v>
      </c>
    </row>
    <row r="117" spans="2:18">
      <c r="B117" s="4076"/>
      <c r="C117" s="3398" t="s">
        <v>69</v>
      </c>
      <c r="D117" s="527">
        <v>0</v>
      </c>
      <c r="E117" s="522">
        <v>0</v>
      </c>
      <c r="F117" s="522">
        <v>0</v>
      </c>
      <c r="G117" s="522">
        <v>1</v>
      </c>
      <c r="H117" s="1934">
        <v>0</v>
      </c>
      <c r="I117" s="527">
        <v>1</v>
      </c>
      <c r="J117" s="522">
        <v>0</v>
      </c>
      <c r="K117" s="522">
        <v>0</v>
      </c>
      <c r="L117" s="522">
        <v>0</v>
      </c>
      <c r="M117" s="1934">
        <f t="shared" ref="M117:R117" si="190">+M115-M114+M118</f>
        <v>0</v>
      </c>
      <c r="N117" s="527">
        <f t="shared" si="190"/>
        <v>0</v>
      </c>
      <c r="O117" s="522">
        <f t="shared" si="190"/>
        <v>0</v>
      </c>
      <c r="P117" s="522">
        <f t="shared" si="190"/>
        <v>0</v>
      </c>
      <c r="Q117" s="522">
        <f t="shared" si="190"/>
        <v>0</v>
      </c>
      <c r="R117" s="535">
        <f t="shared" si="190"/>
        <v>0</v>
      </c>
    </row>
    <row r="118" spans="2:18" ht="13.5" thickBot="1">
      <c r="B118" s="4077"/>
      <c r="C118" s="1927" t="s">
        <v>58</v>
      </c>
      <c r="D118" s="1935">
        <f>+D114+D117-D115</f>
        <v>0</v>
      </c>
      <c r="E118" s="1936">
        <f t="shared" ref="E118:L118" si="191">+E114+E117-E115</f>
        <v>0</v>
      </c>
      <c r="F118" s="1936">
        <f t="shared" si="191"/>
        <v>0</v>
      </c>
      <c r="G118" s="1936">
        <f t="shared" si="191"/>
        <v>0</v>
      </c>
      <c r="H118" s="1937">
        <f t="shared" si="191"/>
        <v>0</v>
      </c>
      <c r="I118" s="1935">
        <f t="shared" si="191"/>
        <v>0</v>
      </c>
      <c r="J118" s="1936">
        <f t="shared" si="191"/>
        <v>0</v>
      </c>
      <c r="K118" s="1936">
        <f t="shared" si="191"/>
        <v>0</v>
      </c>
      <c r="L118" s="1936">
        <f t="shared" si="191"/>
        <v>0</v>
      </c>
      <c r="M118" s="1937">
        <v>0</v>
      </c>
      <c r="N118" s="1935">
        <v>0</v>
      </c>
      <c r="O118" s="1936">
        <v>0</v>
      </c>
      <c r="P118" s="1936">
        <v>0</v>
      </c>
      <c r="Q118" s="1936">
        <v>0</v>
      </c>
      <c r="R118" s="3406">
        <v>0</v>
      </c>
    </row>
    <row r="119" spans="2:18" ht="15.75" thickBot="1">
      <c r="B119" s="1675" t="str">
        <f>CONCATENATE("Commercial/industrial customers"," : ",B111)</f>
        <v>Commercial/industrial customers : MHQ customers</v>
      </c>
      <c r="C119" s="2670"/>
      <c r="D119" s="2670"/>
      <c r="E119" s="2670"/>
      <c r="F119" s="2670"/>
      <c r="G119" s="2670"/>
      <c r="H119" s="2670"/>
      <c r="I119" s="2670"/>
      <c r="J119" s="2670"/>
      <c r="K119" s="2670"/>
      <c r="L119" s="2670"/>
      <c r="M119" s="2670"/>
      <c r="N119" s="2670"/>
      <c r="O119" s="2670"/>
      <c r="P119" s="2670"/>
      <c r="Q119" s="2670"/>
      <c r="R119" s="2671"/>
    </row>
    <row r="120" spans="2:18">
      <c r="B120" s="4075" t="s">
        <v>1477</v>
      </c>
      <c r="C120" s="3397" t="s">
        <v>756</v>
      </c>
      <c r="D120" s="1933">
        <v>0</v>
      </c>
      <c r="E120" s="508">
        <f>D121</f>
        <v>0</v>
      </c>
      <c r="F120" s="508">
        <f t="shared" ref="F120:H120" si="192">E121</f>
        <v>0</v>
      </c>
      <c r="G120" s="508">
        <f t="shared" si="192"/>
        <v>0</v>
      </c>
      <c r="H120" s="508">
        <f t="shared" si="192"/>
        <v>0</v>
      </c>
      <c r="I120" s="1933"/>
      <c r="J120" s="508">
        <f>I121</f>
        <v>0</v>
      </c>
      <c r="K120" s="508">
        <f t="shared" ref="K120:M120" si="193">J121</f>
        <v>0</v>
      </c>
      <c r="L120" s="508">
        <f t="shared" si="193"/>
        <v>0</v>
      </c>
      <c r="M120" s="508">
        <f t="shared" si="193"/>
        <v>0</v>
      </c>
      <c r="N120" s="1933"/>
      <c r="O120" s="508">
        <f>N121</f>
        <v>0</v>
      </c>
      <c r="P120" s="508">
        <f t="shared" ref="P120:R120" si="194">O121</f>
        <v>0</v>
      </c>
      <c r="Q120" s="508">
        <f t="shared" si="194"/>
        <v>0</v>
      </c>
      <c r="R120" s="587">
        <f t="shared" si="194"/>
        <v>0</v>
      </c>
    </row>
    <row r="121" spans="2:18">
      <c r="B121" s="4076"/>
      <c r="C121" s="3398" t="s">
        <v>757</v>
      </c>
      <c r="D121" s="527">
        <v>0</v>
      </c>
      <c r="E121" s="522">
        <v>0</v>
      </c>
      <c r="F121" s="522">
        <v>0</v>
      </c>
      <c r="G121" s="522">
        <v>0</v>
      </c>
      <c r="H121" s="1934">
        <v>0</v>
      </c>
      <c r="I121" s="527">
        <v>0</v>
      </c>
      <c r="J121" s="522">
        <v>0</v>
      </c>
      <c r="K121" s="522">
        <v>0</v>
      </c>
      <c r="L121" s="522">
        <v>0</v>
      </c>
      <c r="M121" s="1934">
        <f>+L121</f>
        <v>0</v>
      </c>
      <c r="N121" s="527">
        <f t="shared" ref="N121:R121" si="195">+M121</f>
        <v>0</v>
      </c>
      <c r="O121" s="522">
        <f t="shared" si="195"/>
        <v>0</v>
      </c>
      <c r="P121" s="522">
        <f t="shared" si="195"/>
        <v>0</v>
      </c>
      <c r="Q121" s="522">
        <f t="shared" si="195"/>
        <v>0</v>
      </c>
      <c r="R121" s="535">
        <f t="shared" si="195"/>
        <v>0</v>
      </c>
    </row>
    <row r="122" spans="2:18">
      <c r="B122" s="4076"/>
      <c r="C122" s="3398" t="s">
        <v>68</v>
      </c>
      <c r="D122" s="401">
        <f>IF(ISERROR(AVERAGE(D120:D121)),0,AVERAGE(D120:D121))</f>
        <v>0</v>
      </c>
      <c r="E122" s="402">
        <f t="shared" ref="E122:R122" si="196">IF(ISERROR(AVERAGE(E120:E121)),0,AVERAGE(E120:E121))</f>
        <v>0</v>
      </c>
      <c r="F122" s="402">
        <f t="shared" si="196"/>
        <v>0</v>
      </c>
      <c r="G122" s="402">
        <f t="shared" si="196"/>
        <v>0</v>
      </c>
      <c r="H122" s="505">
        <f t="shared" si="196"/>
        <v>0</v>
      </c>
      <c r="I122" s="401">
        <f t="shared" si="196"/>
        <v>0</v>
      </c>
      <c r="J122" s="402">
        <f t="shared" si="196"/>
        <v>0</v>
      </c>
      <c r="K122" s="402">
        <f t="shared" si="196"/>
        <v>0</v>
      </c>
      <c r="L122" s="402">
        <f t="shared" si="196"/>
        <v>0</v>
      </c>
      <c r="M122" s="505">
        <f t="shared" si="196"/>
        <v>0</v>
      </c>
      <c r="N122" s="401">
        <f t="shared" si="196"/>
        <v>0</v>
      </c>
      <c r="O122" s="402">
        <f t="shared" si="196"/>
        <v>0</v>
      </c>
      <c r="P122" s="402">
        <f t="shared" si="196"/>
        <v>0</v>
      </c>
      <c r="Q122" s="402">
        <f t="shared" si="196"/>
        <v>0</v>
      </c>
      <c r="R122" s="505">
        <f t="shared" si="196"/>
        <v>0</v>
      </c>
    </row>
    <row r="123" spans="2:18">
      <c r="B123" s="4076"/>
      <c r="C123" s="3398" t="s">
        <v>69</v>
      </c>
      <c r="D123" s="527">
        <v>0</v>
      </c>
      <c r="E123" s="522">
        <v>0</v>
      </c>
      <c r="F123" s="522">
        <v>0</v>
      </c>
      <c r="G123" s="522">
        <v>0</v>
      </c>
      <c r="H123" s="1934">
        <v>0</v>
      </c>
      <c r="I123" s="527">
        <v>0</v>
      </c>
      <c r="J123" s="522">
        <v>0</v>
      </c>
      <c r="K123" s="522">
        <v>0</v>
      </c>
      <c r="L123" s="522">
        <v>0</v>
      </c>
      <c r="M123" s="1934">
        <f t="shared" ref="M123:R123" si="197">+M121-M120+M124</f>
        <v>0</v>
      </c>
      <c r="N123" s="527">
        <f t="shared" si="197"/>
        <v>0</v>
      </c>
      <c r="O123" s="522">
        <f t="shared" si="197"/>
        <v>0</v>
      </c>
      <c r="P123" s="522">
        <f t="shared" si="197"/>
        <v>0</v>
      </c>
      <c r="Q123" s="522">
        <f t="shared" si="197"/>
        <v>0</v>
      </c>
      <c r="R123" s="535">
        <f t="shared" si="197"/>
        <v>0</v>
      </c>
    </row>
    <row r="124" spans="2:18" ht="13.5" thickBot="1">
      <c r="B124" s="4077"/>
      <c r="C124" s="1927" t="s">
        <v>58</v>
      </c>
      <c r="D124" s="1935">
        <v>0</v>
      </c>
      <c r="E124" s="1936">
        <v>0</v>
      </c>
      <c r="F124" s="1936">
        <v>0</v>
      </c>
      <c r="G124" s="1936">
        <v>0</v>
      </c>
      <c r="H124" s="1937">
        <v>0</v>
      </c>
      <c r="I124" s="1935">
        <v>0</v>
      </c>
      <c r="J124" s="1936">
        <v>0</v>
      </c>
      <c r="K124" s="1936">
        <v>0</v>
      </c>
      <c r="L124" s="1936">
        <v>0</v>
      </c>
      <c r="M124" s="1937">
        <v>0</v>
      </c>
      <c r="N124" s="1935">
        <v>0</v>
      </c>
      <c r="O124" s="1936">
        <v>0</v>
      </c>
      <c r="P124" s="1936">
        <v>0</v>
      </c>
      <c r="Q124" s="1936">
        <v>0</v>
      </c>
      <c r="R124" s="3406">
        <v>0</v>
      </c>
    </row>
    <row r="125" spans="2:18" ht="13.5" thickBot="1">
      <c r="B125" s="3402"/>
      <c r="C125" s="3403"/>
      <c r="D125" s="3403"/>
      <c r="E125" s="3403"/>
      <c r="F125" s="3403"/>
      <c r="G125" s="3403"/>
      <c r="H125" s="3403"/>
      <c r="I125" s="3403"/>
      <c r="J125" s="3403"/>
      <c r="K125" s="3403"/>
      <c r="L125" s="3403"/>
      <c r="M125" s="3403"/>
      <c r="N125" s="3403"/>
      <c r="O125" s="3403"/>
      <c r="P125" s="3403"/>
      <c r="Q125" s="3403"/>
      <c r="R125" s="3404"/>
    </row>
    <row r="127" spans="2:18">
      <c r="D127" s="3438"/>
      <c r="E127" s="3438"/>
      <c r="F127" s="3438"/>
      <c r="G127" s="3438"/>
      <c r="H127" s="3438"/>
      <c r="I127" s="3438"/>
      <c r="J127" s="3438"/>
      <c r="K127" s="3438"/>
      <c r="L127" s="3438"/>
      <c r="M127" s="3438"/>
      <c r="N127" s="3438"/>
      <c r="O127" s="3438"/>
      <c r="P127" s="3438"/>
      <c r="Q127" s="3438"/>
      <c r="R127" s="3438"/>
    </row>
    <row r="128" spans="2:18">
      <c r="D128" s="3438"/>
      <c r="E128" s="3438"/>
      <c r="F128" s="3438"/>
      <c r="G128" s="3438"/>
      <c r="H128" s="3438"/>
      <c r="I128" s="3438"/>
      <c r="J128" s="3438"/>
      <c r="K128" s="3438"/>
      <c r="L128" s="3438"/>
      <c r="M128" s="3438"/>
      <c r="N128" s="3438"/>
      <c r="O128" s="3438"/>
      <c r="P128" s="3438"/>
      <c r="Q128" s="3438"/>
      <c r="R128" s="3438"/>
    </row>
    <row r="129" spans="4:19">
      <c r="D129" s="3438"/>
      <c r="E129" s="3438"/>
      <c r="F129" s="3438"/>
      <c r="G129" s="3438"/>
      <c r="H129" s="3438"/>
      <c r="I129" s="3438"/>
      <c r="J129" s="3438"/>
      <c r="K129" s="3438"/>
      <c r="L129" s="3438"/>
      <c r="M129" s="3438"/>
      <c r="N129" s="3438"/>
      <c r="O129" s="3438"/>
      <c r="P129" s="3438"/>
      <c r="Q129" s="3438"/>
      <c r="R129" s="3438"/>
    </row>
    <row r="130" spans="4:19">
      <c r="D130" s="3438"/>
      <c r="E130" s="3438"/>
      <c r="F130" s="3438"/>
      <c r="G130" s="3438"/>
      <c r="H130" s="3438"/>
      <c r="I130" s="3438"/>
      <c r="J130" s="3438"/>
      <c r="K130" s="3438"/>
      <c r="N130" s="3438"/>
      <c r="O130" s="3438"/>
      <c r="P130" s="3438"/>
      <c r="Q130" s="3438"/>
      <c r="R130" s="3438"/>
    </row>
    <row r="131" spans="4:19">
      <c r="D131" s="3438"/>
      <c r="E131" s="3438"/>
      <c r="F131" s="3438"/>
      <c r="G131" s="3438"/>
      <c r="H131" s="3438"/>
      <c r="I131" s="3438"/>
      <c r="J131" s="3438"/>
      <c r="K131" s="3438"/>
      <c r="L131" s="3438"/>
      <c r="M131" s="3438"/>
      <c r="N131" s="3438"/>
      <c r="O131" s="3438"/>
      <c r="P131" s="3438"/>
      <c r="Q131" s="3438"/>
      <c r="R131" s="3438"/>
    </row>
    <row r="132" spans="4:19">
      <c r="D132" s="3438"/>
      <c r="E132" s="3438"/>
      <c r="F132" s="3438"/>
      <c r="G132" s="3438"/>
      <c r="H132" s="3438"/>
      <c r="I132" s="3438"/>
      <c r="J132" s="3438"/>
      <c r="K132" s="3438"/>
      <c r="L132" s="3438"/>
      <c r="M132" s="3438"/>
      <c r="N132" s="3438"/>
      <c r="O132" s="3438"/>
      <c r="P132" s="3438"/>
      <c r="Q132" s="3438"/>
      <c r="R132" s="3438"/>
      <c r="S132" s="3438"/>
    </row>
    <row r="133" spans="4:19">
      <c r="D133" s="3438"/>
      <c r="E133" s="3438"/>
      <c r="F133" s="3438"/>
      <c r="G133" s="3438"/>
      <c r="H133" s="3438"/>
      <c r="I133" s="3438"/>
      <c r="J133" s="3438"/>
      <c r="K133" s="3438"/>
      <c r="L133" s="3438"/>
      <c r="M133" s="3438"/>
      <c r="N133" s="3438"/>
      <c r="O133" s="3438"/>
      <c r="P133" s="3438"/>
      <c r="Q133" s="3438"/>
      <c r="R133" s="3438"/>
    </row>
    <row r="134" spans="4:19">
      <c r="D134" s="3438"/>
      <c r="E134" s="3438"/>
      <c r="F134" s="3438"/>
      <c r="G134" s="3438"/>
      <c r="H134" s="3438"/>
      <c r="I134" s="3438"/>
      <c r="J134" s="3438"/>
      <c r="K134" s="3438"/>
      <c r="L134" s="3438"/>
      <c r="M134" s="3438"/>
      <c r="N134" s="3438"/>
      <c r="O134" s="3438"/>
      <c r="P134" s="3438"/>
      <c r="Q134" s="3438"/>
      <c r="R134" s="3438"/>
    </row>
    <row r="135" spans="4:19">
      <c r="D135" s="3438"/>
      <c r="E135" s="3438"/>
      <c r="F135" s="3438"/>
      <c r="G135" s="3438"/>
      <c r="H135" s="3438"/>
      <c r="I135" s="3438"/>
      <c r="J135" s="3438"/>
      <c r="K135" s="3438"/>
      <c r="L135" s="3438"/>
      <c r="M135" s="3438"/>
      <c r="N135" s="3438"/>
      <c r="O135" s="3438"/>
      <c r="P135" s="3438"/>
      <c r="Q135" s="3438"/>
      <c r="R135" s="3438"/>
    </row>
    <row r="136" spans="4:19">
      <c r="D136" s="3438"/>
      <c r="E136" s="3438"/>
      <c r="F136" s="3438"/>
      <c r="G136" s="3438"/>
      <c r="H136" s="3438"/>
      <c r="I136" s="3438"/>
      <c r="J136" s="3438"/>
      <c r="K136" s="3438"/>
    </row>
    <row r="137" spans="4:19">
      <c r="D137" s="3438"/>
      <c r="E137" s="3438"/>
      <c r="F137" s="3438"/>
      <c r="G137" s="3438"/>
      <c r="H137" s="3438"/>
      <c r="I137" s="3438"/>
      <c r="J137" s="3438"/>
      <c r="K137" s="3438"/>
      <c r="L137" s="3438"/>
      <c r="M137" s="3438"/>
      <c r="N137" s="3438"/>
      <c r="O137" s="3438"/>
      <c r="P137" s="3438"/>
      <c r="Q137" s="3438"/>
      <c r="R137" s="3438"/>
    </row>
    <row r="138" spans="4:19">
      <c r="D138" s="3438"/>
      <c r="E138" s="3438"/>
      <c r="F138" s="3438"/>
      <c r="G138" s="3438"/>
      <c r="H138" s="3438"/>
      <c r="I138" s="3438"/>
      <c r="J138" s="3438"/>
      <c r="K138" s="3438"/>
      <c r="L138" s="3438"/>
      <c r="M138" s="3438"/>
      <c r="N138" s="3438"/>
      <c r="O138" s="3438"/>
      <c r="P138" s="3438"/>
      <c r="Q138" s="3438"/>
      <c r="R138" s="3438"/>
    </row>
    <row r="139" spans="4:19">
      <c r="D139" s="3438"/>
      <c r="E139" s="3438"/>
      <c r="F139" s="3438"/>
      <c r="G139" s="3438"/>
      <c r="H139" s="3438"/>
      <c r="I139" s="3438"/>
      <c r="J139" s="3438"/>
      <c r="K139" s="3438"/>
      <c r="L139" s="3438"/>
      <c r="M139" s="3438"/>
      <c r="N139" s="3438"/>
      <c r="O139" s="3438"/>
      <c r="P139" s="3438"/>
      <c r="Q139" s="3438"/>
      <c r="R139" s="3438"/>
    </row>
    <row r="140" spans="4:19">
      <c r="D140" s="3440"/>
      <c r="E140" s="3440"/>
      <c r="F140" s="3440"/>
      <c r="G140" s="3440"/>
      <c r="H140" s="3440"/>
      <c r="I140" s="3440"/>
      <c r="J140" s="3440"/>
      <c r="K140" s="3440"/>
      <c r="L140" s="3440"/>
      <c r="M140" s="3440"/>
      <c r="N140" s="3440"/>
      <c r="O140" s="3440"/>
      <c r="P140" s="3440"/>
      <c r="Q140" s="3440"/>
      <c r="R140" s="3440"/>
    </row>
    <row r="142" spans="4:19">
      <c r="D142" s="3438"/>
      <c r="E142" s="3438"/>
      <c r="F142" s="3438"/>
      <c r="G142" s="3438"/>
      <c r="H142" s="3438"/>
      <c r="I142" s="3438"/>
      <c r="J142" s="3438"/>
      <c r="K142" s="3438"/>
      <c r="L142" s="3438"/>
      <c r="M142" s="3438"/>
      <c r="N142" s="3438"/>
      <c r="O142" s="3438"/>
      <c r="P142" s="3438"/>
      <c r="Q142" s="3438"/>
      <c r="R142" s="3438"/>
    </row>
    <row r="143" spans="4:19">
      <c r="D143" s="3438"/>
      <c r="E143" s="3438"/>
      <c r="F143" s="3438"/>
      <c r="G143" s="3438"/>
      <c r="H143" s="3438"/>
      <c r="I143" s="3438"/>
      <c r="J143" s="3438"/>
      <c r="K143" s="3438"/>
      <c r="L143" s="3438"/>
      <c r="M143" s="3438"/>
      <c r="N143" s="3438"/>
      <c r="O143" s="3438"/>
      <c r="P143" s="3438"/>
      <c r="Q143" s="3438"/>
      <c r="R143" s="3438"/>
    </row>
    <row r="144" spans="4:19">
      <c r="D144" s="3438"/>
      <c r="E144" s="3438"/>
      <c r="F144" s="3438"/>
      <c r="G144" s="3438"/>
      <c r="H144" s="3438"/>
      <c r="I144" s="3438"/>
      <c r="J144" s="3438"/>
      <c r="K144" s="3438"/>
      <c r="L144" s="3438"/>
      <c r="M144" s="3438"/>
      <c r="N144" s="3438"/>
      <c r="O144" s="3438"/>
      <c r="P144" s="3438"/>
      <c r="Q144" s="3438"/>
      <c r="R144" s="3438"/>
    </row>
    <row r="145" spans="4:18">
      <c r="D145" s="3440"/>
      <c r="E145" s="3440"/>
      <c r="F145" s="3440"/>
      <c r="G145" s="3440"/>
      <c r="H145" s="3440"/>
      <c r="I145" s="3440"/>
      <c r="J145" s="3440"/>
      <c r="K145" s="3440"/>
      <c r="L145" s="3440"/>
      <c r="M145" s="3440"/>
      <c r="N145" s="3440"/>
      <c r="O145" s="3440"/>
      <c r="P145" s="3440"/>
      <c r="Q145" s="3440"/>
      <c r="R145" s="3440"/>
    </row>
  </sheetData>
  <mergeCells count="25">
    <mergeCell ref="B9:F9"/>
    <mergeCell ref="B15:C18"/>
    <mergeCell ref="D15:H15"/>
    <mergeCell ref="B6:F6"/>
    <mergeCell ref="B7:F7"/>
    <mergeCell ref="B11:F11"/>
    <mergeCell ref="B8:F8"/>
    <mergeCell ref="B10:F10"/>
    <mergeCell ref="I15:M15"/>
    <mergeCell ref="N15:R15"/>
    <mergeCell ref="D16:R16"/>
    <mergeCell ref="D17:K17"/>
    <mergeCell ref="L17:R17"/>
    <mergeCell ref="B48:B52"/>
    <mergeCell ref="B60:B64"/>
    <mergeCell ref="B66:B70"/>
    <mergeCell ref="B24:B28"/>
    <mergeCell ref="B30:B34"/>
    <mergeCell ref="B42:B46"/>
    <mergeCell ref="B96:B100"/>
    <mergeCell ref="B102:B106"/>
    <mergeCell ref="B114:B118"/>
    <mergeCell ref="B120:B124"/>
    <mergeCell ref="B78:B82"/>
    <mergeCell ref="B84:B88"/>
  </mergeCells>
  <pageMargins left="0.74803149606299213" right="0.74803149606299213" top="0.98425196850393704" bottom="0.98425196850393704" header="0.51181102362204722" footer="0.51181102362204722"/>
  <pageSetup paperSize="9" scale="37" fitToHeight="0" orientation="landscape"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9" tint="-0.249977111117893"/>
  </sheetPr>
  <dimension ref="A5:E20"/>
  <sheetViews>
    <sheetView showGridLines="0" zoomScaleNormal="100" workbookViewId="0"/>
  </sheetViews>
  <sheetFormatPr defaultRowHeight="12.75"/>
  <cols>
    <col min="1" max="1" width="7" customWidth="1"/>
    <col min="3" max="3" width="4.7109375" customWidth="1"/>
    <col min="5" max="5" width="95" customWidth="1"/>
    <col min="6" max="6" width="24" customWidth="1"/>
  </cols>
  <sheetData>
    <row r="5" spans="1:5" ht="13.5" thickBot="1"/>
    <row r="6" spans="1:5">
      <c r="D6" s="1533"/>
      <c r="E6" s="1534"/>
    </row>
    <row r="7" spans="1:5" ht="25.5" customHeight="1">
      <c r="A7" s="23"/>
      <c r="D7" s="3471" t="s">
        <v>497</v>
      </c>
      <c r="E7" s="3472"/>
    </row>
    <row r="8" spans="1:5" ht="12.75" customHeight="1">
      <c r="A8" s="19"/>
      <c r="D8" s="1535"/>
      <c r="E8" s="1536"/>
    </row>
    <row r="9" spans="1:5" ht="12.75" customHeight="1">
      <c r="A9" s="19"/>
      <c r="D9" s="1537"/>
      <c r="E9" s="1538"/>
    </row>
    <row r="10" spans="1:5" ht="12.75" customHeight="1">
      <c r="A10" s="19"/>
      <c r="D10" s="1544" t="s">
        <v>1</v>
      </c>
      <c r="E10" s="1542"/>
    </row>
    <row r="11" spans="1:5" ht="15">
      <c r="A11" s="19"/>
      <c r="D11" s="1544"/>
      <c r="E11" s="1542"/>
    </row>
    <row r="12" spans="1:5" ht="15">
      <c r="D12" s="1544" t="s">
        <v>72</v>
      </c>
      <c r="E12" s="1543"/>
    </row>
    <row r="13" spans="1:5" ht="30" customHeight="1">
      <c r="D13" s="1545">
        <v>1</v>
      </c>
      <c r="E13" s="1539" t="s">
        <v>498</v>
      </c>
    </row>
    <row r="14" spans="1:5" ht="30" customHeight="1">
      <c r="D14" s="1545">
        <v>2</v>
      </c>
      <c r="E14" s="1539" t="s">
        <v>492</v>
      </c>
    </row>
    <row r="15" spans="1:5" ht="30" customHeight="1">
      <c r="D15" s="1545">
        <v>3</v>
      </c>
      <c r="E15" s="1539" t="s">
        <v>493</v>
      </c>
    </row>
    <row r="16" spans="1:5" ht="30" customHeight="1">
      <c r="D16" s="1545">
        <v>4</v>
      </c>
      <c r="E16" s="1539" t="s">
        <v>494</v>
      </c>
    </row>
    <row r="17" spans="4:5" ht="30" customHeight="1">
      <c r="D17" s="1545">
        <v>5</v>
      </c>
      <c r="E17" s="1539" t="s">
        <v>495</v>
      </c>
    </row>
    <row r="18" spans="4:5" ht="30" customHeight="1">
      <c r="D18" s="1545">
        <v>6</v>
      </c>
      <c r="E18" s="1539" t="s">
        <v>496</v>
      </c>
    </row>
    <row r="19" spans="4:5" ht="13.5" thickBot="1">
      <c r="D19" s="1540"/>
      <c r="E19" s="1541"/>
    </row>
    <row r="20" spans="4:5">
      <c r="D20" s="1532"/>
      <c r="E20" s="1532"/>
    </row>
  </sheetData>
  <mergeCells count="1">
    <mergeCell ref="D7:E7"/>
  </mergeCells>
  <phoneticPr fontId="10" type="noConversion"/>
  <pageMargins left="0.75" right="0.75" top="1" bottom="1" header="0.5" footer="0.5"/>
  <pageSetup paperSize="9" orientation="landscape" r:id="rId1"/>
  <headerFooter alignWithMargins="0"/>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6" tint="0.59999389629810485"/>
    <pageSetUpPr autoPageBreaks="0"/>
  </sheetPr>
  <dimension ref="A1:DP142"/>
  <sheetViews>
    <sheetView showGridLines="0" zoomScale="70" zoomScaleNormal="70" workbookViewId="0">
      <selection activeCell="O22" sqref="O22"/>
    </sheetView>
  </sheetViews>
  <sheetFormatPr defaultColWidth="9.140625" defaultRowHeight="12.75"/>
  <cols>
    <col min="1" max="1" width="16.28515625" style="78" bestFit="1" customWidth="1"/>
    <col min="2" max="2" width="35.5703125" style="95" customWidth="1"/>
    <col min="3" max="4" width="38.140625" style="78" customWidth="1"/>
    <col min="5" max="10" width="15.7109375" style="78" customWidth="1"/>
    <col min="11" max="11" width="15.7109375" style="529" customWidth="1"/>
    <col min="12" max="18" width="15.7109375" style="78" customWidth="1"/>
    <col min="19" max="19" width="14.7109375" customWidth="1"/>
    <col min="20" max="20" width="8.7109375"/>
    <col min="21" max="21" width="12.5703125" bestFit="1" customWidth="1"/>
    <col min="22" max="30" width="8.7109375"/>
    <col min="31" max="119" width="9.140625" style="79"/>
    <col min="120" max="16384" width="9.140625" style="78"/>
  </cols>
  <sheetData>
    <row r="1" spans="1:119"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c r="T1"/>
      <c r="U1"/>
      <c r="V1"/>
      <c r="W1"/>
      <c r="X1"/>
      <c r="Y1"/>
      <c r="Z1"/>
      <c r="AA1"/>
      <c r="AB1"/>
      <c r="AC1"/>
      <c r="AD1"/>
    </row>
    <row r="2" spans="1:119" s="223" customFormat="1" ht="24.95"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s="226"/>
      <c r="S2"/>
      <c r="T2"/>
      <c r="U2"/>
      <c r="V2"/>
      <c r="W2"/>
      <c r="X2"/>
      <c r="Y2"/>
      <c r="Z2"/>
      <c r="AA2"/>
      <c r="AB2"/>
      <c r="AC2"/>
      <c r="AD2"/>
    </row>
    <row r="3" spans="1:119"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s="227"/>
      <c r="S3"/>
      <c r="T3"/>
      <c r="U3"/>
      <c r="V3"/>
      <c r="W3"/>
      <c r="X3"/>
      <c r="Y3"/>
      <c r="Z3"/>
      <c r="AA3"/>
      <c r="AB3"/>
      <c r="AC3"/>
      <c r="AD3"/>
    </row>
    <row r="4" spans="1:119" s="165" customFormat="1" ht="24" customHeight="1">
      <c r="B4" s="10" t="s">
        <v>400</v>
      </c>
      <c r="C4" s="12"/>
      <c r="D4" s="12"/>
      <c r="E4" s="12"/>
      <c r="F4" s="12"/>
      <c r="G4" s="12"/>
      <c r="H4" s="12"/>
      <c r="I4" s="12"/>
      <c r="J4" s="12"/>
      <c r="K4" s="12"/>
      <c r="L4" s="12"/>
      <c r="M4" s="12"/>
      <c r="N4" s="12"/>
      <c r="O4" s="12"/>
      <c r="P4" s="12"/>
      <c r="Q4" s="12"/>
      <c r="R4" s="12"/>
      <c r="S4"/>
      <c r="T4"/>
      <c r="U4"/>
      <c r="V4"/>
      <c r="W4"/>
      <c r="X4"/>
      <c r="Y4"/>
      <c r="Z4"/>
      <c r="AA4"/>
      <c r="AB4"/>
      <c r="AC4"/>
      <c r="AD4"/>
    </row>
    <row r="5" spans="1:119" customFormat="1">
      <c r="K5" s="66"/>
    </row>
    <row r="7" spans="1:119" s="1024" customFormat="1">
      <c r="B7" s="4109" t="s">
        <v>59</v>
      </c>
      <c r="C7" s="4109"/>
      <c r="D7" s="4109"/>
      <c r="E7" s="4109"/>
      <c r="F7" s="4109"/>
      <c r="G7" s="4109"/>
      <c r="S7"/>
      <c r="T7"/>
      <c r="U7"/>
      <c r="V7"/>
      <c r="W7"/>
      <c r="X7"/>
      <c r="Y7"/>
      <c r="Z7"/>
      <c r="AA7"/>
      <c r="AB7"/>
      <c r="AC7"/>
      <c r="AD7"/>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03"/>
      <c r="CE7" s="403"/>
      <c r="CF7" s="403"/>
      <c r="CG7" s="403"/>
      <c r="CH7" s="403"/>
      <c r="CI7" s="403"/>
      <c r="CJ7" s="403"/>
      <c r="CK7" s="403"/>
      <c r="CL7" s="403"/>
      <c r="CM7" s="403"/>
      <c r="CN7" s="403"/>
      <c r="CO7" s="403"/>
      <c r="CP7" s="403"/>
      <c r="CQ7" s="403"/>
      <c r="CR7" s="403"/>
      <c r="CS7" s="403"/>
      <c r="CT7" s="403"/>
      <c r="CU7" s="403"/>
      <c r="CV7" s="403"/>
      <c r="CW7" s="403"/>
      <c r="CX7" s="403"/>
      <c r="CY7" s="403"/>
      <c r="CZ7" s="403"/>
      <c r="DA7" s="403"/>
      <c r="DB7" s="403"/>
      <c r="DC7" s="403"/>
      <c r="DD7" s="403"/>
      <c r="DE7" s="403"/>
      <c r="DF7" s="403"/>
      <c r="DG7" s="403"/>
      <c r="DH7" s="403"/>
      <c r="DI7" s="403"/>
      <c r="DJ7" s="403"/>
      <c r="DK7" s="403"/>
      <c r="DL7" s="403"/>
      <c r="DM7" s="403"/>
      <c r="DN7" s="403"/>
      <c r="DO7" s="403"/>
    </row>
    <row r="8" spans="1:119" s="1024" customFormat="1" ht="30.75" customHeight="1">
      <c r="B8" s="3563" t="s">
        <v>1464</v>
      </c>
      <c r="C8" s="3563"/>
      <c r="D8" s="3563"/>
      <c r="E8" s="3563"/>
      <c r="F8" s="3563"/>
      <c r="G8" s="3563"/>
      <c r="S8"/>
      <c r="T8"/>
      <c r="U8"/>
      <c r="V8"/>
      <c r="W8"/>
      <c r="X8"/>
      <c r="Y8"/>
      <c r="Z8"/>
      <c r="AA8"/>
      <c r="AB8"/>
      <c r="AC8"/>
      <c r="AD8"/>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403"/>
      <c r="BO8" s="403"/>
      <c r="BP8" s="403"/>
      <c r="BQ8" s="403"/>
      <c r="BR8" s="403"/>
      <c r="BS8" s="403"/>
      <c r="BT8" s="403"/>
      <c r="BU8" s="403"/>
      <c r="BV8" s="403"/>
      <c r="BW8" s="403"/>
      <c r="BX8" s="403"/>
      <c r="BY8" s="403"/>
      <c r="BZ8" s="403"/>
      <c r="CA8" s="403"/>
      <c r="CB8" s="403"/>
      <c r="CC8" s="403"/>
      <c r="CD8" s="403"/>
      <c r="CE8" s="403"/>
      <c r="CF8" s="403"/>
      <c r="CG8" s="403"/>
      <c r="CH8" s="403"/>
      <c r="CI8" s="403"/>
      <c r="CJ8" s="403"/>
      <c r="CK8" s="403"/>
      <c r="CL8" s="403"/>
      <c r="CM8" s="403"/>
      <c r="CN8" s="403"/>
      <c r="CO8" s="403"/>
      <c r="CP8" s="403"/>
      <c r="CQ8" s="403"/>
      <c r="CR8" s="403"/>
      <c r="CS8" s="403"/>
      <c r="CT8" s="403"/>
      <c r="CU8" s="403"/>
      <c r="CV8" s="403"/>
      <c r="CW8" s="403"/>
      <c r="CX8" s="403"/>
      <c r="CY8" s="403"/>
      <c r="CZ8" s="403"/>
      <c r="DA8" s="403"/>
      <c r="DB8" s="403"/>
      <c r="DC8" s="403"/>
      <c r="DD8" s="403"/>
      <c r="DE8" s="403"/>
      <c r="DF8" s="403"/>
      <c r="DG8" s="403"/>
      <c r="DH8" s="403"/>
      <c r="DI8" s="403"/>
      <c r="DJ8" s="403"/>
      <c r="DK8" s="403"/>
      <c r="DL8" s="403"/>
      <c r="DM8" s="403"/>
      <c r="DN8" s="403"/>
      <c r="DO8" s="403"/>
    </row>
    <row r="9" spans="1:119" s="1024" customFormat="1" ht="17.25" customHeight="1">
      <c r="B9" s="3563" t="s">
        <v>762</v>
      </c>
      <c r="C9" s="3617"/>
      <c r="D9" s="3617"/>
      <c r="E9" s="3617"/>
      <c r="F9" s="3617"/>
      <c r="G9" s="3617"/>
      <c r="S9" s="1427"/>
      <c r="T9" s="1427"/>
      <c r="U9" s="1427"/>
      <c r="V9" s="1427"/>
      <c r="W9" s="1427"/>
      <c r="X9" s="1427"/>
      <c r="Y9" s="1427"/>
      <c r="Z9" s="1427"/>
      <c r="AA9" s="1427"/>
      <c r="AB9" s="1427"/>
      <c r="AC9" s="1427"/>
      <c r="AD9" s="1427"/>
      <c r="AE9" s="403"/>
      <c r="AF9" s="403"/>
      <c r="AG9" s="403"/>
      <c r="AH9" s="403"/>
      <c r="AI9" s="403"/>
      <c r="AJ9" s="403"/>
      <c r="AK9" s="403"/>
      <c r="AL9" s="403"/>
      <c r="AM9" s="403"/>
      <c r="AN9" s="403"/>
      <c r="AO9" s="403"/>
      <c r="AP9" s="403"/>
      <c r="AQ9" s="403"/>
      <c r="AR9" s="403"/>
      <c r="AS9" s="403"/>
      <c r="AT9" s="403"/>
      <c r="AU9" s="403"/>
      <c r="AV9" s="403"/>
      <c r="AW9" s="403"/>
      <c r="AX9" s="403"/>
      <c r="AY9" s="403"/>
      <c r="AZ9" s="403"/>
      <c r="BA9" s="403"/>
      <c r="BB9" s="403"/>
      <c r="BC9" s="403"/>
      <c r="BD9" s="403"/>
      <c r="BE9" s="403"/>
      <c r="BF9" s="403"/>
      <c r="BG9" s="403"/>
      <c r="BH9" s="403"/>
      <c r="BI9" s="403"/>
      <c r="BJ9" s="403"/>
      <c r="BK9" s="403"/>
      <c r="BL9" s="403"/>
      <c r="BM9" s="403"/>
      <c r="BN9" s="403"/>
      <c r="BO9" s="403"/>
      <c r="BP9" s="403"/>
      <c r="BQ9" s="403"/>
      <c r="BR9" s="403"/>
      <c r="BS9" s="403"/>
      <c r="BT9" s="403"/>
      <c r="BU9" s="403"/>
      <c r="BV9" s="403"/>
      <c r="BW9" s="403"/>
      <c r="BX9" s="403"/>
      <c r="BY9" s="403"/>
      <c r="BZ9" s="403"/>
      <c r="CA9" s="403"/>
      <c r="CB9" s="403"/>
      <c r="CC9" s="403"/>
      <c r="CD9" s="403"/>
      <c r="CE9" s="403"/>
      <c r="CF9" s="403"/>
      <c r="CG9" s="403"/>
      <c r="CH9" s="403"/>
      <c r="CI9" s="403"/>
      <c r="CJ9" s="403"/>
      <c r="CK9" s="403"/>
      <c r="CL9" s="403"/>
      <c r="CM9" s="403"/>
      <c r="CN9" s="403"/>
      <c r="CO9" s="403"/>
      <c r="CP9" s="403"/>
      <c r="CQ9" s="403"/>
      <c r="CR9" s="403"/>
      <c r="CS9" s="403"/>
      <c r="CT9" s="403"/>
      <c r="CU9" s="403"/>
      <c r="CV9" s="403"/>
      <c r="CW9" s="403"/>
      <c r="CX9" s="403"/>
      <c r="CY9" s="403"/>
      <c r="CZ9" s="403"/>
      <c r="DA9" s="403"/>
      <c r="DB9" s="403"/>
      <c r="DC9" s="403"/>
      <c r="DD9" s="403"/>
      <c r="DE9" s="403"/>
      <c r="DF9" s="403"/>
      <c r="DG9" s="403"/>
      <c r="DH9" s="403"/>
      <c r="DI9" s="403"/>
      <c r="DJ9" s="403"/>
      <c r="DK9" s="403"/>
      <c r="DL9" s="403"/>
      <c r="DM9" s="403"/>
      <c r="DN9" s="403"/>
      <c r="DO9" s="403"/>
    </row>
    <row r="10" spans="1:119" s="1024" customFormat="1" ht="18.75" customHeight="1">
      <c r="B10" s="3563" t="s">
        <v>249</v>
      </c>
      <c r="C10" s="3563"/>
      <c r="D10" s="3563"/>
      <c r="E10" s="3563"/>
      <c r="F10" s="3563"/>
      <c r="G10" s="3563"/>
      <c r="S10"/>
      <c r="T10"/>
      <c r="U10"/>
      <c r="V10"/>
      <c r="W10"/>
      <c r="X10"/>
      <c r="Y10"/>
      <c r="Z10"/>
      <c r="AA10"/>
      <c r="AB10"/>
      <c r="AC10"/>
      <c r="AD10"/>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c r="BD10" s="403"/>
      <c r="BE10" s="403"/>
      <c r="BF10" s="403"/>
      <c r="BG10" s="403"/>
      <c r="BH10" s="403"/>
      <c r="BI10" s="403"/>
      <c r="BJ10" s="403"/>
      <c r="BK10" s="403"/>
      <c r="BL10" s="403"/>
      <c r="BM10" s="403"/>
      <c r="BN10" s="403"/>
      <c r="BO10" s="403"/>
      <c r="BP10" s="403"/>
      <c r="BQ10" s="403"/>
      <c r="BR10" s="403"/>
      <c r="BS10" s="403"/>
      <c r="BT10" s="403"/>
      <c r="BU10" s="403"/>
      <c r="BV10" s="403"/>
      <c r="BW10" s="403"/>
      <c r="BX10" s="403"/>
      <c r="BY10" s="403"/>
      <c r="BZ10" s="403"/>
      <c r="CA10" s="403"/>
      <c r="CB10" s="403"/>
      <c r="CC10" s="403"/>
      <c r="CD10" s="403"/>
      <c r="CE10" s="403"/>
      <c r="CF10" s="403"/>
      <c r="CG10" s="403"/>
      <c r="CH10" s="403"/>
      <c r="CI10" s="403"/>
      <c r="CJ10" s="403"/>
      <c r="CK10" s="403"/>
      <c r="CL10" s="403"/>
      <c r="CM10" s="403"/>
      <c r="CN10" s="403"/>
      <c r="CO10" s="403"/>
      <c r="CP10" s="403"/>
      <c r="CQ10" s="403"/>
      <c r="CR10" s="403"/>
      <c r="CS10" s="403"/>
      <c r="CT10" s="403"/>
      <c r="CU10" s="403"/>
      <c r="CV10" s="403"/>
      <c r="CW10" s="403"/>
      <c r="CX10" s="403"/>
      <c r="CY10" s="403"/>
      <c r="CZ10" s="403"/>
      <c r="DA10" s="403"/>
      <c r="DB10" s="403"/>
      <c r="DC10" s="403"/>
      <c r="DD10" s="403"/>
      <c r="DE10" s="403"/>
      <c r="DF10" s="403"/>
      <c r="DG10" s="403"/>
      <c r="DH10" s="403"/>
      <c r="DI10" s="403"/>
      <c r="DJ10" s="403"/>
      <c r="DK10" s="403"/>
      <c r="DL10" s="403"/>
      <c r="DM10" s="403"/>
      <c r="DN10" s="403"/>
      <c r="DO10" s="403"/>
    </row>
    <row r="11" spans="1:119" s="1024" customFormat="1" ht="30" customHeight="1">
      <c r="B11" s="3563" t="s">
        <v>1410</v>
      </c>
      <c r="C11" s="3563"/>
      <c r="D11" s="3617"/>
      <c r="E11" s="3617"/>
      <c r="F11" s="3617"/>
      <c r="G11" s="3617"/>
      <c r="S11"/>
      <c r="T11"/>
      <c r="U11"/>
      <c r="V11"/>
      <c r="W11"/>
      <c r="X11"/>
      <c r="Y11"/>
      <c r="Z11"/>
      <c r="AA11"/>
      <c r="AB11"/>
      <c r="AC11"/>
      <c r="AD11"/>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403"/>
      <c r="BO11" s="403"/>
      <c r="BP11" s="403"/>
      <c r="BQ11" s="403"/>
      <c r="BR11" s="403"/>
      <c r="BS11" s="403"/>
      <c r="BT11" s="403"/>
      <c r="BU11" s="403"/>
      <c r="BV11" s="403"/>
      <c r="BW11" s="403"/>
      <c r="BX11" s="403"/>
      <c r="BY11" s="403"/>
      <c r="BZ11" s="403"/>
      <c r="CA11" s="403"/>
      <c r="CB11" s="403"/>
      <c r="CC11" s="403"/>
      <c r="CD11" s="403"/>
      <c r="CE11" s="403"/>
      <c r="CF11" s="403"/>
      <c r="CG11" s="403"/>
      <c r="CH11" s="403"/>
      <c r="CI11" s="403"/>
      <c r="CJ11" s="403"/>
      <c r="CK11" s="403"/>
      <c r="CL11" s="403"/>
      <c r="CM11" s="403"/>
      <c r="CN11" s="403"/>
      <c r="CO11" s="403"/>
      <c r="CP11" s="403"/>
      <c r="CQ11" s="403"/>
      <c r="CR11" s="403"/>
      <c r="CS11" s="403"/>
      <c r="CT11" s="403"/>
      <c r="CU11" s="403"/>
      <c r="CV11" s="403"/>
      <c r="CW11" s="403"/>
      <c r="CX11" s="403"/>
      <c r="CY11" s="403"/>
      <c r="CZ11" s="403"/>
      <c r="DA11" s="403"/>
      <c r="DB11" s="403"/>
      <c r="DC11" s="403"/>
      <c r="DD11" s="403"/>
      <c r="DE11" s="403"/>
      <c r="DF11" s="403"/>
      <c r="DG11" s="403"/>
      <c r="DH11" s="403"/>
      <c r="DI11" s="403"/>
      <c r="DJ11" s="403"/>
      <c r="DK11" s="403"/>
      <c r="DL11" s="403"/>
      <c r="DM11" s="403"/>
      <c r="DN11" s="403"/>
      <c r="DO11" s="403"/>
    </row>
    <row r="12" spans="1:119" s="70" customFormat="1" ht="33.75" customHeight="1" thickBot="1">
      <c r="N12" s="94"/>
      <c r="O12" s="94"/>
      <c r="P12" s="94"/>
      <c r="Q12" s="94"/>
      <c r="S12"/>
      <c r="T12"/>
      <c r="U12"/>
      <c r="V12"/>
      <c r="W12"/>
      <c r="X12"/>
      <c r="Y12"/>
      <c r="Z12"/>
      <c r="AA12"/>
      <c r="AB12"/>
      <c r="AC12"/>
      <c r="AD12"/>
    </row>
    <row r="13" spans="1:119" s="1427" customFormat="1" ht="32.25" customHeight="1" thickBot="1">
      <c r="A13" s="1429"/>
      <c r="B13" s="972" t="s">
        <v>569</v>
      </c>
      <c r="C13" s="989"/>
      <c r="D13" s="989"/>
      <c r="E13" s="989"/>
      <c r="F13" s="989"/>
      <c r="G13" s="989"/>
      <c r="H13" s="989"/>
      <c r="I13" s="989"/>
      <c r="J13" s="989"/>
      <c r="K13" s="990"/>
      <c r="L13" s="990"/>
      <c r="M13" s="990"/>
      <c r="N13" s="990"/>
      <c r="O13" s="990"/>
      <c r="P13" s="990"/>
      <c r="Q13" s="990"/>
      <c r="R13" s="990"/>
      <c r="S13" s="990"/>
    </row>
    <row r="14" spans="1:119" ht="20.25" customHeight="1">
      <c r="A14" s="79"/>
      <c r="B14" s="4114"/>
      <c r="C14" s="4120" t="s">
        <v>761</v>
      </c>
      <c r="D14" s="4111" t="s">
        <v>70</v>
      </c>
      <c r="E14" s="4110" t="s">
        <v>36</v>
      </c>
      <c r="F14" s="4096"/>
      <c r="G14" s="4096"/>
      <c r="H14" s="4096"/>
      <c r="I14" s="4096"/>
      <c r="J14" s="4078" t="s">
        <v>37</v>
      </c>
      <c r="K14" s="4079"/>
      <c r="L14" s="4079"/>
      <c r="M14" s="4079"/>
      <c r="N14" s="4079"/>
      <c r="O14" s="4080" t="s">
        <v>73</v>
      </c>
      <c r="P14" s="4080"/>
      <c r="Q14" s="4080"/>
      <c r="R14" s="4080"/>
      <c r="S14" s="4108"/>
      <c r="AE14"/>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row>
    <row r="15" spans="1:119">
      <c r="A15" s="79"/>
      <c r="B15" s="4115"/>
      <c r="C15" s="4121"/>
      <c r="D15" s="4112"/>
      <c r="E15" s="4083" t="s">
        <v>366</v>
      </c>
      <c r="F15" s="4083"/>
      <c r="G15" s="4083"/>
      <c r="H15" s="4083"/>
      <c r="I15" s="4083"/>
      <c r="J15" s="4083"/>
      <c r="K15" s="4083"/>
      <c r="L15" s="4083"/>
      <c r="M15" s="4083"/>
      <c r="N15" s="4083"/>
      <c r="O15" s="4083"/>
      <c r="P15" s="4083"/>
      <c r="Q15" s="4083"/>
      <c r="R15" s="4083"/>
      <c r="S15" s="4117"/>
      <c r="AE15"/>
      <c r="AF15" s="78"/>
      <c r="AG15" s="78"/>
      <c r="AH15" s="78"/>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row>
    <row r="16" spans="1:119" s="529" customFormat="1">
      <c r="A16" s="79"/>
      <c r="B16" s="4115"/>
      <c r="C16" s="4121"/>
      <c r="D16" s="4112"/>
      <c r="E16" s="4083" t="s">
        <v>54</v>
      </c>
      <c r="F16" s="4083"/>
      <c r="G16" s="4083"/>
      <c r="H16" s="4083"/>
      <c r="I16" s="4083"/>
      <c r="J16" s="4083"/>
      <c r="K16" s="4083"/>
      <c r="L16" s="4119"/>
      <c r="M16" s="3510" t="s">
        <v>55</v>
      </c>
      <c r="N16" s="4085"/>
      <c r="O16" s="4085"/>
      <c r="P16" s="4085"/>
      <c r="Q16" s="4085"/>
      <c r="R16" s="4085"/>
      <c r="S16" s="4118"/>
      <c r="T16"/>
      <c r="U16"/>
      <c r="V16"/>
      <c r="W16"/>
      <c r="X16"/>
      <c r="Y16"/>
      <c r="Z16"/>
      <c r="AA16"/>
      <c r="AB16"/>
      <c r="AC16"/>
      <c r="AD16"/>
      <c r="AE16"/>
    </row>
    <row r="17" spans="1:120" ht="13.5" thickBot="1">
      <c r="B17" s="4116"/>
      <c r="C17" s="4122"/>
      <c r="D17" s="4113"/>
      <c r="E17" s="1942">
        <f t="array" ref="E17:I17">PRCP</f>
        <v>2008</v>
      </c>
      <c r="F17" s="1027">
        <v>2009</v>
      </c>
      <c r="G17" s="1027">
        <v>2010</v>
      </c>
      <c r="H17" s="1027">
        <v>2011</v>
      </c>
      <c r="I17" s="1027">
        <v>2012</v>
      </c>
      <c r="J17" s="1028">
        <f>CRCP_y1</f>
        <v>2013</v>
      </c>
      <c r="K17" s="1028">
        <f>CRCP_y2</f>
        <v>2014</v>
      </c>
      <c r="L17" s="1028">
        <f>CRCP_y3</f>
        <v>2015</v>
      </c>
      <c r="M17" s="1028">
        <f>CRCP_y4</f>
        <v>2016</v>
      </c>
      <c r="N17" s="1028">
        <f>CRCP_y5</f>
        <v>2017</v>
      </c>
      <c r="O17" s="1027" t="str">
        <f t="array" ref="O17:S17">FRCP</f>
        <v>2018</v>
      </c>
      <c r="P17" s="1027">
        <v>2019</v>
      </c>
      <c r="Q17" s="1027">
        <v>2020</v>
      </c>
      <c r="R17" s="1027">
        <v>2021</v>
      </c>
      <c r="S17" s="1030">
        <v>2022</v>
      </c>
      <c r="AE17"/>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c r="CD17" s="78"/>
      <c r="CE17" s="78"/>
      <c r="CF17" s="78"/>
      <c r="CG17" s="78"/>
      <c r="CH17" s="78"/>
      <c r="CI17" s="78"/>
      <c r="CJ17" s="78"/>
      <c r="CK17" s="78"/>
      <c r="CL17" s="78"/>
      <c r="CM17" s="78"/>
      <c r="CN17" s="78"/>
      <c r="CO17" s="78"/>
      <c r="CP17" s="78"/>
      <c r="CQ17" s="78"/>
      <c r="CR17" s="78"/>
      <c r="CS17" s="78"/>
      <c r="CT17" s="78"/>
      <c r="CU17" s="78"/>
      <c r="CV17" s="78"/>
      <c r="CW17" s="78"/>
      <c r="CX17" s="78"/>
      <c r="CY17" s="78"/>
      <c r="CZ17" s="78"/>
      <c r="DA17" s="78"/>
      <c r="DB17" s="78"/>
      <c r="DC17" s="78"/>
      <c r="DD17" s="78"/>
      <c r="DE17" s="78"/>
      <c r="DF17" s="78"/>
      <c r="DG17" s="78"/>
      <c r="DH17" s="78"/>
      <c r="DI17" s="78"/>
      <c r="DJ17" s="78"/>
      <c r="DK17" s="78"/>
      <c r="DL17" s="78"/>
      <c r="DM17" s="78"/>
      <c r="DN17" s="78"/>
      <c r="DO17" s="78"/>
    </row>
    <row r="18" spans="1:120" s="1427" customFormat="1" ht="25.5" customHeight="1" thickBot="1">
      <c r="A18" s="1429"/>
      <c r="B18" s="858" t="s">
        <v>722</v>
      </c>
      <c r="C18" s="1943"/>
      <c r="D18" s="1943"/>
      <c r="E18" s="859"/>
      <c r="F18" s="859"/>
      <c r="G18" s="859"/>
      <c r="H18" s="859"/>
      <c r="I18" s="859"/>
      <c r="J18" s="859"/>
      <c r="K18" s="859"/>
      <c r="L18" s="859"/>
      <c r="M18" s="859"/>
      <c r="N18" s="859"/>
      <c r="O18" s="859"/>
      <c r="P18" s="859"/>
      <c r="Q18" s="859"/>
      <c r="R18" s="859"/>
      <c r="S18" s="860"/>
    </row>
    <row r="19" spans="1:120" s="1427" customFormat="1" ht="25.5" customHeight="1" thickBot="1">
      <c r="A19" s="1429"/>
      <c r="B19" s="2669" t="str">
        <f>'27. Customer numbers'!B20</f>
        <v>Central</v>
      </c>
      <c r="C19" s="3411"/>
      <c r="D19" s="3412"/>
      <c r="E19" s="3412"/>
      <c r="F19" s="3412"/>
      <c r="G19" s="3412"/>
      <c r="H19" s="3412"/>
      <c r="I19" s="3412"/>
      <c r="J19" s="3412"/>
      <c r="K19" s="3412"/>
      <c r="L19" s="3412"/>
      <c r="M19" s="3412"/>
      <c r="N19" s="3412"/>
      <c r="O19" s="3412"/>
      <c r="P19" s="3412"/>
      <c r="Q19" s="3412"/>
      <c r="R19" s="3412"/>
      <c r="S19" s="3413"/>
    </row>
    <row r="20" spans="1:120" s="1427" customFormat="1" ht="25.5" customHeight="1" thickBot="1">
      <c r="A20" s="1429"/>
      <c r="B20" s="2669" t="str">
        <f>'27. Customer numbers'!B21</f>
        <v>Tariff V</v>
      </c>
      <c r="C20" s="3414"/>
      <c r="D20" s="3415"/>
      <c r="E20" s="3415"/>
      <c r="F20" s="3415"/>
      <c r="G20" s="3415"/>
      <c r="H20" s="3415"/>
      <c r="I20" s="3415"/>
      <c r="J20" s="3415"/>
      <c r="K20" s="3415"/>
      <c r="L20" s="3415"/>
      <c r="M20" s="3415"/>
      <c r="N20" s="3415"/>
      <c r="O20" s="3415"/>
      <c r="P20" s="3415"/>
      <c r="Q20" s="3415"/>
      <c r="R20" s="3415"/>
      <c r="S20" s="3416"/>
    </row>
    <row r="21" spans="1:120" s="1427" customFormat="1" ht="20.25" customHeight="1" thickBot="1">
      <c r="A21" s="1429"/>
      <c r="B21" s="1610" t="s">
        <v>760</v>
      </c>
      <c r="C21" s="1679"/>
      <c r="D21" s="1679"/>
      <c r="E21" s="2009"/>
      <c r="F21" s="2009"/>
      <c r="G21" s="2009"/>
      <c r="H21" s="2009"/>
      <c r="I21" s="2009"/>
      <c r="J21" s="2009"/>
      <c r="K21" s="2009"/>
      <c r="L21" s="2009"/>
      <c r="M21" s="2009"/>
      <c r="N21" s="2009"/>
      <c r="O21" s="2009"/>
      <c r="P21" s="2009"/>
      <c r="Q21" s="2009"/>
      <c r="R21" s="2009"/>
      <c r="S21" s="2018"/>
    </row>
    <row r="22" spans="1:120" s="529" customFormat="1">
      <c r="B22" s="4103" t="str">
        <f>'27. Customer numbers'!B24</f>
        <v>Residential customers</v>
      </c>
      <c r="C22" s="4101" t="s">
        <v>47</v>
      </c>
      <c r="D22" s="4107"/>
      <c r="E22" s="1977">
        <f>'27. Customer numbers'!D26</f>
        <v>407316.5</v>
      </c>
      <c r="F22" s="1978">
        <f>'27. Customer numbers'!E26</f>
        <v>419160</v>
      </c>
      <c r="G22" s="1978">
        <f>'27. Customer numbers'!F26</f>
        <v>432397.5</v>
      </c>
      <c r="H22" s="1978">
        <f>'27. Customer numbers'!G26</f>
        <v>445645.5</v>
      </c>
      <c r="I22" s="2016">
        <f>'27. Customer numbers'!H26</f>
        <v>457292</v>
      </c>
      <c r="J22" s="1977">
        <f>'27. Customer numbers'!I26</f>
        <v>467243.5</v>
      </c>
      <c r="K22" s="1978">
        <f>'27. Customer numbers'!J26</f>
        <v>477410.5</v>
      </c>
      <c r="L22" s="1978">
        <f>'27. Customer numbers'!K26</f>
        <v>488262.5</v>
      </c>
      <c r="M22" s="1978">
        <f>'27. Customer numbers'!L26</f>
        <v>499962.36883944907</v>
      </c>
      <c r="N22" s="2016">
        <f>'27. Customer numbers'!M26</f>
        <v>511863.09600730741</v>
      </c>
      <c r="O22" s="1977">
        <f>'27. Customer numbers'!N26</f>
        <v>524669.58396652713</v>
      </c>
      <c r="P22" s="1978">
        <f>'27. Customer numbers'!O26</f>
        <v>537860.68016767991</v>
      </c>
      <c r="Q22" s="1978">
        <f>'27. Customer numbers'!P26</f>
        <v>551449.57989715005</v>
      </c>
      <c r="R22" s="1978">
        <f>'27. Customer numbers'!Q26</f>
        <v>565449.9676410557</v>
      </c>
      <c r="S22" s="2013">
        <f>'27. Customer numbers'!R26</f>
        <v>578906.42856085475</v>
      </c>
      <c r="T22" s="1427"/>
      <c r="U22" s="1427"/>
      <c r="V22" s="1427"/>
      <c r="W22" s="1427"/>
      <c r="X22" s="1427"/>
      <c r="Y22" s="1427"/>
      <c r="Z22" s="1427"/>
      <c r="AA22" s="1427"/>
      <c r="AB22" s="1427"/>
      <c r="AC22" s="1427"/>
      <c r="AD22" s="1427"/>
      <c r="AE22" s="1427"/>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row>
    <row r="23" spans="1:120" s="529" customFormat="1">
      <c r="B23" s="4104"/>
      <c r="C23" s="1026" t="s">
        <v>1483</v>
      </c>
      <c r="D23" s="983" t="s">
        <v>1479</v>
      </c>
      <c r="E23" s="527">
        <v>4402250.4709999999</v>
      </c>
      <c r="F23" s="522">
        <v>4477347.3236856135</v>
      </c>
      <c r="G23" s="513">
        <v>4661161.3509999998</v>
      </c>
      <c r="H23" s="513">
        <v>4709657.2019999996</v>
      </c>
      <c r="I23" s="702">
        <v>4844779.0559999999</v>
      </c>
      <c r="J23" s="514">
        <v>4860631.9950000001</v>
      </c>
      <c r="K23" s="513">
        <v>4730745.03</v>
      </c>
      <c r="L23" s="513">
        <v>5102535.273</v>
      </c>
      <c r="M23" s="513">
        <v>5175140.2390000001</v>
      </c>
      <c r="N23" s="702">
        <v>5281911.0276755281</v>
      </c>
      <c r="O23" s="514">
        <v>5338265.638390312</v>
      </c>
      <c r="P23" s="513">
        <v>5401897.4584372127</v>
      </c>
      <c r="Q23" s="513">
        <v>5437976.929378503</v>
      </c>
      <c r="R23" s="513">
        <v>5479412.0992079619</v>
      </c>
      <c r="S23" s="464">
        <v>5446442.5098253153</v>
      </c>
      <c r="T23" s="1427"/>
      <c r="U23" s="1427"/>
      <c r="V23" s="1427"/>
      <c r="W23" s="1427"/>
      <c r="X23" s="1427"/>
      <c r="Y23" s="1427"/>
      <c r="Z23" s="1427"/>
      <c r="AA23" s="1427"/>
      <c r="AB23" s="1427"/>
      <c r="AC23" s="1427"/>
      <c r="AD23" s="1427"/>
      <c r="AE23" s="1427"/>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row>
    <row r="24" spans="1:120" s="529" customFormat="1">
      <c r="B24" s="4104"/>
      <c r="C24" s="1026" t="s">
        <v>1484</v>
      </c>
      <c r="D24" s="983" t="s">
        <v>1480</v>
      </c>
      <c r="E24" s="514">
        <v>3461840.2889999999</v>
      </c>
      <c r="F24" s="513">
        <v>3248582.2483229325</v>
      </c>
      <c r="G24" s="513">
        <v>3716457.97</v>
      </c>
      <c r="H24" s="513">
        <v>3423257.37</v>
      </c>
      <c r="I24" s="702">
        <v>3719596.662</v>
      </c>
      <c r="J24" s="514">
        <v>3410488.7239999999</v>
      </c>
      <c r="K24" s="513">
        <v>3491961.2719999999</v>
      </c>
      <c r="L24" s="513">
        <v>3833486.0660000001</v>
      </c>
      <c r="M24" s="513">
        <v>3878355.8130000001</v>
      </c>
      <c r="N24" s="702">
        <v>3913530.9350582096</v>
      </c>
      <c r="O24" s="514">
        <v>3947862.4273412614</v>
      </c>
      <c r="P24" s="513">
        <v>3987401.784485166</v>
      </c>
      <c r="Q24" s="513">
        <v>4006054.0772835324</v>
      </c>
      <c r="R24" s="513">
        <v>4028592.0416935398</v>
      </c>
      <c r="S24" s="464">
        <v>3995904.1374767018</v>
      </c>
      <c r="T24" s="1427"/>
      <c r="U24" s="1427"/>
      <c r="V24" s="1427"/>
      <c r="W24" s="1427"/>
      <c r="X24" s="1427"/>
      <c r="Y24" s="1427"/>
      <c r="Z24" s="1427"/>
      <c r="AA24" s="1427"/>
      <c r="AB24" s="1427"/>
      <c r="AC24" s="1427"/>
      <c r="AD24" s="1427"/>
      <c r="AE24" s="1427"/>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row>
    <row r="25" spans="1:120" s="529" customFormat="1">
      <c r="B25" s="4104"/>
      <c r="C25" s="1026" t="s">
        <v>1485</v>
      </c>
      <c r="D25" s="983" t="s">
        <v>1481</v>
      </c>
      <c r="E25" s="514">
        <v>5429111.7960000001</v>
      </c>
      <c r="F25" s="513">
        <v>4376963.5986523395</v>
      </c>
      <c r="G25" s="513">
        <v>6298252.6260000002</v>
      </c>
      <c r="H25" s="513">
        <v>4647118.3380000005</v>
      </c>
      <c r="I25" s="702">
        <v>5727415.3439999996</v>
      </c>
      <c r="J25" s="514">
        <v>4484036.7189999996</v>
      </c>
      <c r="K25" s="513">
        <v>5034413.0089999996</v>
      </c>
      <c r="L25" s="513">
        <v>6451257.0549999997</v>
      </c>
      <c r="M25" s="513">
        <v>5744575.6030000001</v>
      </c>
      <c r="N25" s="702">
        <v>5672880.7458556173</v>
      </c>
      <c r="O25" s="514">
        <v>5726844.465177347</v>
      </c>
      <c r="P25" s="513">
        <v>5789244.4129983028</v>
      </c>
      <c r="Q25" s="513">
        <v>5821824.5465704435</v>
      </c>
      <c r="R25" s="513">
        <v>5861459.2717931308</v>
      </c>
      <c r="S25" s="464">
        <v>5829693.7120742332</v>
      </c>
      <c r="T25" s="1427"/>
      <c r="U25" s="1427"/>
      <c r="V25" s="1427"/>
      <c r="W25" s="1427"/>
      <c r="X25" s="1427"/>
      <c r="Y25" s="1427"/>
      <c r="Z25" s="1427"/>
      <c r="AA25" s="1427"/>
      <c r="AB25" s="1427"/>
      <c r="AC25" s="1427"/>
      <c r="AD25" s="1427"/>
      <c r="AE25" s="1427"/>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row>
    <row r="26" spans="1:120" s="529" customFormat="1">
      <c r="B26" s="4104"/>
      <c r="C26" s="1026" t="s">
        <v>1486</v>
      </c>
      <c r="D26" s="983" t="s">
        <v>1482</v>
      </c>
      <c r="E26" s="514">
        <v>88387.485000000001</v>
      </c>
      <c r="F26" s="513">
        <v>75171.602527032679</v>
      </c>
      <c r="G26" s="513">
        <v>75468.17</v>
      </c>
      <c r="H26" s="513">
        <v>59060.624000000003</v>
      </c>
      <c r="I26" s="702">
        <v>63687.438999999998</v>
      </c>
      <c r="J26" s="514">
        <v>65162.245999999999</v>
      </c>
      <c r="K26" s="513">
        <v>73846.679999999993</v>
      </c>
      <c r="L26" s="513">
        <v>87376.163</v>
      </c>
      <c r="M26" s="513">
        <v>82963.073000000004</v>
      </c>
      <c r="N26" s="702">
        <v>85097.147702251372</v>
      </c>
      <c r="O26" s="514">
        <v>87712.176359135323</v>
      </c>
      <c r="P26" s="513">
        <v>90508.659123652702</v>
      </c>
      <c r="Q26" s="513">
        <v>92911.144272805759</v>
      </c>
      <c r="R26" s="513">
        <v>95429.793129967773</v>
      </c>
      <c r="S26" s="464">
        <v>96401.297041939542</v>
      </c>
      <c r="T26" s="1427"/>
      <c r="U26" s="1427"/>
      <c r="V26" s="1427"/>
      <c r="W26" s="1427"/>
      <c r="X26" s="1427"/>
      <c r="Y26" s="1427"/>
      <c r="Z26" s="1427"/>
      <c r="AA26" s="1427"/>
      <c r="AB26" s="1427"/>
      <c r="AC26" s="1427"/>
      <c r="AD26" s="1427"/>
      <c r="AE26" s="1427"/>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row>
    <row r="27" spans="1:120" s="529" customFormat="1">
      <c r="B27" s="4104"/>
      <c r="C27" s="3417" t="s">
        <v>1491</v>
      </c>
      <c r="D27" s="983" t="s">
        <v>1487</v>
      </c>
      <c r="E27" s="751">
        <v>6280636.4199999999</v>
      </c>
      <c r="F27" s="752">
        <v>6465953.2153143864</v>
      </c>
      <c r="G27" s="752">
        <v>6320041.1430000002</v>
      </c>
      <c r="H27" s="752">
        <v>6600657.5870000003</v>
      </c>
      <c r="I27" s="3419">
        <v>6739194.4220000003</v>
      </c>
      <c r="J27" s="751">
        <v>6699930.6229999997</v>
      </c>
      <c r="K27" s="752">
        <v>6576150.3399999999</v>
      </c>
      <c r="L27" s="752">
        <v>6916612.3700000001</v>
      </c>
      <c r="M27" s="752">
        <v>6895066.4890000001</v>
      </c>
      <c r="N27" s="3419">
        <v>6949507.9051286159</v>
      </c>
      <c r="O27" s="751">
        <v>6961962.8204893023</v>
      </c>
      <c r="P27" s="752">
        <v>6982690.1605494535</v>
      </c>
      <c r="Q27" s="752">
        <v>6965971.713008685</v>
      </c>
      <c r="R27" s="752">
        <v>6956333.4704504739</v>
      </c>
      <c r="S27" s="3421">
        <v>6862045.649654828</v>
      </c>
      <c r="T27" s="1427"/>
      <c r="U27" s="1427"/>
      <c r="V27" s="1427"/>
      <c r="W27" s="1427"/>
      <c r="X27" s="1427"/>
      <c r="Y27" s="1427"/>
      <c r="Z27" s="1427"/>
      <c r="AA27" s="1427"/>
      <c r="AB27" s="1427"/>
      <c r="AC27" s="1427"/>
      <c r="AD27" s="1427"/>
      <c r="AE27" s="1427"/>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row>
    <row r="28" spans="1:120" s="529" customFormat="1">
      <c r="B28" s="4104"/>
      <c r="C28" s="3417" t="s">
        <v>1492</v>
      </c>
      <c r="D28" s="983" t="s">
        <v>1488</v>
      </c>
      <c r="E28" s="751">
        <v>1652359.1229999999</v>
      </c>
      <c r="F28" s="752">
        <v>1918605.5876770674</v>
      </c>
      <c r="G28" s="752">
        <v>1541953.4169999999</v>
      </c>
      <c r="H28" s="752">
        <v>1720560.558</v>
      </c>
      <c r="I28" s="3419">
        <v>1682480.1969999999</v>
      </c>
      <c r="J28" s="751">
        <v>1689086.9650000001</v>
      </c>
      <c r="K28" s="752">
        <v>1238864.3640000001</v>
      </c>
      <c r="L28" s="752">
        <v>1619561.7320000001</v>
      </c>
      <c r="M28" s="752">
        <v>1554095.2509999999</v>
      </c>
      <c r="N28" s="3419">
        <v>1471375.7617513807</v>
      </c>
      <c r="O28" s="751">
        <v>1458922.6472864188</v>
      </c>
      <c r="P28" s="752">
        <v>1448043.2867235574</v>
      </c>
      <c r="Q28" s="752">
        <v>1428506.1430620768</v>
      </c>
      <c r="R28" s="752">
        <v>1410562.9465510931</v>
      </c>
      <c r="S28" s="3421">
        <v>1375719.4213615963</v>
      </c>
      <c r="T28" s="1427"/>
      <c r="U28" s="1427"/>
      <c r="V28" s="1427"/>
      <c r="W28" s="1427"/>
      <c r="X28" s="1427"/>
      <c r="Y28" s="1427"/>
      <c r="Z28" s="1427"/>
      <c r="AA28" s="1427"/>
      <c r="AB28" s="1427"/>
      <c r="AC28" s="1427"/>
      <c r="AD28" s="1427"/>
      <c r="AE28" s="1427"/>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row>
    <row r="29" spans="1:120" s="529" customFormat="1">
      <c r="B29" s="4104"/>
      <c r="C29" s="3417" t="s">
        <v>1493</v>
      </c>
      <c r="D29" s="983" t="s">
        <v>1489</v>
      </c>
      <c r="E29" s="751">
        <v>872470.49300000002</v>
      </c>
      <c r="F29" s="752">
        <v>1361786.1883476591</v>
      </c>
      <c r="G29" s="752">
        <v>515641.429</v>
      </c>
      <c r="H29" s="752">
        <v>941142.71600000001</v>
      </c>
      <c r="I29" s="3419">
        <v>760489.32200000004</v>
      </c>
      <c r="J29" s="751">
        <v>849195.18799999997</v>
      </c>
      <c r="K29" s="752">
        <v>405634.10800000001</v>
      </c>
      <c r="L29" s="752">
        <v>775505.55200000003</v>
      </c>
      <c r="M29" s="752">
        <v>687249.23800000001</v>
      </c>
      <c r="N29" s="3419">
        <v>631805.13990735216</v>
      </c>
      <c r="O29" s="751">
        <v>626742.49380801304</v>
      </c>
      <c r="P29" s="752">
        <v>622428.16984922439</v>
      </c>
      <c r="Q29" s="752">
        <v>614341.93647269299</v>
      </c>
      <c r="R29" s="752">
        <v>607032.90360114293</v>
      </c>
      <c r="S29" s="3421">
        <v>592563.76437331759</v>
      </c>
      <c r="T29" s="1427"/>
      <c r="U29" s="1427"/>
      <c r="V29" s="1427"/>
      <c r="W29" s="1427"/>
      <c r="X29" s="1427"/>
      <c r="Y29" s="1427"/>
      <c r="Z29" s="1427"/>
      <c r="AA29" s="1427"/>
      <c r="AB29" s="1427"/>
      <c r="AC29" s="1427"/>
      <c r="AD29" s="1427"/>
      <c r="AE29" s="1427"/>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row>
    <row r="30" spans="1:120" s="529" customFormat="1">
      <c r="B30" s="4104"/>
      <c r="C30" s="3417" t="s">
        <v>1494</v>
      </c>
      <c r="D30" s="983" t="s">
        <v>1490</v>
      </c>
      <c r="E30" s="751">
        <v>108098.686</v>
      </c>
      <c r="F30" s="752">
        <v>103835.48047296733</v>
      </c>
      <c r="G30" s="752">
        <v>77079.19</v>
      </c>
      <c r="H30" s="752">
        <v>63483.864999999998</v>
      </c>
      <c r="I30" s="3419">
        <v>60349.004000000001</v>
      </c>
      <c r="J30" s="751">
        <v>65437.358999999997</v>
      </c>
      <c r="K30" s="752">
        <v>74309.513999999996</v>
      </c>
      <c r="L30" s="752">
        <v>74527.061000000002</v>
      </c>
      <c r="M30" s="752">
        <v>71679.269</v>
      </c>
      <c r="N30" s="3419">
        <v>72249.323710769153</v>
      </c>
      <c r="O30" s="751">
        <v>74185.953203473749</v>
      </c>
      <c r="P30" s="752">
        <v>76259.963430849588</v>
      </c>
      <c r="Q30" s="752">
        <v>77969.669230143641</v>
      </c>
      <c r="R30" s="752">
        <v>79759.542249458813</v>
      </c>
      <c r="S30" s="3421">
        <v>80131.233936107776</v>
      </c>
      <c r="T30" s="1427"/>
      <c r="U30" s="1427"/>
      <c r="V30" s="1427"/>
      <c r="W30" s="1427"/>
      <c r="X30" s="1427"/>
      <c r="Y30" s="1427"/>
      <c r="Z30" s="1427"/>
      <c r="AA30" s="1427"/>
      <c r="AB30" s="1427"/>
      <c r="AC30" s="1427"/>
      <c r="AD30" s="1427"/>
      <c r="AE30" s="1427"/>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row>
    <row r="31" spans="1:120" s="529" customFormat="1" ht="13.5" thickBot="1">
      <c r="B31" s="4105"/>
      <c r="C31" s="4099" t="s">
        <v>410</v>
      </c>
      <c r="D31" s="4106"/>
      <c r="E31" s="2012">
        <f>SUM(E23:E30)</f>
        <v>22295154.763</v>
      </c>
      <c r="F31" s="2014">
        <f t="shared" ref="F31:S31" si="0">SUM(F23:F30)</f>
        <v>22028245.245000005</v>
      </c>
      <c r="G31" s="2014">
        <f t="shared" si="0"/>
        <v>23206055.296000004</v>
      </c>
      <c r="H31" s="2014">
        <f t="shared" si="0"/>
        <v>22164938.259999994</v>
      </c>
      <c r="I31" s="2017">
        <f t="shared" si="0"/>
        <v>23597991.446000002</v>
      </c>
      <c r="J31" s="2012">
        <f t="shared" si="0"/>
        <v>22123969.819000002</v>
      </c>
      <c r="K31" s="2014">
        <f t="shared" si="0"/>
        <v>21625924.316999998</v>
      </c>
      <c r="L31" s="2014">
        <f t="shared" si="0"/>
        <v>24860861.272000004</v>
      </c>
      <c r="M31" s="2014">
        <f t="shared" si="0"/>
        <v>24089124.975000001</v>
      </c>
      <c r="N31" s="2017">
        <f t="shared" si="0"/>
        <v>24078357.986789726</v>
      </c>
      <c r="O31" s="2012">
        <f t="shared" si="0"/>
        <v>24222498.622055262</v>
      </c>
      <c r="P31" s="2014">
        <f t="shared" si="0"/>
        <v>24398473.895597417</v>
      </c>
      <c r="Q31" s="2014">
        <f t="shared" si="0"/>
        <v>24445556.159278885</v>
      </c>
      <c r="R31" s="2014">
        <f t="shared" si="0"/>
        <v>24518582.06867677</v>
      </c>
      <c r="S31" s="2015">
        <f t="shared" si="0"/>
        <v>24278901.725744039</v>
      </c>
      <c r="T31" s="1427"/>
      <c r="U31" s="3432"/>
      <c r="V31" s="1427"/>
      <c r="W31" s="1427"/>
      <c r="X31" s="1427"/>
      <c r="Y31" s="1427"/>
      <c r="Z31" s="1427"/>
      <c r="AA31" s="1427"/>
      <c r="AB31" s="1427"/>
      <c r="AC31" s="1427"/>
      <c r="AD31" s="1427"/>
      <c r="AE31" s="1427"/>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row>
    <row r="32" spans="1:120" s="529" customFormat="1">
      <c r="B32" s="4103" t="str">
        <f>'27. Customer numbers'!B30</f>
        <v>Commercial customers</v>
      </c>
      <c r="C32" s="4101" t="s">
        <v>47</v>
      </c>
      <c r="D32" s="4102"/>
      <c r="E32" s="1977">
        <f>'27. Customer numbers'!D32</f>
        <v>9347</v>
      </c>
      <c r="F32" s="1978">
        <f>'27. Customer numbers'!E32</f>
        <v>9432</v>
      </c>
      <c r="G32" s="1978">
        <f>'27. Customer numbers'!F32</f>
        <v>9531.5</v>
      </c>
      <c r="H32" s="1978">
        <f>'27. Customer numbers'!G32</f>
        <v>9626.5</v>
      </c>
      <c r="I32" s="2016">
        <f>'27. Customer numbers'!H32</f>
        <v>9745</v>
      </c>
      <c r="J32" s="1977">
        <f>'27. Customer numbers'!I32</f>
        <v>9867</v>
      </c>
      <c r="K32" s="1978">
        <f>'27. Customer numbers'!J32</f>
        <v>9989.5</v>
      </c>
      <c r="L32" s="1978">
        <f>'27. Customer numbers'!K32</f>
        <v>10140.5</v>
      </c>
      <c r="M32" s="1978">
        <f>'27. Customer numbers'!L32</f>
        <v>10265.185603852844</v>
      </c>
      <c r="N32" s="2016">
        <f>'27. Customer numbers'!M32</f>
        <v>10050.009994394617</v>
      </c>
      <c r="O32" s="1977">
        <f>'27. Customer numbers'!N32</f>
        <v>10197.404311072243</v>
      </c>
      <c r="P32" s="1978">
        <f>'27. Customer numbers'!O32</f>
        <v>10349.226370175224</v>
      </c>
      <c r="Q32" s="1978">
        <f>'27. Customer numbers'!P32</f>
        <v>10505.6282203592</v>
      </c>
      <c r="R32" s="1978">
        <f>'27. Customer numbers'!Q32</f>
        <v>10666.767556354684</v>
      </c>
      <c r="S32" s="2013">
        <f>'27. Customer numbers'!R32</f>
        <v>10821.567592240439</v>
      </c>
      <c r="T32" s="1427"/>
      <c r="U32" s="1427"/>
      <c r="V32" s="1427"/>
      <c r="W32" s="1427"/>
      <c r="X32" s="1427"/>
      <c r="Y32" s="1427"/>
      <c r="Z32" s="1427"/>
      <c r="AA32" s="1427"/>
      <c r="AB32" s="1427"/>
      <c r="AC32" s="1427"/>
      <c r="AD32" s="1427"/>
      <c r="AE32" s="1427"/>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row>
    <row r="33" spans="1:120" s="529" customFormat="1">
      <c r="B33" s="4104"/>
      <c r="C33" s="1026" t="s">
        <v>1483</v>
      </c>
      <c r="D33" s="983" t="s">
        <v>1479</v>
      </c>
      <c r="E33" s="527">
        <v>64006.447</v>
      </c>
      <c r="F33" s="522">
        <v>83457.552203125146</v>
      </c>
      <c r="G33" s="513">
        <v>85272.129000000001</v>
      </c>
      <c r="H33" s="513">
        <v>85237.315000000002</v>
      </c>
      <c r="I33" s="702">
        <v>86063.081999999995</v>
      </c>
      <c r="J33" s="514">
        <v>85701.191999999995</v>
      </c>
      <c r="K33" s="513">
        <v>84722.796000000002</v>
      </c>
      <c r="L33" s="513">
        <v>89741.756999999998</v>
      </c>
      <c r="M33" s="513">
        <v>92689.096000000005</v>
      </c>
      <c r="N33" s="702">
        <v>91639.057277737971</v>
      </c>
      <c r="O33" s="514">
        <v>91498.505036412636</v>
      </c>
      <c r="P33" s="513">
        <v>92448.012567654703</v>
      </c>
      <c r="Q33" s="513">
        <v>91500.422505478782</v>
      </c>
      <c r="R33" s="513">
        <v>91956.864213661131</v>
      </c>
      <c r="S33" s="464">
        <v>91494.149238408165</v>
      </c>
      <c r="T33" s="1427"/>
      <c r="U33" s="1427"/>
      <c r="V33" s="1427"/>
      <c r="W33" s="1427"/>
      <c r="X33" s="1427"/>
      <c r="Y33" s="1427"/>
      <c r="Z33" s="1427"/>
      <c r="AA33" s="1427"/>
      <c r="AB33" s="1427"/>
      <c r="AC33" s="1427"/>
      <c r="AD33" s="1427"/>
      <c r="AE33" s="1427"/>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row>
    <row r="34" spans="1:120" s="529" customFormat="1">
      <c r="B34" s="4104"/>
      <c r="C34" s="1026" t="s">
        <v>1484</v>
      </c>
      <c r="D34" s="983" t="s">
        <v>1480</v>
      </c>
      <c r="E34" s="514">
        <v>70403.857999999993</v>
      </c>
      <c r="F34" s="513">
        <v>67035.588810711037</v>
      </c>
      <c r="G34" s="513">
        <v>70596.509999999995</v>
      </c>
      <c r="H34" s="513">
        <v>68891.240999999995</v>
      </c>
      <c r="I34" s="702">
        <v>70824.316999999995</v>
      </c>
      <c r="J34" s="514">
        <v>68992.661999999997</v>
      </c>
      <c r="K34" s="513">
        <v>69457.198999999993</v>
      </c>
      <c r="L34" s="513">
        <v>74440.955000000002</v>
      </c>
      <c r="M34" s="513">
        <v>76805.767000000007</v>
      </c>
      <c r="N34" s="702">
        <v>76348.44125130777</v>
      </c>
      <c r="O34" s="514">
        <v>76717.41130557732</v>
      </c>
      <c r="P34" s="513">
        <v>78000.472901532528</v>
      </c>
      <c r="Q34" s="513">
        <v>77719.232510828457</v>
      </c>
      <c r="R34" s="513">
        <v>78606.653284524727</v>
      </c>
      <c r="S34" s="464">
        <v>78701.717346365258</v>
      </c>
      <c r="T34" s="1427"/>
      <c r="U34" s="1427"/>
      <c r="V34" s="1427"/>
      <c r="W34" s="1427"/>
      <c r="X34" s="1427"/>
      <c r="Y34" s="1427"/>
      <c r="Z34" s="1427"/>
      <c r="AA34" s="1427"/>
      <c r="AB34" s="1427"/>
      <c r="AC34" s="1427"/>
      <c r="AD34" s="1427"/>
      <c r="AE34" s="1427"/>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row>
    <row r="35" spans="1:120" s="529" customFormat="1">
      <c r="B35" s="4104"/>
      <c r="C35" s="1026" t="s">
        <v>1485</v>
      </c>
      <c r="D35" s="983" t="s">
        <v>1481</v>
      </c>
      <c r="E35" s="514">
        <v>415815.19099999999</v>
      </c>
      <c r="F35" s="513">
        <v>387827.18230489176</v>
      </c>
      <c r="G35" s="513">
        <v>422896.23700000002</v>
      </c>
      <c r="H35" s="513">
        <v>406087.8</v>
      </c>
      <c r="I35" s="702">
        <v>421067.19400000002</v>
      </c>
      <c r="J35" s="514">
        <v>406054.74300000002</v>
      </c>
      <c r="K35" s="513">
        <v>419630.75199999998</v>
      </c>
      <c r="L35" s="513">
        <v>452164.84399999998</v>
      </c>
      <c r="M35" s="513">
        <v>459675.89299999998</v>
      </c>
      <c r="N35" s="702">
        <v>454547.97568862792</v>
      </c>
      <c r="O35" s="514">
        <v>456106.73681852082</v>
      </c>
      <c r="P35" s="513">
        <v>463129.259702435</v>
      </c>
      <c r="Q35" s="513">
        <v>460749.93266566872</v>
      </c>
      <c r="R35" s="513">
        <v>465366.07168717997</v>
      </c>
      <c r="S35" s="464">
        <v>465047.38333318557</v>
      </c>
      <c r="T35" s="1427"/>
      <c r="U35" s="1427"/>
      <c r="V35" s="1427"/>
      <c r="W35" s="1427"/>
      <c r="X35" s="1427"/>
      <c r="Y35" s="1427"/>
      <c r="Z35" s="1427"/>
      <c r="AA35" s="1427"/>
      <c r="AB35" s="1427"/>
      <c r="AC35" s="1427"/>
      <c r="AD35" s="1427"/>
      <c r="AE35" s="1427"/>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row>
    <row r="36" spans="1:120" s="529" customFormat="1">
      <c r="B36" s="4104"/>
      <c r="C36" s="1026" t="s">
        <v>1486</v>
      </c>
      <c r="D36" s="983" t="s">
        <v>1482</v>
      </c>
      <c r="E36" s="514">
        <v>1378068.4369999999</v>
      </c>
      <c r="F36" s="513">
        <v>1070518.9177756191</v>
      </c>
      <c r="G36" s="513">
        <v>1315124.9280000001</v>
      </c>
      <c r="H36" s="513">
        <v>1340433.1129999999</v>
      </c>
      <c r="I36" s="702">
        <v>1312871.7350000001</v>
      </c>
      <c r="J36" s="514">
        <v>1294377.6270000001</v>
      </c>
      <c r="K36" s="513">
        <v>1242927.8400000001</v>
      </c>
      <c r="L36" s="513">
        <v>1340104.4110000001</v>
      </c>
      <c r="M36" s="513">
        <v>1246511.8640000001</v>
      </c>
      <c r="N36" s="702">
        <v>1225949.6211346248</v>
      </c>
      <c r="O36" s="514">
        <v>1226398.7335603302</v>
      </c>
      <c r="P36" s="513">
        <v>1241477.408828835</v>
      </c>
      <c r="Q36" s="513">
        <v>1231419.829601649</v>
      </c>
      <c r="R36" s="513">
        <v>1240206.755204319</v>
      </c>
      <c r="S36" s="464">
        <v>1239463.1397591468</v>
      </c>
      <c r="T36" s="1427"/>
      <c r="U36" s="1427"/>
      <c r="V36" s="1427"/>
      <c r="W36" s="1427"/>
      <c r="X36" s="1427"/>
      <c r="Y36" s="1427"/>
      <c r="Z36" s="1427"/>
      <c r="AA36" s="1427"/>
      <c r="AB36" s="1427"/>
      <c r="AC36" s="1427"/>
      <c r="AD36" s="1427"/>
      <c r="AE36" s="1427"/>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row>
    <row r="37" spans="1:120" s="529" customFormat="1">
      <c r="B37" s="4104"/>
      <c r="C37" s="3417" t="s">
        <v>1491</v>
      </c>
      <c r="D37" s="983" t="s">
        <v>1487</v>
      </c>
      <c r="E37" s="751">
        <v>101518.522</v>
      </c>
      <c r="F37" s="752">
        <v>139555.45379687488</v>
      </c>
      <c r="G37" s="752">
        <v>137485.69399999999</v>
      </c>
      <c r="H37" s="752">
        <v>140334.095</v>
      </c>
      <c r="I37" s="3419">
        <v>141397.367</v>
      </c>
      <c r="J37" s="751">
        <v>143952.41899999999</v>
      </c>
      <c r="K37" s="752">
        <v>144745.829</v>
      </c>
      <c r="L37" s="752">
        <v>151574.29500000001</v>
      </c>
      <c r="M37" s="752">
        <v>154283.47899999999</v>
      </c>
      <c r="N37" s="3419">
        <v>152245.66378279452</v>
      </c>
      <c r="O37" s="751">
        <v>151917.85655312269</v>
      </c>
      <c r="P37" s="752">
        <v>153402.81626442482</v>
      </c>
      <c r="Q37" s="752">
        <v>151719.57679092133</v>
      </c>
      <c r="R37" s="752">
        <v>152372.76529003569</v>
      </c>
      <c r="S37" s="3421">
        <v>151440.58899505832</v>
      </c>
      <c r="T37" s="1427"/>
      <c r="U37" s="1427"/>
      <c r="V37" s="1427"/>
      <c r="W37" s="1427"/>
      <c r="X37" s="1427"/>
      <c r="Y37" s="1427"/>
      <c r="Z37" s="1427"/>
      <c r="AA37" s="1427"/>
      <c r="AB37" s="1427"/>
      <c r="AC37" s="1427"/>
      <c r="AD37" s="1427"/>
      <c r="AE37" s="1427"/>
      <c r="AF37" s="229"/>
      <c r="AG37" s="229"/>
      <c r="AH37" s="229"/>
      <c r="AI37" s="229"/>
      <c r="AJ37" s="229"/>
      <c r="AK37" s="229"/>
      <c r="AL37" s="229"/>
      <c r="AM37" s="229"/>
      <c r="AN37" s="229"/>
      <c r="AO37" s="229"/>
      <c r="AP37" s="229"/>
      <c r="AQ37" s="229"/>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229"/>
      <c r="BS37" s="229"/>
      <c r="BT37" s="229"/>
      <c r="BU37" s="229"/>
      <c r="BV37" s="229"/>
      <c r="BW37" s="229"/>
      <c r="BX37" s="229"/>
      <c r="BY37" s="229"/>
      <c r="BZ37" s="229"/>
      <c r="CA37" s="229"/>
      <c r="CB37" s="229"/>
      <c r="CC37" s="229"/>
      <c r="CD37" s="229"/>
      <c r="CE37" s="229"/>
      <c r="CF37" s="229"/>
      <c r="CG37" s="229"/>
      <c r="CH37" s="229"/>
      <c r="CI37" s="229"/>
      <c r="CJ37" s="229"/>
      <c r="CK37" s="229"/>
      <c r="CL37" s="229"/>
      <c r="CM37" s="229"/>
      <c r="CN37" s="229"/>
      <c r="CO37" s="229"/>
      <c r="CP37" s="229"/>
      <c r="CQ37" s="229"/>
      <c r="CR37" s="229"/>
      <c r="CS37" s="229"/>
      <c r="CT37" s="229"/>
      <c r="CU37" s="229"/>
      <c r="CV37" s="229"/>
      <c r="CW37" s="229"/>
      <c r="CX37" s="229"/>
      <c r="CY37" s="229"/>
      <c r="CZ37" s="229"/>
      <c r="DA37" s="229"/>
      <c r="DB37" s="229"/>
      <c r="DC37" s="229"/>
      <c r="DD37" s="229"/>
      <c r="DE37" s="229"/>
      <c r="DF37" s="229"/>
      <c r="DG37" s="229"/>
      <c r="DH37" s="229"/>
      <c r="DI37" s="229"/>
      <c r="DJ37" s="229"/>
      <c r="DK37" s="229"/>
      <c r="DL37" s="229"/>
      <c r="DM37" s="229"/>
      <c r="DN37" s="229"/>
      <c r="DO37" s="229"/>
      <c r="DP37" s="229"/>
    </row>
    <row r="38" spans="1:120" s="529" customFormat="1">
      <c r="B38" s="4104"/>
      <c r="C38" s="3417" t="s">
        <v>1492</v>
      </c>
      <c r="D38" s="983" t="s">
        <v>1488</v>
      </c>
      <c r="E38" s="751">
        <v>95892.239000000001</v>
      </c>
      <c r="F38" s="752">
        <v>96102.238189288924</v>
      </c>
      <c r="G38" s="752">
        <v>92693.514999999999</v>
      </c>
      <c r="H38" s="752">
        <v>96184.376000000004</v>
      </c>
      <c r="I38" s="3419">
        <v>97408.187999999995</v>
      </c>
      <c r="J38" s="751">
        <v>99815.508000000002</v>
      </c>
      <c r="K38" s="752">
        <v>100036.473</v>
      </c>
      <c r="L38" s="752">
        <v>106556.45299999999</v>
      </c>
      <c r="M38" s="752">
        <v>107264.592</v>
      </c>
      <c r="N38" s="3419">
        <v>106375.35830770581</v>
      </c>
      <c r="O38" s="751">
        <v>107109.89786326501</v>
      </c>
      <c r="P38" s="752">
        <v>109129.00231171311</v>
      </c>
      <c r="Q38" s="752">
        <v>108959.43857306325</v>
      </c>
      <c r="R38" s="752">
        <v>110427.49436449471</v>
      </c>
      <c r="S38" s="3421">
        <v>110706.28427490566</v>
      </c>
      <c r="T38" s="1427"/>
      <c r="U38" s="1427"/>
      <c r="V38" s="1427"/>
      <c r="W38" s="1427"/>
      <c r="X38" s="1427"/>
      <c r="Y38" s="1427"/>
      <c r="Z38" s="1427"/>
      <c r="AA38" s="1427"/>
      <c r="AB38" s="1427"/>
      <c r="AC38" s="1427"/>
      <c r="AD38" s="1427"/>
      <c r="AE38" s="1427"/>
      <c r="AF38" s="229"/>
      <c r="AG38" s="229"/>
      <c r="AH38" s="229"/>
      <c r="AI38" s="229"/>
      <c r="AJ38" s="229"/>
      <c r="AK38" s="229"/>
      <c r="AL38" s="229"/>
      <c r="AM38" s="229"/>
      <c r="AN38" s="229"/>
      <c r="AO38" s="229"/>
      <c r="AP38" s="229"/>
      <c r="AQ38" s="229"/>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c r="BU38" s="229"/>
      <c r="BV38" s="229"/>
      <c r="BW38" s="229"/>
      <c r="BX38" s="229"/>
      <c r="BY38" s="229"/>
      <c r="BZ38" s="229"/>
      <c r="CA38" s="229"/>
      <c r="CB38" s="229"/>
      <c r="CC38" s="229"/>
      <c r="CD38" s="229"/>
      <c r="CE38" s="229"/>
      <c r="CF38" s="229"/>
      <c r="CG38" s="229"/>
      <c r="CH38" s="229"/>
      <c r="CI38" s="229"/>
      <c r="CJ38" s="229"/>
      <c r="CK38" s="229"/>
      <c r="CL38" s="229"/>
      <c r="CM38" s="229"/>
      <c r="CN38" s="229"/>
      <c r="CO38" s="229"/>
      <c r="CP38" s="229"/>
      <c r="CQ38" s="229"/>
      <c r="CR38" s="229"/>
      <c r="CS38" s="229"/>
      <c r="CT38" s="229"/>
      <c r="CU38" s="229"/>
      <c r="CV38" s="229"/>
      <c r="CW38" s="229"/>
      <c r="CX38" s="229"/>
      <c r="CY38" s="229"/>
      <c r="CZ38" s="229"/>
      <c r="DA38" s="229"/>
      <c r="DB38" s="229"/>
      <c r="DC38" s="229"/>
      <c r="DD38" s="229"/>
      <c r="DE38" s="229"/>
      <c r="DF38" s="229"/>
      <c r="DG38" s="229"/>
      <c r="DH38" s="229"/>
      <c r="DI38" s="229"/>
      <c r="DJ38" s="229"/>
      <c r="DK38" s="229"/>
      <c r="DL38" s="229"/>
      <c r="DM38" s="229"/>
      <c r="DN38" s="229"/>
      <c r="DO38" s="229"/>
      <c r="DP38" s="229"/>
    </row>
    <row r="39" spans="1:120" s="529" customFormat="1">
      <c r="B39" s="4104"/>
      <c r="C39" s="3417" t="s">
        <v>1493</v>
      </c>
      <c r="D39" s="983" t="s">
        <v>1489</v>
      </c>
      <c r="E39" s="751">
        <v>554211.65099999995</v>
      </c>
      <c r="F39" s="752">
        <v>563462.63969510829</v>
      </c>
      <c r="G39" s="752">
        <v>543000.28799999994</v>
      </c>
      <c r="H39" s="752">
        <v>566337.88800000004</v>
      </c>
      <c r="I39" s="3419">
        <v>579781.36399999994</v>
      </c>
      <c r="J39" s="751">
        <v>590331.89899999998</v>
      </c>
      <c r="K39" s="752">
        <v>591038.049</v>
      </c>
      <c r="L39" s="752">
        <v>626136.96299999999</v>
      </c>
      <c r="M39" s="752">
        <v>631139.81900000002</v>
      </c>
      <c r="N39" s="3419">
        <v>625235.11547743389</v>
      </c>
      <c r="O39" s="751">
        <v>627702.47160281532</v>
      </c>
      <c r="P39" s="752">
        <v>637669.39016402699</v>
      </c>
      <c r="Q39" s="752">
        <v>634780.90530986909</v>
      </c>
      <c r="R39" s="752">
        <v>641492.10178468633</v>
      </c>
      <c r="S39" s="3421">
        <v>641794.35090971994</v>
      </c>
      <c r="T39" s="1427"/>
      <c r="U39" s="1427"/>
      <c r="V39" s="1427"/>
      <c r="W39" s="1427"/>
      <c r="X39" s="1427"/>
      <c r="Y39" s="1427"/>
      <c r="Z39" s="1427"/>
      <c r="AA39" s="1427"/>
      <c r="AB39" s="1427"/>
      <c r="AC39" s="1427"/>
      <c r="AD39" s="1427"/>
      <c r="AE39" s="1427"/>
      <c r="AF39" s="229"/>
      <c r="AG39" s="229"/>
      <c r="AH39" s="229"/>
      <c r="AI39" s="229"/>
      <c r="AJ39" s="229"/>
      <c r="AK39" s="229"/>
      <c r="AL39" s="229"/>
      <c r="AM39" s="229"/>
      <c r="AN39" s="229"/>
      <c r="AO39" s="229"/>
      <c r="AP39" s="229"/>
      <c r="AQ39" s="229"/>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229"/>
      <c r="BU39" s="229"/>
      <c r="BV39" s="229"/>
      <c r="BW39" s="229"/>
      <c r="BX39" s="229"/>
      <c r="BY39" s="229"/>
      <c r="BZ39" s="229"/>
      <c r="CA39" s="229"/>
      <c r="CB39" s="229"/>
      <c r="CC39" s="229"/>
      <c r="CD39" s="229"/>
      <c r="CE39" s="229"/>
      <c r="CF39" s="229"/>
      <c r="CG39" s="229"/>
      <c r="CH39" s="229"/>
      <c r="CI39" s="229"/>
      <c r="CJ39" s="229"/>
      <c r="CK39" s="229"/>
      <c r="CL39" s="229"/>
      <c r="CM39" s="229"/>
      <c r="CN39" s="229"/>
      <c r="CO39" s="229"/>
      <c r="CP39" s="229"/>
      <c r="CQ39" s="229"/>
      <c r="CR39" s="229"/>
      <c r="CS39" s="229"/>
      <c r="CT39" s="229"/>
      <c r="CU39" s="229"/>
      <c r="CV39" s="229"/>
      <c r="CW39" s="229"/>
      <c r="CX39" s="229"/>
      <c r="CY39" s="229"/>
      <c r="CZ39" s="229"/>
      <c r="DA39" s="229"/>
      <c r="DB39" s="229"/>
      <c r="DC39" s="229"/>
      <c r="DD39" s="229"/>
      <c r="DE39" s="229"/>
      <c r="DF39" s="229"/>
      <c r="DG39" s="229"/>
      <c r="DH39" s="229"/>
      <c r="DI39" s="229"/>
      <c r="DJ39" s="229"/>
      <c r="DK39" s="229"/>
      <c r="DL39" s="229"/>
      <c r="DM39" s="229"/>
      <c r="DN39" s="229"/>
      <c r="DO39" s="229"/>
      <c r="DP39" s="229"/>
    </row>
    <row r="40" spans="1:120" s="529" customFormat="1">
      <c r="B40" s="4104"/>
      <c r="C40" s="3417" t="s">
        <v>1494</v>
      </c>
      <c r="D40" s="983" t="s">
        <v>1490</v>
      </c>
      <c r="E40" s="751">
        <v>1450033.2139999999</v>
      </c>
      <c r="F40" s="752">
        <v>1384193.5052243813</v>
      </c>
      <c r="G40" s="752">
        <v>1460453.8929999999</v>
      </c>
      <c r="H40" s="752">
        <v>1686598.746</v>
      </c>
      <c r="I40" s="3419">
        <v>1521974.463</v>
      </c>
      <c r="J40" s="751">
        <v>1485787.1370000001</v>
      </c>
      <c r="K40" s="752">
        <v>1493335.52</v>
      </c>
      <c r="L40" s="752">
        <v>1660066.591</v>
      </c>
      <c r="M40" s="752">
        <v>1615595.8060000001</v>
      </c>
      <c r="N40" s="3419">
        <v>1599855.1874632153</v>
      </c>
      <c r="O40" s="751">
        <v>1609281.9949361328</v>
      </c>
      <c r="P40" s="752">
        <v>1637753.3447407086</v>
      </c>
      <c r="Q40" s="752">
        <v>1633740.830494656</v>
      </c>
      <c r="R40" s="752">
        <v>1654137.1852394922</v>
      </c>
      <c r="S40" s="3421">
        <v>1662140.4458520161</v>
      </c>
      <c r="T40" s="1427"/>
      <c r="U40" s="1427"/>
      <c r="V40" s="1427"/>
      <c r="W40" s="1427"/>
      <c r="X40" s="1427"/>
      <c r="Y40" s="1427"/>
      <c r="Z40" s="1427"/>
      <c r="AA40" s="1427"/>
      <c r="AB40" s="1427"/>
      <c r="AC40" s="1427"/>
      <c r="AD40" s="1427"/>
      <c r="AE40" s="1427"/>
      <c r="AF40" s="229"/>
      <c r="AG40" s="229"/>
      <c r="AH40" s="229"/>
      <c r="AI40" s="229"/>
      <c r="AJ40" s="229"/>
      <c r="AK40" s="229"/>
      <c r="AL40" s="229"/>
      <c r="AM40" s="229"/>
      <c r="AN40" s="229"/>
      <c r="AO40" s="229"/>
      <c r="AP40" s="229"/>
      <c r="AQ40" s="229"/>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c r="BU40" s="229"/>
      <c r="BV40" s="229"/>
      <c r="BW40" s="229"/>
      <c r="BX40" s="229"/>
      <c r="BY40" s="229"/>
      <c r="BZ40" s="229"/>
      <c r="CA40" s="229"/>
      <c r="CB40" s="229"/>
      <c r="CC40" s="229"/>
      <c r="CD40" s="229"/>
      <c r="CE40" s="229"/>
      <c r="CF40" s="229"/>
      <c r="CG40" s="229"/>
      <c r="CH40" s="229"/>
      <c r="CI40" s="229"/>
      <c r="CJ40" s="229"/>
      <c r="CK40" s="229"/>
      <c r="CL40" s="229"/>
      <c r="CM40" s="229"/>
      <c r="CN40" s="229"/>
      <c r="CO40" s="229"/>
      <c r="CP40" s="229"/>
      <c r="CQ40" s="229"/>
      <c r="CR40" s="229"/>
      <c r="CS40" s="229"/>
      <c r="CT40" s="229"/>
      <c r="CU40" s="229"/>
      <c r="CV40" s="229"/>
      <c r="CW40" s="229"/>
      <c r="CX40" s="229"/>
      <c r="CY40" s="229"/>
      <c r="CZ40" s="229"/>
      <c r="DA40" s="229"/>
      <c r="DB40" s="229"/>
      <c r="DC40" s="229"/>
      <c r="DD40" s="229"/>
      <c r="DE40" s="229"/>
      <c r="DF40" s="229"/>
      <c r="DG40" s="229"/>
      <c r="DH40" s="229"/>
      <c r="DI40" s="229"/>
      <c r="DJ40" s="229"/>
      <c r="DK40" s="229"/>
      <c r="DL40" s="229"/>
      <c r="DM40" s="229"/>
      <c r="DN40" s="229"/>
      <c r="DO40" s="229"/>
      <c r="DP40" s="229"/>
    </row>
    <row r="41" spans="1:120" s="529" customFormat="1" ht="13.5" thickBot="1">
      <c r="B41" s="4105"/>
      <c r="C41" s="4099" t="s">
        <v>410</v>
      </c>
      <c r="D41" s="4100"/>
      <c r="E41" s="2012">
        <f>SUM(E33:E40)</f>
        <v>4129949.5590000004</v>
      </c>
      <c r="F41" s="2014">
        <f t="shared" ref="F41" si="1">SUM(F33:F40)</f>
        <v>3792153.0780000007</v>
      </c>
      <c r="G41" s="2014">
        <f t="shared" ref="G41" si="2">SUM(G33:G40)</f>
        <v>4127523.1940000001</v>
      </c>
      <c r="H41" s="2014">
        <f t="shared" ref="H41" si="3">SUM(H33:H40)</f>
        <v>4390104.574</v>
      </c>
      <c r="I41" s="2017">
        <f t="shared" ref="I41" si="4">SUM(I33:I40)</f>
        <v>4231387.7100000009</v>
      </c>
      <c r="J41" s="2012">
        <f t="shared" ref="J41" si="5">SUM(J33:J40)</f>
        <v>4175013.1869999999</v>
      </c>
      <c r="K41" s="2014">
        <f t="shared" ref="K41" si="6">SUM(K33:K40)</f>
        <v>4145894.4580000001</v>
      </c>
      <c r="L41" s="2014">
        <f t="shared" ref="L41" si="7">SUM(L33:L40)</f>
        <v>4500786.2690000003</v>
      </c>
      <c r="M41" s="2014">
        <f t="shared" ref="M41" si="8">SUM(M33:M40)</f>
        <v>4383966.3160000006</v>
      </c>
      <c r="N41" s="2017">
        <f t="shared" ref="N41" si="9">SUM(N33:N40)</f>
        <v>4332196.4203834478</v>
      </c>
      <c r="O41" s="2012">
        <f t="shared" ref="O41" si="10">SUM(O33:O40)</f>
        <v>4346733.6076761764</v>
      </c>
      <c r="P41" s="2014">
        <f t="shared" ref="P41" si="11">SUM(P33:P40)</f>
        <v>4413009.7074813312</v>
      </c>
      <c r="Q41" s="2014">
        <f t="shared" ref="Q41" si="12">SUM(Q33:Q40)</f>
        <v>4390590.1684521344</v>
      </c>
      <c r="R41" s="2014">
        <f t="shared" ref="R41" si="13">SUM(R33:R40)</f>
        <v>4434565.8910683934</v>
      </c>
      <c r="S41" s="2015">
        <f t="shared" ref="S41" si="14">SUM(S33:S40)</f>
        <v>4440788.0597088058</v>
      </c>
      <c r="T41" s="1427"/>
      <c r="U41" s="3432"/>
      <c r="V41" s="1427"/>
      <c r="W41" s="1427"/>
      <c r="X41" s="1427"/>
      <c r="Y41" s="1427"/>
      <c r="Z41" s="1427"/>
      <c r="AA41" s="1427"/>
      <c r="AB41" s="1427"/>
      <c r="AC41" s="1427"/>
      <c r="AD41" s="1427"/>
      <c r="AE41" s="1427"/>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c r="BU41" s="229"/>
      <c r="BV41" s="229"/>
      <c r="BW41" s="229"/>
      <c r="BX41" s="229"/>
      <c r="BY41" s="229"/>
      <c r="BZ41" s="229"/>
      <c r="CA41" s="229"/>
      <c r="CB41" s="229"/>
      <c r="CC41" s="229"/>
      <c r="CD41" s="229"/>
      <c r="CE41" s="229"/>
      <c r="CF41" s="229"/>
      <c r="CG41" s="229"/>
      <c r="CH41" s="229"/>
      <c r="CI41" s="229"/>
      <c r="CJ41" s="229"/>
      <c r="CK41" s="229"/>
      <c r="CL41" s="229"/>
      <c r="CM41" s="229"/>
      <c r="CN41" s="229"/>
      <c r="CO41" s="229"/>
      <c r="CP41" s="229"/>
      <c r="CQ41" s="229"/>
      <c r="CR41" s="229"/>
      <c r="CS41" s="229"/>
      <c r="CT41" s="229"/>
      <c r="CU41" s="229"/>
      <c r="CV41" s="229"/>
      <c r="CW41" s="229"/>
      <c r="CX41" s="229"/>
      <c r="CY41" s="229"/>
      <c r="CZ41" s="229"/>
      <c r="DA41" s="229"/>
      <c r="DB41" s="229"/>
      <c r="DC41" s="229"/>
      <c r="DD41" s="229"/>
      <c r="DE41" s="229"/>
      <c r="DF41" s="229"/>
      <c r="DG41" s="229"/>
      <c r="DH41" s="229"/>
      <c r="DI41" s="229"/>
      <c r="DJ41" s="229"/>
      <c r="DK41" s="229"/>
      <c r="DL41" s="229"/>
      <c r="DM41" s="229"/>
      <c r="DN41" s="229"/>
      <c r="DO41" s="229"/>
      <c r="DP41" s="229"/>
    </row>
    <row r="42" spans="1:120" s="1676" customFormat="1" ht="24" customHeight="1" thickBot="1">
      <c r="B42" s="1940" t="s">
        <v>63</v>
      </c>
      <c r="C42" s="1941"/>
      <c r="D42" s="1941"/>
      <c r="E42" s="2019">
        <f>+SUM(E31,E41)</f>
        <v>26425104.322000001</v>
      </c>
      <c r="F42" s="2020">
        <f t="shared" ref="F42:S42" si="15">+SUM(F31,F41)</f>
        <v>25820398.323000006</v>
      </c>
      <c r="G42" s="2020">
        <f t="shared" si="15"/>
        <v>27333578.490000002</v>
      </c>
      <c r="H42" s="2020">
        <f t="shared" si="15"/>
        <v>26555042.833999995</v>
      </c>
      <c r="I42" s="2021">
        <f t="shared" si="15"/>
        <v>27829379.156000003</v>
      </c>
      <c r="J42" s="2019">
        <f t="shared" si="15"/>
        <v>26298983.006000001</v>
      </c>
      <c r="K42" s="2020">
        <f t="shared" si="15"/>
        <v>25771818.774999999</v>
      </c>
      <c r="L42" s="2020">
        <f t="shared" si="15"/>
        <v>29361647.541000005</v>
      </c>
      <c r="M42" s="2020">
        <f t="shared" si="15"/>
        <v>28473091.291000001</v>
      </c>
      <c r="N42" s="2021">
        <f t="shared" si="15"/>
        <v>28410554.407173172</v>
      </c>
      <c r="O42" s="2019">
        <f t="shared" si="15"/>
        <v>28569232.229731441</v>
      </c>
      <c r="P42" s="2020">
        <f t="shared" si="15"/>
        <v>28811483.603078749</v>
      </c>
      <c r="Q42" s="2020">
        <f t="shared" si="15"/>
        <v>28836146.327731021</v>
      </c>
      <c r="R42" s="2020">
        <f t="shared" si="15"/>
        <v>28953147.959745161</v>
      </c>
      <c r="S42" s="2022">
        <f t="shared" si="15"/>
        <v>28719689.785452843</v>
      </c>
      <c r="T42" s="1677"/>
      <c r="U42" s="1677"/>
      <c r="V42" s="1677"/>
      <c r="W42" s="1677"/>
      <c r="X42" s="1677"/>
      <c r="Y42" s="1677"/>
      <c r="Z42" s="1677"/>
      <c r="AA42" s="1677"/>
      <c r="AB42" s="1677"/>
      <c r="AC42" s="1677"/>
      <c r="AD42" s="1677"/>
      <c r="AE42" s="1677"/>
      <c r="AF42" s="1678"/>
      <c r="AG42" s="1678"/>
      <c r="AH42" s="1678"/>
      <c r="AI42" s="1678"/>
      <c r="AJ42" s="1678"/>
      <c r="AK42" s="1678"/>
      <c r="AL42" s="1678"/>
      <c r="AM42" s="1678"/>
      <c r="AN42" s="1678"/>
      <c r="AO42" s="1678"/>
      <c r="AP42" s="1678"/>
      <c r="AQ42" s="1678"/>
      <c r="AR42" s="1678"/>
      <c r="AS42" s="1678"/>
      <c r="AT42" s="1678"/>
      <c r="AU42" s="1678"/>
      <c r="AV42" s="1678"/>
      <c r="AW42" s="1678"/>
      <c r="AX42" s="1678"/>
      <c r="AY42" s="1678"/>
      <c r="AZ42" s="1678"/>
      <c r="BA42" s="1678"/>
      <c r="BB42" s="1678"/>
      <c r="BC42" s="1678"/>
      <c r="BD42" s="1678"/>
      <c r="BE42" s="1678"/>
      <c r="BF42" s="1678"/>
      <c r="BG42" s="1678"/>
      <c r="BH42" s="1678"/>
      <c r="BI42" s="1678"/>
      <c r="BJ42" s="1678"/>
      <c r="BK42" s="1678"/>
      <c r="BL42" s="1678"/>
      <c r="BM42" s="1678"/>
      <c r="BN42" s="1678"/>
      <c r="BO42" s="1678"/>
      <c r="BP42" s="1678"/>
      <c r="BQ42" s="1678"/>
      <c r="BR42" s="1678"/>
      <c r="BS42" s="1678"/>
      <c r="BT42" s="1678"/>
      <c r="BU42" s="1678"/>
      <c r="BV42" s="1678"/>
      <c r="BW42" s="1678"/>
      <c r="BX42" s="1678"/>
      <c r="BY42" s="1678"/>
      <c r="BZ42" s="1678"/>
      <c r="CA42" s="1678"/>
      <c r="CB42" s="1678"/>
      <c r="CC42" s="1678"/>
      <c r="CD42" s="1678"/>
      <c r="CE42" s="1678"/>
      <c r="CF42" s="1678"/>
      <c r="CG42" s="1678"/>
      <c r="CH42" s="1678"/>
      <c r="CI42" s="1678"/>
      <c r="CJ42" s="1678"/>
      <c r="CK42" s="1678"/>
      <c r="CL42" s="1678"/>
      <c r="CM42" s="1678"/>
      <c r="CN42" s="1678"/>
      <c r="CO42" s="1678"/>
      <c r="CP42" s="1678"/>
      <c r="CQ42" s="1678"/>
      <c r="CR42" s="1678"/>
      <c r="CS42" s="1678"/>
      <c r="CT42" s="1678"/>
      <c r="CU42" s="1678"/>
      <c r="CV42" s="1678"/>
      <c r="CW42" s="1678"/>
      <c r="CX42" s="1678"/>
      <c r="CY42" s="1678"/>
      <c r="CZ42" s="1678"/>
      <c r="DA42" s="1678"/>
      <c r="DB42" s="1678"/>
      <c r="DC42" s="1678"/>
      <c r="DD42" s="1678"/>
      <c r="DE42" s="1678"/>
      <c r="DF42" s="1678"/>
      <c r="DG42" s="1678"/>
      <c r="DH42" s="1678"/>
      <c r="DI42" s="1678"/>
      <c r="DJ42" s="1678"/>
      <c r="DK42" s="1678"/>
      <c r="DL42" s="1678"/>
      <c r="DM42" s="1678"/>
      <c r="DN42" s="1678"/>
      <c r="DO42" s="1678"/>
      <c r="DP42" s="1678"/>
    </row>
    <row r="43" spans="1:120" s="1676" customFormat="1" ht="24" customHeight="1" thickBot="1">
      <c r="B43" s="2669" t="str">
        <f>+'27. Customer numbers'!B38</f>
        <v>West</v>
      </c>
      <c r="C43" s="3411"/>
      <c r="D43" s="3412"/>
      <c r="E43" s="3412"/>
      <c r="F43" s="3412"/>
      <c r="G43" s="3412"/>
      <c r="H43" s="3412"/>
      <c r="I43" s="3412"/>
      <c r="J43" s="3412"/>
      <c r="K43" s="3412"/>
      <c r="L43" s="3412"/>
      <c r="M43" s="3412"/>
      <c r="N43" s="3412"/>
      <c r="O43" s="3412"/>
      <c r="P43" s="3412"/>
      <c r="Q43" s="3412"/>
      <c r="R43" s="3412"/>
      <c r="S43" s="3413"/>
      <c r="T43" s="1677"/>
      <c r="U43" s="1677"/>
      <c r="V43" s="1677"/>
      <c r="W43" s="1677"/>
      <c r="X43" s="1677"/>
      <c r="Y43" s="1677"/>
      <c r="Z43" s="1677"/>
      <c r="AA43" s="1677"/>
      <c r="AB43" s="1677"/>
      <c r="AC43" s="1677"/>
      <c r="AD43" s="1677"/>
      <c r="AE43" s="1677"/>
      <c r="AF43" s="1678"/>
      <c r="AG43" s="1678"/>
      <c r="AH43" s="1678"/>
      <c r="AI43" s="1678"/>
      <c r="AJ43" s="1678"/>
      <c r="AK43" s="1678"/>
      <c r="AL43" s="1678"/>
      <c r="AM43" s="1678"/>
      <c r="AN43" s="1678"/>
      <c r="AO43" s="1678"/>
      <c r="AP43" s="1678"/>
      <c r="AQ43" s="1678"/>
      <c r="AR43" s="1678"/>
      <c r="AS43" s="1678"/>
      <c r="AT43" s="1678"/>
      <c r="AU43" s="1678"/>
      <c r="AV43" s="1678"/>
      <c r="AW43" s="1678"/>
      <c r="AX43" s="1678"/>
      <c r="AY43" s="1678"/>
      <c r="AZ43" s="1678"/>
      <c r="BA43" s="1678"/>
      <c r="BB43" s="1678"/>
      <c r="BC43" s="1678"/>
      <c r="BD43" s="1678"/>
      <c r="BE43" s="1678"/>
      <c r="BF43" s="1678"/>
      <c r="BG43" s="1678"/>
      <c r="BH43" s="1678"/>
      <c r="BI43" s="1678"/>
      <c r="BJ43" s="1678"/>
      <c r="BK43" s="1678"/>
      <c r="BL43" s="1678"/>
      <c r="BM43" s="1678"/>
      <c r="BN43" s="1678"/>
      <c r="BO43" s="1678"/>
      <c r="BP43" s="1678"/>
      <c r="BQ43" s="1678"/>
      <c r="BR43" s="1678"/>
      <c r="BS43" s="1678"/>
      <c r="BT43" s="1678"/>
      <c r="BU43" s="1678"/>
      <c r="BV43" s="1678"/>
      <c r="BW43" s="1678"/>
      <c r="BX43" s="1678"/>
      <c r="BY43" s="1678"/>
      <c r="BZ43" s="1678"/>
      <c r="CA43" s="1678"/>
      <c r="CB43" s="1678"/>
      <c r="CC43" s="1678"/>
      <c r="CD43" s="1678"/>
      <c r="CE43" s="1678"/>
      <c r="CF43" s="1678"/>
      <c r="CG43" s="1678"/>
      <c r="CH43" s="1678"/>
      <c r="CI43" s="1678"/>
      <c r="CJ43" s="1678"/>
      <c r="CK43" s="1678"/>
      <c r="CL43" s="1678"/>
      <c r="CM43" s="1678"/>
      <c r="CN43" s="1678"/>
      <c r="CO43" s="1678"/>
      <c r="CP43" s="1678"/>
      <c r="CQ43" s="1678"/>
      <c r="CR43" s="1678"/>
      <c r="CS43" s="1678"/>
      <c r="CT43" s="1678"/>
      <c r="CU43" s="1678"/>
      <c r="CV43" s="1678"/>
      <c r="CW43" s="1678"/>
      <c r="CX43" s="1678"/>
      <c r="CY43" s="1678"/>
      <c r="CZ43" s="1678"/>
      <c r="DA43" s="1678"/>
      <c r="DB43" s="1678"/>
      <c r="DC43" s="1678"/>
      <c r="DD43" s="1678"/>
      <c r="DE43" s="1678"/>
      <c r="DF43" s="1678"/>
      <c r="DG43" s="1678"/>
      <c r="DH43" s="1678"/>
      <c r="DI43" s="1678"/>
      <c r="DJ43" s="1678"/>
      <c r="DK43" s="1678"/>
      <c r="DL43" s="1678"/>
      <c r="DM43" s="1678"/>
      <c r="DN43" s="1678"/>
      <c r="DO43" s="1678"/>
      <c r="DP43" s="1678"/>
    </row>
    <row r="44" spans="1:120" s="1427" customFormat="1" ht="25.5" customHeight="1" thickBot="1">
      <c r="A44" s="1429"/>
      <c r="B44" s="2669" t="str">
        <f>+'27. Customer numbers'!B39</f>
        <v>Tariff V</v>
      </c>
      <c r="C44" s="3414"/>
      <c r="D44" s="3415"/>
      <c r="E44" s="3415"/>
      <c r="F44" s="3415"/>
      <c r="G44" s="3415"/>
      <c r="H44" s="3415"/>
      <c r="I44" s="3415"/>
      <c r="J44" s="3415"/>
      <c r="K44" s="3415"/>
      <c r="L44" s="3415"/>
      <c r="M44" s="3415"/>
      <c r="N44" s="3415"/>
      <c r="O44" s="3415"/>
      <c r="P44" s="3415"/>
      <c r="Q44" s="3415"/>
      <c r="R44" s="3415"/>
      <c r="S44" s="3416"/>
    </row>
    <row r="45" spans="1:120" s="529" customFormat="1">
      <c r="B45" s="4104" t="str">
        <f>'27. Customer numbers'!B42</f>
        <v>Residential customers</v>
      </c>
      <c r="C45" s="4101" t="s">
        <v>47</v>
      </c>
      <c r="D45" s="4107"/>
      <c r="E45" s="1977">
        <f>+'27. Customer numbers'!D44</f>
        <v>116939</v>
      </c>
      <c r="F45" s="1978">
        <f>+'27. Customer numbers'!E44</f>
        <v>119398</v>
      </c>
      <c r="G45" s="1978">
        <f>+'27. Customer numbers'!F44</f>
        <v>122326.5</v>
      </c>
      <c r="H45" s="1978">
        <f>+'27. Customer numbers'!G44</f>
        <v>125434</v>
      </c>
      <c r="I45" s="2016">
        <f>+'27. Customer numbers'!H44</f>
        <v>128463.5</v>
      </c>
      <c r="J45" s="1977">
        <f>+'27. Customer numbers'!I44</f>
        <v>131348.5</v>
      </c>
      <c r="K45" s="1978">
        <f>+'27. Customer numbers'!J44</f>
        <v>133970</v>
      </c>
      <c r="L45" s="1978">
        <f>+'27. Customer numbers'!K44</f>
        <v>136378</v>
      </c>
      <c r="M45" s="1978">
        <f>+'27. Customer numbers'!L44</f>
        <v>138758.84217211173</v>
      </c>
      <c r="N45" s="2016">
        <f>+'27. Customer numbers'!M44</f>
        <v>140934.74218621594</v>
      </c>
      <c r="O45" s="1977">
        <f>+'27. Customer numbers'!N44</f>
        <v>142816.59622318039</v>
      </c>
      <c r="P45" s="1978">
        <f>+'27. Customer numbers'!O44</f>
        <v>144731.92091246284</v>
      </c>
      <c r="Q45" s="1978">
        <f>+'27. Customer numbers'!P44</f>
        <v>146681.39618254558</v>
      </c>
      <c r="R45" s="1978">
        <f>+'27. Customer numbers'!Q44</f>
        <v>148665.7166239201</v>
      </c>
      <c r="S45" s="2013">
        <f>+'27. Customer numbers'!R44</f>
        <v>150474.55107265734</v>
      </c>
      <c r="T45" s="1427"/>
      <c r="U45" s="1427"/>
      <c r="V45" s="1427"/>
      <c r="W45" s="1427"/>
      <c r="X45" s="1427"/>
      <c r="Y45" s="1427"/>
      <c r="Z45" s="1427"/>
      <c r="AA45" s="1427"/>
      <c r="AB45" s="1427"/>
      <c r="AC45" s="1427"/>
      <c r="AD45" s="1427"/>
      <c r="AE45" s="1427"/>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c r="BU45" s="229"/>
      <c r="BV45" s="229"/>
      <c r="BW45" s="229"/>
      <c r="BX45" s="229"/>
      <c r="BY45" s="229"/>
      <c r="BZ45" s="229"/>
      <c r="CA45" s="229"/>
      <c r="CB45" s="229"/>
      <c r="CC45" s="229"/>
      <c r="CD45" s="229"/>
      <c r="CE45" s="229"/>
      <c r="CF45" s="229"/>
      <c r="CG45" s="229"/>
      <c r="CH45" s="229"/>
      <c r="CI45" s="229"/>
      <c r="CJ45" s="229"/>
      <c r="CK45" s="229"/>
      <c r="CL45" s="229"/>
      <c r="CM45" s="229"/>
      <c r="CN45" s="229"/>
      <c r="CO45" s="229"/>
      <c r="CP45" s="229"/>
      <c r="CQ45" s="229"/>
      <c r="CR45" s="229"/>
      <c r="CS45" s="229"/>
      <c r="CT45" s="229"/>
      <c r="CU45" s="229"/>
      <c r="CV45" s="229"/>
      <c r="CW45" s="229"/>
      <c r="CX45" s="229"/>
      <c r="CY45" s="229"/>
      <c r="CZ45" s="229"/>
      <c r="DA45" s="229"/>
      <c r="DB45" s="229"/>
      <c r="DC45" s="229"/>
      <c r="DD45" s="229"/>
      <c r="DE45" s="229"/>
      <c r="DF45" s="229"/>
      <c r="DG45" s="229"/>
      <c r="DH45" s="229"/>
      <c r="DI45" s="229"/>
      <c r="DJ45" s="229"/>
      <c r="DK45" s="229"/>
      <c r="DL45" s="229"/>
      <c r="DM45" s="229"/>
      <c r="DN45" s="229"/>
      <c r="DO45" s="229"/>
      <c r="DP45" s="229"/>
    </row>
    <row r="46" spans="1:120" s="529" customFormat="1">
      <c r="B46" s="4104"/>
      <c r="C46" s="1026" t="s">
        <v>1483</v>
      </c>
      <c r="D46" s="983" t="s">
        <v>1479</v>
      </c>
      <c r="E46" s="514">
        <v>1266002.6869999999</v>
      </c>
      <c r="F46" s="513">
        <v>1282652.8218206067</v>
      </c>
      <c r="G46" s="513">
        <v>1328921.7490000001</v>
      </c>
      <c r="H46" s="513">
        <v>1331262.2849999999</v>
      </c>
      <c r="I46" s="702">
        <v>1369070.942</v>
      </c>
      <c r="J46" s="514">
        <v>1377303.96</v>
      </c>
      <c r="K46" s="513">
        <v>1342174.081</v>
      </c>
      <c r="L46" s="513">
        <v>1437746.8570000001</v>
      </c>
      <c r="M46" s="513">
        <v>1453142.5959999999</v>
      </c>
      <c r="N46" s="702">
        <v>1463214.5149693063</v>
      </c>
      <c r="O46" s="514">
        <v>1463699.3805083584</v>
      </c>
      <c r="P46" s="513">
        <v>1465860.5373124981</v>
      </c>
      <c r="Q46" s="513">
        <v>1460286.3666349906</v>
      </c>
      <c r="R46" s="513">
        <v>1456135.5108245688</v>
      </c>
      <c r="S46" s="464">
        <v>1439950.021724927</v>
      </c>
      <c r="T46" s="1427"/>
      <c r="U46" s="1427"/>
      <c r="V46" s="1427"/>
      <c r="W46" s="1427"/>
      <c r="X46" s="1427"/>
      <c r="Y46" s="1427"/>
      <c r="Z46" s="1427"/>
      <c r="AA46" s="1427"/>
      <c r="AB46" s="1427"/>
      <c r="AC46" s="1427"/>
      <c r="AD46" s="1427"/>
      <c r="AE46" s="1427"/>
      <c r="AF46" s="229"/>
      <c r="AG46" s="229"/>
      <c r="AH46" s="229"/>
      <c r="AI46" s="229"/>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c r="BU46" s="229"/>
      <c r="BV46" s="229"/>
      <c r="BW46" s="229"/>
      <c r="BX46" s="229"/>
      <c r="BY46" s="229"/>
      <c r="BZ46" s="229"/>
      <c r="CA46" s="229"/>
      <c r="CB46" s="229"/>
      <c r="CC46" s="229"/>
      <c r="CD46" s="229"/>
      <c r="CE46" s="229"/>
      <c r="CF46" s="229"/>
      <c r="CG46" s="229"/>
      <c r="CH46" s="229"/>
      <c r="CI46" s="229"/>
      <c r="CJ46" s="229"/>
      <c r="CK46" s="229"/>
      <c r="CL46" s="229"/>
      <c r="CM46" s="229"/>
      <c r="CN46" s="229"/>
      <c r="CO46" s="229"/>
      <c r="CP46" s="229"/>
      <c r="CQ46" s="229"/>
      <c r="CR46" s="229"/>
      <c r="CS46" s="229"/>
      <c r="CT46" s="229"/>
      <c r="CU46" s="229"/>
      <c r="CV46" s="229"/>
      <c r="CW46" s="229"/>
      <c r="CX46" s="229"/>
      <c r="CY46" s="229"/>
      <c r="CZ46" s="229"/>
      <c r="DA46" s="229"/>
      <c r="DB46" s="229"/>
      <c r="DC46" s="229"/>
      <c r="DD46" s="229"/>
      <c r="DE46" s="229"/>
      <c r="DF46" s="229"/>
      <c r="DG46" s="229"/>
      <c r="DH46" s="229"/>
      <c r="DI46" s="229"/>
      <c r="DJ46" s="229"/>
      <c r="DK46" s="229"/>
      <c r="DL46" s="229"/>
      <c r="DM46" s="229"/>
      <c r="DN46" s="229"/>
      <c r="DO46" s="229"/>
      <c r="DP46" s="229"/>
    </row>
    <row r="47" spans="1:120" s="529" customFormat="1">
      <c r="B47" s="4104"/>
      <c r="C47" s="1026" t="s">
        <v>1484</v>
      </c>
      <c r="D47" s="983" t="s">
        <v>1480</v>
      </c>
      <c r="E47" s="514">
        <v>976404.478</v>
      </c>
      <c r="F47" s="513">
        <v>939854.68582687492</v>
      </c>
      <c r="G47" s="513">
        <v>1058897.672</v>
      </c>
      <c r="H47" s="513">
        <v>963222.92799999996</v>
      </c>
      <c r="I47" s="702">
        <v>1051249.8230000001</v>
      </c>
      <c r="J47" s="514">
        <v>974644.06499999994</v>
      </c>
      <c r="K47" s="513">
        <v>1023237.93</v>
      </c>
      <c r="L47" s="513">
        <v>1099527.3540000001</v>
      </c>
      <c r="M47" s="513">
        <v>1123117.129</v>
      </c>
      <c r="N47" s="702">
        <v>1118052.7496081945</v>
      </c>
      <c r="O47" s="514">
        <v>1116284.8035327739</v>
      </c>
      <c r="P47" s="513">
        <v>1115791.7133973818</v>
      </c>
      <c r="Q47" s="513">
        <v>1109304.1480727808</v>
      </c>
      <c r="R47" s="513">
        <v>1103927.6499706376</v>
      </c>
      <c r="S47" s="464">
        <v>1089336.9022439439</v>
      </c>
      <c r="T47" s="1427"/>
      <c r="U47" s="1427"/>
      <c r="V47" s="1427"/>
      <c r="W47" s="1427"/>
      <c r="X47" s="1427"/>
      <c r="Y47" s="1427"/>
      <c r="Z47" s="1427"/>
      <c r="AA47" s="1427"/>
      <c r="AB47" s="1427"/>
      <c r="AC47" s="1427"/>
      <c r="AD47" s="1427"/>
      <c r="AE47" s="1427"/>
      <c r="AF47" s="229"/>
      <c r="AG47" s="229"/>
      <c r="AH47" s="229"/>
      <c r="AI47" s="229"/>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c r="BU47" s="229"/>
      <c r="BV47" s="229"/>
      <c r="BW47" s="229"/>
      <c r="BX47" s="229"/>
      <c r="BY47" s="229"/>
      <c r="BZ47" s="229"/>
      <c r="CA47" s="229"/>
      <c r="CB47" s="229"/>
      <c r="CC47" s="229"/>
      <c r="CD47" s="229"/>
      <c r="CE47" s="229"/>
      <c r="CF47" s="229"/>
      <c r="CG47" s="229"/>
      <c r="CH47" s="229"/>
      <c r="CI47" s="229"/>
      <c r="CJ47" s="229"/>
      <c r="CK47" s="229"/>
      <c r="CL47" s="229"/>
      <c r="CM47" s="229"/>
      <c r="CN47" s="229"/>
      <c r="CO47" s="229"/>
      <c r="CP47" s="229"/>
      <c r="CQ47" s="229"/>
      <c r="CR47" s="229"/>
      <c r="CS47" s="229"/>
      <c r="CT47" s="229"/>
      <c r="CU47" s="229"/>
      <c r="CV47" s="229"/>
      <c r="CW47" s="229"/>
      <c r="CX47" s="229"/>
      <c r="CY47" s="229"/>
      <c r="CZ47" s="229"/>
      <c r="DA47" s="229"/>
      <c r="DB47" s="229"/>
      <c r="DC47" s="229"/>
      <c r="DD47" s="229"/>
      <c r="DE47" s="229"/>
      <c r="DF47" s="229"/>
      <c r="DG47" s="229"/>
      <c r="DH47" s="229"/>
      <c r="DI47" s="229"/>
      <c r="DJ47" s="229"/>
      <c r="DK47" s="229"/>
      <c r="DL47" s="229"/>
      <c r="DM47" s="229"/>
      <c r="DN47" s="229"/>
      <c r="DO47" s="229"/>
      <c r="DP47" s="229"/>
    </row>
    <row r="48" spans="1:120" s="529" customFormat="1">
      <c r="B48" s="4104"/>
      <c r="C48" s="1026" t="s">
        <v>1485</v>
      </c>
      <c r="D48" s="983" t="s">
        <v>1481</v>
      </c>
      <c r="E48" s="514">
        <v>1432730.5460000001</v>
      </c>
      <c r="F48" s="513">
        <v>1285222.5833798142</v>
      </c>
      <c r="G48" s="513">
        <v>1704251.7080000001</v>
      </c>
      <c r="H48" s="513">
        <v>1274933.983</v>
      </c>
      <c r="I48" s="702">
        <v>1561449.649</v>
      </c>
      <c r="J48" s="514">
        <v>1264270.0160000001</v>
      </c>
      <c r="K48" s="513">
        <v>1529409.027</v>
      </c>
      <c r="L48" s="513">
        <v>1822140.8259999999</v>
      </c>
      <c r="M48" s="513">
        <v>1710943.2930000001</v>
      </c>
      <c r="N48" s="702">
        <v>1670501.0341689198</v>
      </c>
      <c r="O48" s="514">
        <v>1671689.1097668784</v>
      </c>
      <c r="P48" s="513">
        <v>1674967.2794527654</v>
      </c>
      <c r="Q48" s="513">
        <v>1669302.4929287224</v>
      </c>
      <c r="R48" s="513">
        <v>1665570.3394105693</v>
      </c>
      <c r="S48" s="464">
        <v>1649166.8813264549</v>
      </c>
      <c r="T48" s="1427"/>
      <c r="U48" s="1427"/>
      <c r="V48" s="1427"/>
      <c r="W48" s="1427"/>
      <c r="X48" s="1427"/>
      <c r="Y48" s="1427"/>
      <c r="Z48" s="1427"/>
      <c r="AA48" s="1427"/>
      <c r="AB48" s="1427"/>
      <c r="AC48" s="1427"/>
      <c r="AD48" s="1427"/>
      <c r="AE48" s="1427"/>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c r="BU48" s="229"/>
      <c r="BV48" s="229"/>
      <c r="BW48" s="229"/>
      <c r="BX48" s="229"/>
      <c r="BY48" s="229"/>
      <c r="BZ48" s="229"/>
      <c r="CA48" s="229"/>
      <c r="CB48" s="229"/>
      <c r="CC48" s="229"/>
      <c r="CD48" s="229"/>
      <c r="CE48" s="229"/>
      <c r="CF48" s="229"/>
      <c r="CG48" s="229"/>
      <c r="CH48" s="229"/>
      <c r="CI48" s="229"/>
      <c r="CJ48" s="229"/>
      <c r="CK48" s="229"/>
      <c r="CL48" s="229"/>
      <c r="CM48" s="229"/>
      <c r="CN48" s="229"/>
      <c r="CO48" s="229"/>
      <c r="CP48" s="229"/>
      <c r="CQ48" s="229"/>
      <c r="CR48" s="229"/>
      <c r="CS48" s="229"/>
      <c r="CT48" s="229"/>
      <c r="CU48" s="229"/>
      <c r="CV48" s="229"/>
      <c r="CW48" s="229"/>
      <c r="CX48" s="229"/>
      <c r="CY48" s="229"/>
      <c r="CZ48" s="229"/>
      <c r="DA48" s="229"/>
      <c r="DB48" s="229"/>
      <c r="DC48" s="229"/>
      <c r="DD48" s="229"/>
      <c r="DE48" s="229"/>
      <c r="DF48" s="229"/>
      <c r="DG48" s="229"/>
      <c r="DH48" s="229"/>
      <c r="DI48" s="229"/>
      <c r="DJ48" s="229"/>
      <c r="DK48" s="229"/>
      <c r="DL48" s="229"/>
      <c r="DM48" s="229"/>
      <c r="DN48" s="229"/>
      <c r="DO48" s="229"/>
      <c r="DP48" s="229"/>
    </row>
    <row r="49" spans="2:120" s="529" customFormat="1">
      <c r="B49" s="4104"/>
      <c r="C49" s="1026" t="s">
        <v>1486</v>
      </c>
      <c r="D49" s="983" t="s">
        <v>1482</v>
      </c>
      <c r="E49" s="514">
        <v>25081.969000000001</v>
      </c>
      <c r="F49" s="513">
        <v>23748.687347582432</v>
      </c>
      <c r="G49" s="513">
        <v>15114.504999999999</v>
      </c>
      <c r="H49" s="513">
        <v>13554.013999999999</v>
      </c>
      <c r="I49" s="702">
        <v>13223.936</v>
      </c>
      <c r="J49" s="514">
        <v>13245.787</v>
      </c>
      <c r="K49" s="513">
        <v>22991.377</v>
      </c>
      <c r="L49" s="513">
        <v>18894.167000000001</v>
      </c>
      <c r="M49" s="513">
        <v>26549.635999999999</v>
      </c>
      <c r="N49" s="702">
        <v>26750.861255021795</v>
      </c>
      <c r="O49" s="514">
        <v>27207.240619980432</v>
      </c>
      <c r="P49" s="513">
        <v>27702.665313199861</v>
      </c>
      <c r="Q49" s="513">
        <v>28061.434689741913</v>
      </c>
      <c r="R49" s="513">
        <v>28445.062390241674</v>
      </c>
      <c r="S49" s="464">
        <v>28550.017693233283</v>
      </c>
      <c r="T49" s="1427"/>
      <c r="U49" s="1427"/>
      <c r="V49" s="1427"/>
      <c r="W49" s="1427"/>
      <c r="X49" s="1427"/>
      <c r="Y49" s="1427"/>
      <c r="Z49" s="1427"/>
      <c r="AA49" s="1427"/>
      <c r="AB49" s="1427"/>
      <c r="AC49" s="1427"/>
      <c r="AD49" s="1427"/>
      <c r="AE49" s="1427"/>
      <c r="AF49" s="229"/>
      <c r="AG49" s="229"/>
      <c r="AH49" s="229"/>
      <c r="AI49" s="229"/>
      <c r="AJ49" s="229"/>
      <c r="AK49" s="229"/>
      <c r="AL49" s="229"/>
      <c r="AM49" s="229"/>
      <c r="AN49" s="229"/>
      <c r="AO49" s="229"/>
      <c r="AP49" s="229"/>
      <c r="AQ49" s="229"/>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c r="BU49" s="229"/>
      <c r="BV49" s="229"/>
      <c r="BW49" s="229"/>
      <c r="BX49" s="229"/>
      <c r="BY49" s="229"/>
      <c r="BZ49" s="229"/>
      <c r="CA49" s="229"/>
      <c r="CB49" s="229"/>
      <c r="CC49" s="229"/>
      <c r="CD49" s="229"/>
      <c r="CE49" s="229"/>
      <c r="CF49" s="229"/>
      <c r="CG49" s="229"/>
      <c r="CH49" s="229"/>
      <c r="CI49" s="229"/>
      <c r="CJ49" s="229"/>
      <c r="CK49" s="229"/>
      <c r="CL49" s="229"/>
      <c r="CM49" s="229"/>
      <c r="CN49" s="229"/>
      <c r="CO49" s="229"/>
      <c r="CP49" s="229"/>
      <c r="CQ49" s="229"/>
      <c r="CR49" s="229"/>
      <c r="CS49" s="229"/>
      <c r="CT49" s="229"/>
      <c r="CU49" s="229"/>
      <c r="CV49" s="229"/>
      <c r="CW49" s="229"/>
      <c r="CX49" s="229"/>
      <c r="CY49" s="229"/>
      <c r="CZ49" s="229"/>
      <c r="DA49" s="229"/>
      <c r="DB49" s="229"/>
      <c r="DC49" s="229"/>
      <c r="DD49" s="229"/>
      <c r="DE49" s="229"/>
      <c r="DF49" s="229"/>
      <c r="DG49" s="229"/>
      <c r="DH49" s="229"/>
      <c r="DI49" s="229"/>
      <c r="DJ49" s="229"/>
      <c r="DK49" s="229"/>
      <c r="DL49" s="229"/>
      <c r="DM49" s="229"/>
      <c r="DN49" s="229"/>
      <c r="DO49" s="229"/>
      <c r="DP49" s="229"/>
    </row>
    <row r="50" spans="2:120" s="529" customFormat="1">
      <c r="B50" s="4104"/>
      <c r="C50" s="3417" t="s">
        <v>1491</v>
      </c>
      <c r="D50" s="983" t="s">
        <v>1487</v>
      </c>
      <c r="E50" s="751">
        <v>1742034.1869999999</v>
      </c>
      <c r="F50" s="752">
        <v>1769988.2171793929</v>
      </c>
      <c r="G50" s="752">
        <v>1742183.452</v>
      </c>
      <c r="H50" s="752">
        <v>1831802.037</v>
      </c>
      <c r="I50" s="3419">
        <v>1854874.649</v>
      </c>
      <c r="J50" s="751">
        <v>1817766.6070000001</v>
      </c>
      <c r="K50" s="752">
        <v>1765758.865</v>
      </c>
      <c r="L50" s="752">
        <v>1854183.4040000001</v>
      </c>
      <c r="M50" s="752">
        <v>1850320.0989999999</v>
      </c>
      <c r="N50" s="3419">
        <v>1843454.6768652392</v>
      </c>
      <c r="O50" s="751">
        <v>1830447.2189709172</v>
      </c>
      <c r="P50" s="752">
        <v>1819459.1508116794</v>
      </c>
      <c r="Q50" s="752">
        <v>1798631.0115140765</v>
      </c>
      <c r="R50" s="752">
        <v>1779817.6032507489</v>
      </c>
      <c r="S50" s="3421">
        <v>1747789.353948365</v>
      </c>
      <c r="T50" s="1427"/>
      <c r="U50" s="1427"/>
      <c r="V50" s="1427"/>
      <c r="W50" s="1427"/>
      <c r="X50" s="1427"/>
      <c r="Y50" s="1427"/>
      <c r="Z50" s="1427"/>
      <c r="AA50" s="1427"/>
      <c r="AB50" s="1427"/>
      <c r="AC50" s="1427"/>
      <c r="AD50" s="1427"/>
      <c r="AE50" s="1427"/>
      <c r="AF50" s="229"/>
      <c r="AG50" s="229"/>
      <c r="AH50" s="229"/>
      <c r="AI50" s="229"/>
      <c r="AJ50" s="229"/>
      <c r="AK50" s="229"/>
      <c r="AL50" s="229"/>
      <c r="AM50" s="229"/>
      <c r="AN50" s="229"/>
      <c r="AO50" s="229"/>
      <c r="AP50" s="229"/>
      <c r="AQ50" s="229"/>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c r="BU50" s="229"/>
      <c r="BV50" s="229"/>
      <c r="BW50" s="229"/>
      <c r="BX50" s="229"/>
      <c r="BY50" s="229"/>
      <c r="BZ50" s="229"/>
      <c r="CA50" s="229"/>
      <c r="CB50" s="229"/>
      <c r="CC50" s="229"/>
      <c r="CD50" s="229"/>
      <c r="CE50" s="229"/>
      <c r="CF50" s="229"/>
      <c r="CG50" s="229"/>
      <c r="CH50" s="229"/>
      <c r="CI50" s="229"/>
      <c r="CJ50" s="229"/>
      <c r="CK50" s="229"/>
      <c r="CL50" s="229"/>
      <c r="CM50" s="229"/>
      <c r="CN50" s="229"/>
      <c r="CO50" s="229"/>
      <c r="CP50" s="229"/>
      <c r="CQ50" s="229"/>
      <c r="CR50" s="229"/>
      <c r="CS50" s="229"/>
      <c r="CT50" s="229"/>
      <c r="CU50" s="229"/>
      <c r="CV50" s="229"/>
      <c r="CW50" s="229"/>
      <c r="CX50" s="229"/>
      <c r="CY50" s="229"/>
      <c r="CZ50" s="229"/>
      <c r="DA50" s="229"/>
      <c r="DB50" s="229"/>
      <c r="DC50" s="229"/>
      <c r="DD50" s="229"/>
      <c r="DE50" s="229"/>
      <c r="DF50" s="229"/>
      <c r="DG50" s="229"/>
      <c r="DH50" s="229"/>
      <c r="DI50" s="229"/>
      <c r="DJ50" s="229"/>
      <c r="DK50" s="229"/>
      <c r="DL50" s="229"/>
      <c r="DM50" s="229"/>
      <c r="DN50" s="229"/>
      <c r="DO50" s="229"/>
      <c r="DP50" s="229"/>
    </row>
    <row r="51" spans="2:120" s="529" customFormat="1">
      <c r="B51" s="4104"/>
      <c r="C51" s="3417" t="s">
        <v>1492</v>
      </c>
      <c r="D51" s="983" t="s">
        <v>1488</v>
      </c>
      <c r="E51" s="751">
        <v>500088.76899999997</v>
      </c>
      <c r="F51" s="752">
        <v>568172.34717312513</v>
      </c>
      <c r="G51" s="752">
        <v>472723.94400000002</v>
      </c>
      <c r="H51" s="752">
        <v>541692.04399999999</v>
      </c>
      <c r="I51" s="3419">
        <v>528078.375</v>
      </c>
      <c r="J51" s="751">
        <v>532254.69099999999</v>
      </c>
      <c r="K51" s="752">
        <v>389396.06800000003</v>
      </c>
      <c r="L51" s="752">
        <v>488500.272</v>
      </c>
      <c r="M51" s="752">
        <v>515154.06800000003</v>
      </c>
      <c r="N51" s="3419">
        <v>482431.91499701241</v>
      </c>
      <c r="O51" s="751">
        <v>474335.29844272922</v>
      </c>
      <c r="P51" s="752">
        <v>466788.58653363952</v>
      </c>
      <c r="Q51" s="752">
        <v>456510.63010665518</v>
      </c>
      <c r="R51" s="752">
        <v>446866.92263603798</v>
      </c>
      <c r="S51" s="3421">
        <v>433953.58893976465</v>
      </c>
      <c r="T51" s="1427"/>
      <c r="U51" s="1427"/>
      <c r="V51" s="1427"/>
      <c r="W51" s="1427"/>
      <c r="X51" s="1427"/>
      <c r="Y51" s="1427"/>
      <c r="Z51" s="1427"/>
      <c r="AA51" s="1427"/>
      <c r="AB51" s="1427"/>
      <c r="AC51" s="1427"/>
      <c r="AD51" s="1427"/>
      <c r="AE51" s="1427"/>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c r="BU51" s="229"/>
      <c r="BV51" s="229"/>
      <c r="BW51" s="229"/>
      <c r="BX51" s="229"/>
      <c r="BY51" s="229"/>
      <c r="BZ51" s="229"/>
      <c r="CA51" s="229"/>
      <c r="CB51" s="229"/>
      <c r="CC51" s="229"/>
      <c r="CD51" s="229"/>
      <c r="CE51" s="229"/>
      <c r="CF51" s="229"/>
      <c r="CG51" s="229"/>
      <c r="CH51" s="229"/>
      <c r="CI51" s="229"/>
      <c r="CJ51" s="229"/>
      <c r="CK51" s="229"/>
      <c r="CL51" s="229"/>
      <c r="CM51" s="229"/>
      <c r="CN51" s="229"/>
      <c r="CO51" s="229"/>
      <c r="CP51" s="229"/>
      <c r="CQ51" s="229"/>
      <c r="CR51" s="229"/>
      <c r="CS51" s="229"/>
      <c r="CT51" s="229"/>
      <c r="CU51" s="229"/>
      <c r="CV51" s="229"/>
      <c r="CW51" s="229"/>
      <c r="CX51" s="229"/>
      <c r="CY51" s="229"/>
      <c r="CZ51" s="229"/>
      <c r="DA51" s="229"/>
      <c r="DB51" s="229"/>
      <c r="DC51" s="229"/>
      <c r="DD51" s="229"/>
      <c r="DE51" s="229"/>
      <c r="DF51" s="229"/>
      <c r="DG51" s="229"/>
      <c r="DH51" s="229"/>
      <c r="DI51" s="229"/>
      <c r="DJ51" s="229"/>
      <c r="DK51" s="229"/>
      <c r="DL51" s="229"/>
      <c r="DM51" s="229"/>
      <c r="DN51" s="229"/>
      <c r="DO51" s="229"/>
      <c r="DP51" s="229"/>
    </row>
    <row r="52" spans="2:120" s="529" customFormat="1">
      <c r="B52" s="4104"/>
      <c r="C52" s="3417" t="s">
        <v>1493</v>
      </c>
      <c r="D52" s="983" t="s">
        <v>1489</v>
      </c>
      <c r="E52" s="751">
        <v>293878.80699999997</v>
      </c>
      <c r="F52" s="752">
        <v>411594.08262018563</v>
      </c>
      <c r="G52" s="752">
        <v>201019.658</v>
      </c>
      <c r="H52" s="752">
        <v>333075.68300000002</v>
      </c>
      <c r="I52" s="3419">
        <v>290571.18099999998</v>
      </c>
      <c r="J52" s="751">
        <v>322258.36900000001</v>
      </c>
      <c r="K52" s="752">
        <v>151243.67300000001</v>
      </c>
      <c r="L52" s="752">
        <v>249515.13099999999</v>
      </c>
      <c r="M52" s="752">
        <v>324240.64799999999</v>
      </c>
      <c r="N52" s="3419">
        <v>294919.10829663719</v>
      </c>
      <c r="O52" s="751">
        <v>290155.37754517159</v>
      </c>
      <c r="P52" s="752">
        <v>285756.5794905572</v>
      </c>
      <c r="Q52" s="752">
        <v>279657.37468871265</v>
      </c>
      <c r="R52" s="752">
        <v>273981.93280950218</v>
      </c>
      <c r="S52" s="3421">
        <v>266323.45497218909</v>
      </c>
      <c r="T52" s="1427"/>
      <c r="U52" s="1427"/>
      <c r="V52" s="1427"/>
      <c r="W52" s="1427"/>
      <c r="X52" s="1427"/>
      <c r="Y52" s="1427"/>
      <c r="Z52" s="1427"/>
      <c r="AA52" s="1427"/>
      <c r="AB52" s="1427"/>
      <c r="AC52" s="1427"/>
      <c r="AD52" s="1427"/>
      <c r="AE52" s="1427"/>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c r="BU52" s="229"/>
      <c r="BV52" s="229"/>
      <c r="BW52" s="229"/>
      <c r="BX52" s="229"/>
      <c r="BY52" s="229"/>
      <c r="BZ52" s="229"/>
      <c r="CA52" s="229"/>
      <c r="CB52" s="229"/>
      <c r="CC52" s="229"/>
      <c r="CD52" s="229"/>
      <c r="CE52" s="229"/>
      <c r="CF52" s="229"/>
      <c r="CG52" s="229"/>
      <c r="CH52" s="229"/>
      <c r="CI52" s="229"/>
      <c r="CJ52" s="229"/>
      <c r="CK52" s="229"/>
      <c r="CL52" s="229"/>
      <c r="CM52" s="229"/>
      <c r="CN52" s="229"/>
      <c r="CO52" s="229"/>
      <c r="CP52" s="229"/>
      <c r="CQ52" s="229"/>
      <c r="CR52" s="229"/>
      <c r="CS52" s="229"/>
      <c r="CT52" s="229"/>
      <c r="CU52" s="229"/>
      <c r="CV52" s="229"/>
      <c r="CW52" s="229"/>
      <c r="CX52" s="229"/>
      <c r="CY52" s="229"/>
      <c r="CZ52" s="229"/>
      <c r="DA52" s="229"/>
      <c r="DB52" s="229"/>
      <c r="DC52" s="229"/>
      <c r="DD52" s="229"/>
      <c r="DE52" s="229"/>
      <c r="DF52" s="229"/>
      <c r="DG52" s="229"/>
      <c r="DH52" s="229"/>
      <c r="DI52" s="229"/>
      <c r="DJ52" s="229"/>
      <c r="DK52" s="229"/>
      <c r="DL52" s="229"/>
      <c r="DM52" s="229"/>
      <c r="DN52" s="229"/>
      <c r="DO52" s="229"/>
      <c r="DP52" s="229"/>
    </row>
    <row r="53" spans="2:120" s="529" customFormat="1">
      <c r="B53" s="4104"/>
      <c r="C53" s="3417" t="s">
        <v>1494</v>
      </c>
      <c r="D53" s="983" t="s">
        <v>1490</v>
      </c>
      <c r="E53" s="751">
        <v>27609.38</v>
      </c>
      <c r="F53" s="752">
        <v>29467.264652417565</v>
      </c>
      <c r="G53" s="752">
        <v>25113.511999999999</v>
      </c>
      <c r="H53" s="752">
        <v>12222.116</v>
      </c>
      <c r="I53" s="3419">
        <v>13207.112999999999</v>
      </c>
      <c r="J53" s="751">
        <v>13389.912</v>
      </c>
      <c r="K53" s="752">
        <v>13339.949000000001</v>
      </c>
      <c r="L53" s="752">
        <v>14518.501</v>
      </c>
      <c r="M53" s="752">
        <v>17672.631000000001</v>
      </c>
      <c r="N53" s="3419">
        <v>17467.96067755331</v>
      </c>
      <c r="O53" s="751">
        <v>17676.317181208866</v>
      </c>
      <c r="P53" s="752">
        <v>17908.644427041349</v>
      </c>
      <c r="Q53" s="752">
        <v>18047.610276486888</v>
      </c>
      <c r="R53" s="752">
        <v>18201.283137224909</v>
      </c>
      <c r="S53" s="3421">
        <v>18159.572693856222</v>
      </c>
      <c r="T53" s="1427"/>
      <c r="U53" s="1427"/>
      <c r="V53" s="1427"/>
      <c r="W53" s="1427"/>
      <c r="X53" s="1427"/>
      <c r="Y53" s="1427"/>
      <c r="Z53" s="1427"/>
      <c r="AA53" s="1427"/>
      <c r="AB53" s="1427"/>
      <c r="AC53" s="1427"/>
      <c r="AD53" s="1427"/>
      <c r="AE53" s="1427"/>
      <c r="AF53" s="229"/>
      <c r="AG53" s="229"/>
      <c r="AH53" s="229"/>
      <c r="AI53" s="229"/>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c r="BU53" s="229"/>
      <c r="BV53" s="229"/>
      <c r="BW53" s="229"/>
      <c r="BX53" s="229"/>
      <c r="BY53" s="229"/>
      <c r="BZ53" s="229"/>
      <c r="CA53" s="229"/>
      <c r="CB53" s="229"/>
      <c r="CC53" s="229"/>
      <c r="CD53" s="229"/>
      <c r="CE53" s="229"/>
      <c r="CF53" s="229"/>
      <c r="CG53" s="229"/>
      <c r="CH53" s="229"/>
      <c r="CI53" s="229"/>
      <c r="CJ53" s="229"/>
      <c r="CK53" s="229"/>
      <c r="CL53" s="229"/>
      <c r="CM53" s="229"/>
      <c r="CN53" s="229"/>
      <c r="CO53" s="229"/>
      <c r="CP53" s="229"/>
      <c r="CQ53" s="229"/>
      <c r="CR53" s="229"/>
      <c r="CS53" s="229"/>
      <c r="CT53" s="229"/>
      <c r="CU53" s="229"/>
      <c r="CV53" s="229"/>
      <c r="CW53" s="229"/>
      <c r="CX53" s="229"/>
      <c r="CY53" s="229"/>
      <c r="CZ53" s="229"/>
      <c r="DA53" s="229"/>
      <c r="DB53" s="229"/>
      <c r="DC53" s="229"/>
      <c r="DD53" s="229"/>
      <c r="DE53" s="229"/>
      <c r="DF53" s="229"/>
      <c r="DG53" s="229"/>
      <c r="DH53" s="229"/>
      <c r="DI53" s="229"/>
      <c r="DJ53" s="229"/>
      <c r="DK53" s="229"/>
      <c r="DL53" s="229"/>
      <c r="DM53" s="229"/>
      <c r="DN53" s="229"/>
      <c r="DO53" s="229"/>
      <c r="DP53" s="229"/>
    </row>
    <row r="54" spans="2:120" s="529" customFormat="1" ht="13.5" thickBot="1">
      <c r="B54" s="4105"/>
      <c r="C54" s="4099" t="s">
        <v>410</v>
      </c>
      <c r="D54" s="4106"/>
      <c r="E54" s="2012">
        <f>SUM(E46:E53)</f>
        <v>6263830.8230000008</v>
      </c>
      <c r="F54" s="2014">
        <f t="shared" ref="F54" si="16">SUM(F46:F53)</f>
        <v>6310700.6900000013</v>
      </c>
      <c r="G54" s="2014">
        <f t="shared" ref="G54" si="17">SUM(G46:G53)</f>
        <v>6548226.2000000002</v>
      </c>
      <c r="H54" s="2014">
        <f t="shared" ref="H54" si="18">SUM(H46:H53)</f>
        <v>6301765.0899999999</v>
      </c>
      <c r="I54" s="2017">
        <f t="shared" ref="I54" si="19">SUM(I46:I53)</f>
        <v>6681725.6679999996</v>
      </c>
      <c r="J54" s="2012">
        <f t="shared" ref="J54" si="20">SUM(J46:J53)</f>
        <v>6315133.4069999997</v>
      </c>
      <c r="K54" s="2014">
        <f t="shared" ref="K54" si="21">SUM(K46:K53)</f>
        <v>6237550.9699999997</v>
      </c>
      <c r="L54" s="2014">
        <f t="shared" ref="L54" si="22">SUM(L46:L53)</f>
        <v>6985026.512000001</v>
      </c>
      <c r="M54" s="2014">
        <f t="shared" ref="M54" si="23">SUM(M46:M53)</f>
        <v>7021140.0999999987</v>
      </c>
      <c r="N54" s="2017">
        <f t="shared" ref="N54" si="24">SUM(N46:N53)</f>
        <v>6916792.8208378833</v>
      </c>
      <c r="O54" s="2012">
        <f t="shared" ref="O54" si="25">SUM(O46:O53)</f>
        <v>6891494.7465680176</v>
      </c>
      <c r="P54" s="2014">
        <f t="shared" ref="P54" si="26">SUM(P46:P53)</f>
        <v>6874235.1567387637</v>
      </c>
      <c r="Q54" s="2014">
        <f t="shared" ref="Q54" si="27">SUM(Q46:Q53)</f>
        <v>6819801.0689121662</v>
      </c>
      <c r="R54" s="2014">
        <f t="shared" ref="R54" si="28">SUM(R46:R53)</f>
        <v>6772946.3044295311</v>
      </c>
      <c r="S54" s="2015">
        <f t="shared" ref="S54" si="29">SUM(S46:S53)</f>
        <v>6673229.7935427343</v>
      </c>
      <c r="T54" s="1427"/>
      <c r="U54" s="3432"/>
      <c r="V54" s="1427"/>
      <c r="W54" s="1427"/>
      <c r="X54" s="1427"/>
      <c r="Y54" s="1427"/>
      <c r="Z54" s="1427"/>
      <c r="AA54" s="1427"/>
      <c r="AB54" s="1427"/>
      <c r="AC54" s="1427"/>
      <c r="AD54" s="1427"/>
      <c r="AE54" s="1427"/>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29"/>
      <c r="CR54" s="229"/>
      <c r="CS54" s="229"/>
      <c r="CT54" s="229"/>
      <c r="CU54" s="229"/>
      <c r="CV54" s="229"/>
      <c r="CW54" s="229"/>
      <c r="CX54" s="229"/>
      <c r="CY54" s="229"/>
      <c r="CZ54" s="229"/>
      <c r="DA54" s="229"/>
      <c r="DB54" s="229"/>
      <c r="DC54" s="229"/>
      <c r="DD54" s="229"/>
      <c r="DE54" s="229"/>
      <c r="DF54" s="229"/>
      <c r="DG54" s="229"/>
      <c r="DH54" s="229"/>
      <c r="DI54" s="229"/>
      <c r="DJ54" s="229"/>
      <c r="DK54" s="229"/>
      <c r="DL54" s="229"/>
      <c r="DM54" s="229"/>
      <c r="DN54" s="229"/>
      <c r="DO54" s="229"/>
      <c r="DP54" s="229"/>
    </row>
    <row r="55" spans="2:120" s="529" customFormat="1">
      <c r="B55" s="4103" t="str">
        <f>+'27. Customer numbers'!B48</f>
        <v>Commercial customers</v>
      </c>
      <c r="C55" s="4101" t="s">
        <v>47</v>
      </c>
      <c r="D55" s="4102"/>
      <c r="E55" s="1977">
        <f>+'27. Customer numbers'!D50</f>
        <v>6120.5</v>
      </c>
      <c r="F55" s="1978">
        <f>+'27. Customer numbers'!E50</f>
        <v>6119</v>
      </c>
      <c r="G55" s="1978">
        <f>+'27. Customer numbers'!F50</f>
        <v>6125</v>
      </c>
      <c r="H55" s="1978">
        <f>+'27. Customer numbers'!G50</f>
        <v>6131</v>
      </c>
      <c r="I55" s="2016">
        <f>+'27. Customer numbers'!H50</f>
        <v>6156.5</v>
      </c>
      <c r="J55" s="1977">
        <f>+'27. Customer numbers'!I50</f>
        <v>6181</v>
      </c>
      <c r="K55" s="1978">
        <f>+'27. Customer numbers'!J50</f>
        <v>6168</v>
      </c>
      <c r="L55" s="1978">
        <f>+'27. Customer numbers'!K50</f>
        <v>6176</v>
      </c>
      <c r="M55" s="1978">
        <f>+'27. Customer numbers'!L50</f>
        <v>6217.700869614946</v>
      </c>
      <c r="N55" s="2016">
        <f>+'27. Customer numbers'!M50</f>
        <v>6112.5290350075611</v>
      </c>
      <c r="O55" s="1977">
        <f>+'27. Customer numbers'!N50</f>
        <v>6134.6183382750987</v>
      </c>
      <c r="P55" s="1978">
        <f>+'27. Customer numbers'!O50</f>
        <v>6157.0977151398338</v>
      </c>
      <c r="Q55" s="1978">
        <f>+'27. Customer numbers'!P50</f>
        <v>6179.9750131240953</v>
      </c>
      <c r="R55" s="1978">
        <f>+'27. Customer numbers'!Q50</f>
        <v>6203.2582469143526</v>
      </c>
      <c r="S55" s="2013">
        <f>+'27. Customer numbers'!R50</f>
        <v>6224.1770808168412</v>
      </c>
      <c r="T55" s="1427"/>
      <c r="U55" s="1427"/>
      <c r="V55" s="1427"/>
      <c r="W55" s="1427"/>
      <c r="X55" s="1427"/>
      <c r="Y55" s="1427"/>
      <c r="Z55" s="1427"/>
      <c r="AA55" s="1427"/>
      <c r="AB55" s="1427"/>
      <c r="AC55" s="1427"/>
      <c r="AD55" s="1427"/>
      <c r="AE55" s="1427"/>
      <c r="AF55" s="229"/>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c r="BU55" s="229"/>
      <c r="BV55" s="229"/>
      <c r="BW55" s="229"/>
      <c r="BX55" s="229"/>
      <c r="BY55" s="229"/>
      <c r="BZ55" s="229"/>
      <c r="CA55" s="229"/>
      <c r="CB55" s="229"/>
      <c r="CC55" s="229"/>
      <c r="CD55" s="229"/>
      <c r="CE55" s="229"/>
      <c r="CF55" s="229"/>
      <c r="CG55" s="229"/>
      <c r="CH55" s="229"/>
      <c r="CI55" s="229"/>
      <c r="CJ55" s="229"/>
      <c r="CK55" s="229"/>
      <c r="CL55" s="229"/>
      <c r="CM55" s="229"/>
      <c r="CN55" s="229"/>
      <c r="CO55" s="229"/>
      <c r="CP55" s="229"/>
      <c r="CQ55" s="229"/>
      <c r="CR55" s="229"/>
      <c r="CS55" s="229"/>
      <c r="CT55" s="229"/>
      <c r="CU55" s="229"/>
      <c r="CV55" s="229"/>
      <c r="CW55" s="229"/>
      <c r="CX55" s="229"/>
      <c r="CY55" s="229"/>
      <c r="CZ55" s="229"/>
      <c r="DA55" s="229"/>
      <c r="DB55" s="229"/>
      <c r="DC55" s="229"/>
      <c r="DD55" s="229"/>
      <c r="DE55" s="229"/>
      <c r="DF55" s="229"/>
      <c r="DG55" s="229"/>
      <c r="DH55" s="229"/>
      <c r="DI55" s="229"/>
      <c r="DJ55" s="229"/>
      <c r="DK55" s="229"/>
      <c r="DL55" s="229"/>
      <c r="DM55" s="229"/>
      <c r="DN55" s="229"/>
      <c r="DO55" s="229"/>
      <c r="DP55" s="229"/>
    </row>
    <row r="56" spans="2:120" s="529" customFormat="1">
      <c r="B56" s="4104"/>
      <c r="C56" s="1026" t="s">
        <v>1483</v>
      </c>
      <c r="D56" s="983" t="s">
        <v>1479</v>
      </c>
      <c r="E56" s="514">
        <v>54466.976999999999</v>
      </c>
      <c r="F56" s="513">
        <v>54880.516239673474</v>
      </c>
      <c r="G56" s="513">
        <v>55361.607000000004</v>
      </c>
      <c r="H56" s="513">
        <v>53687.641000000003</v>
      </c>
      <c r="I56" s="702">
        <v>54517.836000000003</v>
      </c>
      <c r="J56" s="514">
        <v>53055.012000000002</v>
      </c>
      <c r="K56" s="513">
        <v>50982.605000000003</v>
      </c>
      <c r="L56" s="513">
        <v>53287.824000000001</v>
      </c>
      <c r="M56" s="513">
        <v>53302.161</v>
      </c>
      <c r="N56" s="702">
        <v>52202.599163638588</v>
      </c>
      <c r="O56" s="514">
        <v>51532.088235320065</v>
      </c>
      <c r="P56" s="513">
        <v>51468.401315142291</v>
      </c>
      <c r="Q56" s="513">
        <v>50346.845205386067</v>
      </c>
      <c r="R56" s="513">
        <v>50014.914923087068</v>
      </c>
      <c r="S56" s="464">
        <v>49482.332290731603</v>
      </c>
      <c r="T56" s="1427"/>
      <c r="U56" s="1427"/>
      <c r="V56" s="1427"/>
      <c r="W56" s="1427"/>
      <c r="X56" s="1427"/>
      <c r="Y56" s="1427"/>
      <c r="Z56" s="1427"/>
      <c r="AA56" s="1427"/>
      <c r="AB56" s="1427"/>
      <c r="AC56" s="1427"/>
      <c r="AD56" s="1427"/>
      <c r="AE56" s="1427"/>
      <c r="AF56" s="229"/>
      <c r="AG56" s="229"/>
      <c r="AH56" s="229"/>
      <c r="AI56" s="229"/>
      <c r="AJ56" s="229"/>
      <c r="AK56" s="229"/>
      <c r="AL56" s="229"/>
      <c r="AM56" s="229"/>
      <c r="AN56" s="229"/>
      <c r="AO56" s="229"/>
      <c r="AP56" s="229"/>
      <c r="AQ56" s="229"/>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c r="BU56" s="229"/>
      <c r="BV56" s="229"/>
      <c r="BW56" s="229"/>
      <c r="BX56" s="229"/>
      <c r="BY56" s="229"/>
      <c r="BZ56" s="229"/>
      <c r="CA56" s="229"/>
      <c r="CB56" s="229"/>
      <c r="CC56" s="229"/>
      <c r="CD56" s="229"/>
      <c r="CE56" s="229"/>
      <c r="CF56" s="229"/>
      <c r="CG56" s="229"/>
      <c r="CH56" s="229"/>
      <c r="CI56" s="229"/>
      <c r="CJ56" s="229"/>
      <c r="CK56" s="229"/>
      <c r="CL56" s="229"/>
      <c r="CM56" s="229"/>
      <c r="CN56" s="229"/>
      <c r="CO56" s="229"/>
      <c r="CP56" s="229"/>
      <c r="CQ56" s="229"/>
      <c r="CR56" s="229"/>
      <c r="CS56" s="229"/>
      <c r="CT56" s="229"/>
      <c r="CU56" s="229"/>
      <c r="CV56" s="229"/>
      <c r="CW56" s="229"/>
      <c r="CX56" s="229"/>
      <c r="CY56" s="229"/>
      <c r="CZ56" s="229"/>
      <c r="DA56" s="229"/>
      <c r="DB56" s="229"/>
      <c r="DC56" s="229"/>
      <c r="DD56" s="229"/>
      <c r="DE56" s="229"/>
      <c r="DF56" s="229"/>
      <c r="DG56" s="229"/>
      <c r="DH56" s="229"/>
      <c r="DI56" s="229"/>
      <c r="DJ56" s="229"/>
      <c r="DK56" s="229"/>
      <c r="DL56" s="229"/>
      <c r="DM56" s="229"/>
      <c r="DN56" s="229"/>
      <c r="DO56" s="229"/>
      <c r="DP56" s="229"/>
    </row>
    <row r="57" spans="2:120" s="529" customFormat="1">
      <c r="B57" s="4104"/>
      <c r="C57" s="1026" t="s">
        <v>1484</v>
      </c>
      <c r="D57" s="983" t="s">
        <v>1480</v>
      </c>
      <c r="E57" s="514">
        <v>44083.851999999999</v>
      </c>
      <c r="F57" s="513">
        <v>41473.066588293288</v>
      </c>
      <c r="G57" s="513">
        <v>43707.108</v>
      </c>
      <c r="H57" s="513">
        <v>39990.095000000001</v>
      </c>
      <c r="I57" s="702">
        <v>42301.686000000002</v>
      </c>
      <c r="J57" s="514">
        <v>39745.678999999996</v>
      </c>
      <c r="K57" s="513">
        <v>39473.368999999999</v>
      </c>
      <c r="L57" s="513">
        <v>41687.527999999998</v>
      </c>
      <c r="M57" s="513">
        <v>41616.932999999997</v>
      </c>
      <c r="N57" s="702">
        <v>40973.307381831524</v>
      </c>
      <c r="O57" s="514">
        <v>40697.07889521071</v>
      </c>
      <c r="P57" s="513">
        <v>40894.275281730646</v>
      </c>
      <c r="Q57" s="513">
        <v>40263.999677785709</v>
      </c>
      <c r="R57" s="513">
        <v>40247.002554158818</v>
      </c>
      <c r="S57" s="464">
        <v>40064.633654356978</v>
      </c>
      <c r="T57" s="1427"/>
      <c r="U57" s="1427"/>
      <c r="V57" s="1427"/>
      <c r="W57" s="1427"/>
      <c r="X57" s="1427"/>
      <c r="Y57" s="1427"/>
      <c r="Z57" s="1427"/>
      <c r="AA57" s="1427"/>
      <c r="AB57" s="1427"/>
      <c r="AC57" s="1427"/>
      <c r="AD57" s="1427"/>
      <c r="AE57" s="1427"/>
      <c r="AF57" s="229"/>
      <c r="AG57" s="229"/>
      <c r="AH57" s="229"/>
      <c r="AI57" s="229"/>
      <c r="AJ57" s="229"/>
      <c r="AK57" s="229"/>
      <c r="AL57" s="229"/>
      <c r="AM57" s="229"/>
      <c r="AN57" s="229"/>
      <c r="AO57" s="229"/>
      <c r="AP57" s="229"/>
      <c r="AQ57" s="229"/>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c r="BU57" s="229"/>
      <c r="BV57" s="229"/>
      <c r="BW57" s="229"/>
      <c r="BX57" s="229"/>
      <c r="BY57" s="229"/>
      <c r="BZ57" s="229"/>
      <c r="CA57" s="229"/>
      <c r="CB57" s="229"/>
      <c r="CC57" s="229"/>
      <c r="CD57" s="229"/>
      <c r="CE57" s="229"/>
      <c r="CF57" s="229"/>
      <c r="CG57" s="229"/>
      <c r="CH57" s="229"/>
      <c r="CI57" s="229"/>
      <c r="CJ57" s="229"/>
      <c r="CK57" s="229"/>
      <c r="CL57" s="229"/>
      <c r="CM57" s="229"/>
      <c r="CN57" s="229"/>
      <c r="CO57" s="229"/>
      <c r="CP57" s="229"/>
      <c r="CQ57" s="229"/>
      <c r="CR57" s="229"/>
      <c r="CS57" s="229"/>
      <c r="CT57" s="229"/>
      <c r="CU57" s="229"/>
      <c r="CV57" s="229"/>
      <c r="CW57" s="229"/>
      <c r="CX57" s="229"/>
      <c r="CY57" s="229"/>
      <c r="CZ57" s="229"/>
      <c r="DA57" s="229"/>
      <c r="DB57" s="229"/>
      <c r="DC57" s="229"/>
      <c r="DD57" s="229"/>
      <c r="DE57" s="229"/>
      <c r="DF57" s="229"/>
      <c r="DG57" s="229"/>
      <c r="DH57" s="229"/>
      <c r="DI57" s="229"/>
      <c r="DJ57" s="229"/>
      <c r="DK57" s="229"/>
      <c r="DL57" s="229"/>
      <c r="DM57" s="229"/>
      <c r="DN57" s="229"/>
      <c r="DO57" s="229"/>
      <c r="DP57" s="229"/>
    </row>
    <row r="58" spans="2:120" s="529" customFormat="1">
      <c r="B58" s="4104"/>
      <c r="C58" s="1026" t="s">
        <v>1485</v>
      </c>
      <c r="D58" s="983" t="s">
        <v>1481</v>
      </c>
      <c r="E58" s="514">
        <v>224618.43599999999</v>
      </c>
      <c r="F58" s="513">
        <v>209579.52206296934</v>
      </c>
      <c r="G58" s="513">
        <v>227727.96599999999</v>
      </c>
      <c r="H58" s="513">
        <v>205219.231</v>
      </c>
      <c r="I58" s="702">
        <v>221613.63200000001</v>
      </c>
      <c r="J58" s="514">
        <v>205027.20000000001</v>
      </c>
      <c r="K58" s="513">
        <v>207586.88099999999</v>
      </c>
      <c r="L58" s="513">
        <v>223327.86900000001</v>
      </c>
      <c r="M58" s="513">
        <v>221165.076</v>
      </c>
      <c r="N58" s="702">
        <v>216464.07547638891</v>
      </c>
      <c r="O58" s="514">
        <v>214538.86918029166</v>
      </c>
      <c r="P58" s="513">
        <v>215131.8963407063</v>
      </c>
      <c r="Q58" s="513">
        <v>211329.63248814858</v>
      </c>
      <c r="R58" s="513">
        <v>210792.75511489317</v>
      </c>
      <c r="S58" s="464">
        <v>209366.37830222427</v>
      </c>
      <c r="T58" s="1427"/>
      <c r="U58" s="1427"/>
      <c r="V58" s="1427"/>
      <c r="W58" s="1427"/>
      <c r="X58" s="1427"/>
      <c r="Y58" s="1427"/>
      <c r="Z58" s="1427"/>
      <c r="AA58" s="1427"/>
      <c r="AB58" s="1427"/>
      <c r="AC58" s="1427"/>
      <c r="AD58" s="1427"/>
      <c r="AE58" s="1427"/>
      <c r="AF58" s="229"/>
      <c r="AG58" s="229"/>
      <c r="AH58" s="229"/>
      <c r="AI58" s="229"/>
      <c r="AJ58" s="229"/>
      <c r="AK58" s="229"/>
      <c r="AL58" s="229"/>
      <c r="AM58" s="229"/>
      <c r="AN58" s="229"/>
      <c r="AO58" s="229"/>
      <c r="AP58" s="229"/>
      <c r="AQ58" s="229"/>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c r="BU58" s="229"/>
      <c r="BV58" s="229"/>
      <c r="BW58" s="229"/>
      <c r="BX58" s="229"/>
      <c r="BY58" s="229"/>
      <c r="BZ58" s="229"/>
      <c r="CA58" s="229"/>
      <c r="CB58" s="229"/>
      <c r="CC58" s="229"/>
      <c r="CD58" s="229"/>
      <c r="CE58" s="229"/>
      <c r="CF58" s="229"/>
      <c r="CG58" s="229"/>
      <c r="CH58" s="229"/>
      <c r="CI58" s="229"/>
      <c r="CJ58" s="229"/>
      <c r="CK58" s="229"/>
      <c r="CL58" s="229"/>
      <c r="CM58" s="229"/>
      <c r="CN58" s="229"/>
      <c r="CO58" s="229"/>
      <c r="CP58" s="229"/>
      <c r="CQ58" s="229"/>
      <c r="CR58" s="229"/>
      <c r="CS58" s="229"/>
      <c r="CT58" s="229"/>
      <c r="CU58" s="229"/>
      <c r="CV58" s="229"/>
      <c r="CW58" s="229"/>
      <c r="CX58" s="229"/>
      <c r="CY58" s="229"/>
      <c r="CZ58" s="229"/>
      <c r="DA58" s="229"/>
      <c r="DB58" s="229"/>
      <c r="DC58" s="229"/>
      <c r="DD58" s="229"/>
      <c r="DE58" s="229"/>
      <c r="DF58" s="229"/>
      <c r="DG58" s="229"/>
      <c r="DH58" s="229"/>
      <c r="DI58" s="229"/>
      <c r="DJ58" s="229"/>
      <c r="DK58" s="229"/>
      <c r="DL58" s="229"/>
      <c r="DM58" s="229"/>
      <c r="DN58" s="229"/>
      <c r="DO58" s="229"/>
      <c r="DP58" s="229"/>
    </row>
    <row r="59" spans="2:120" s="529" customFormat="1">
      <c r="B59" s="4104"/>
      <c r="C59" s="1026" t="s">
        <v>1486</v>
      </c>
      <c r="D59" s="983" t="s">
        <v>1482</v>
      </c>
      <c r="E59" s="514">
        <v>465456.005</v>
      </c>
      <c r="F59" s="513">
        <v>436522.02085477952</v>
      </c>
      <c r="G59" s="513">
        <v>505431.85200000001</v>
      </c>
      <c r="H59" s="513">
        <v>231790.00899999999</v>
      </c>
      <c r="I59" s="702">
        <v>485329.51699999999</v>
      </c>
      <c r="J59" s="514">
        <v>416273.99900000001</v>
      </c>
      <c r="K59" s="513">
        <v>430759.24</v>
      </c>
      <c r="L59" s="513">
        <v>474904.22700000001</v>
      </c>
      <c r="M59" s="513">
        <v>483229.98499999999</v>
      </c>
      <c r="N59" s="702">
        <v>472140.03282647947</v>
      </c>
      <c r="O59" s="514">
        <v>468560.09898413339</v>
      </c>
      <c r="P59" s="513">
        <v>470475.25987982284</v>
      </c>
      <c r="Q59" s="513">
        <v>462803.24222091516</v>
      </c>
      <c r="R59" s="513">
        <v>462274.32194840908</v>
      </c>
      <c r="S59" s="464">
        <v>460131.28321009077</v>
      </c>
      <c r="T59" s="1427"/>
      <c r="U59" s="1427"/>
      <c r="V59" s="1427"/>
      <c r="W59" s="1427"/>
      <c r="X59" s="1427"/>
      <c r="Y59" s="1427"/>
      <c r="Z59" s="1427"/>
      <c r="AA59" s="1427"/>
      <c r="AB59" s="1427"/>
      <c r="AC59" s="1427"/>
      <c r="AD59" s="1427"/>
      <c r="AE59" s="1427"/>
      <c r="AF59" s="229"/>
      <c r="AG59" s="229"/>
      <c r="AH59" s="229"/>
      <c r="AI59" s="229"/>
      <c r="AJ59" s="229"/>
      <c r="AK59" s="229"/>
      <c r="AL59" s="229"/>
      <c r="AM59" s="229"/>
      <c r="AN59" s="229"/>
      <c r="AO59" s="229"/>
      <c r="AP59" s="229"/>
      <c r="AQ59" s="229"/>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c r="BU59" s="229"/>
      <c r="BV59" s="229"/>
      <c r="BW59" s="229"/>
      <c r="BX59" s="229"/>
      <c r="BY59" s="229"/>
      <c r="BZ59" s="229"/>
      <c r="CA59" s="229"/>
      <c r="CB59" s="229"/>
      <c r="CC59" s="229"/>
      <c r="CD59" s="229"/>
      <c r="CE59" s="229"/>
      <c r="CF59" s="229"/>
      <c r="CG59" s="229"/>
      <c r="CH59" s="229"/>
      <c r="CI59" s="229"/>
      <c r="CJ59" s="229"/>
      <c r="CK59" s="229"/>
      <c r="CL59" s="229"/>
      <c r="CM59" s="229"/>
      <c r="CN59" s="229"/>
      <c r="CO59" s="229"/>
      <c r="CP59" s="229"/>
      <c r="CQ59" s="229"/>
      <c r="CR59" s="229"/>
      <c r="CS59" s="229"/>
      <c r="CT59" s="229"/>
      <c r="CU59" s="229"/>
      <c r="CV59" s="229"/>
      <c r="CW59" s="229"/>
      <c r="CX59" s="229"/>
      <c r="CY59" s="229"/>
      <c r="CZ59" s="229"/>
      <c r="DA59" s="229"/>
      <c r="DB59" s="229"/>
      <c r="DC59" s="229"/>
      <c r="DD59" s="229"/>
      <c r="DE59" s="229"/>
      <c r="DF59" s="229"/>
      <c r="DG59" s="229"/>
      <c r="DH59" s="229"/>
      <c r="DI59" s="229"/>
      <c r="DJ59" s="229"/>
      <c r="DK59" s="229"/>
      <c r="DL59" s="229"/>
      <c r="DM59" s="229"/>
      <c r="DN59" s="229"/>
      <c r="DO59" s="229"/>
      <c r="DP59" s="229"/>
    </row>
    <row r="60" spans="2:120" s="529" customFormat="1">
      <c r="B60" s="4104"/>
      <c r="C60" s="3417" t="s">
        <v>1491</v>
      </c>
      <c r="D60" s="983" t="s">
        <v>1487</v>
      </c>
      <c r="E60" s="751">
        <v>76702.11</v>
      </c>
      <c r="F60" s="752">
        <v>80422.613760326523</v>
      </c>
      <c r="G60" s="752">
        <v>77242.536999999997</v>
      </c>
      <c r="H60" s="752">
        <v>78319.168000000005</v>
      </c>
      <c r="I60" s="3419">
        <v>78566.611999999994</v>
      </c>
      <c r="J60" s="751">
        <v>78263.740999999995</v>
      </c>
      <c r="K60" s="752">
        <v>75432.141000000003</v>
      </c>
      <c r="L60" s="752">
        <v>77062.801999999996</v>
      </c>
      <c r="M60" s="752">
        <v>77556.952999999994</v>
      </c>
      <c r="N60" s="3419">
        <v>75774.392409328837</v>
      </c>
      <c r="O60" s="751">
        <v>74710.083592392111</v>
      </c>
      <c r="P60" s="752">
        <v>74528.975597510129</v>
      </c>
      <c r="Q60" s="752">
        <v>72808.671790661276</v>
      </c>
      <c r="R60" s="752">
        <v>72238.158891892264</v>
      </c>
      <c r="S60" s="3421">
        <v>71371.278677693175</v>
      </c>
      <c r="T60" s="1427"/>
      <c r="U60" s="1427"/>
      <c r="V60" s="1427"/>
      <c r="W60" s="1427"/>
      <c r="X60" s="1427"/>
      <c r="Y60" s="1427"/>
      <c r="Z60" s="1427"/>
      <c r="AA60" s="1427"/>
      <c r="AB60" s="1427"/>
      <c r="AC60" s="1427"/>
      <c r="AD60" s="1427"/>
      <c r="AE60" s="1427"/>
      <c r="AF60" s="229"/>
      <c r="AG60" s="229"/>
      <c r="AH60" s="229"/>
      <c r="AI60" s="229"/>
      <c r="AJ60" s="229"/>
      <c r="AK60" s="229"/>
      <c r="AL60" s="229"/>
      <c r="AM60" s="229"/>
      <c r="AN60" s="229"/>
      <c r="AO60" s="229"/>
      <c r="AP60" s="229"/>
      <c r="AQ60" s="229"/>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c r="BU60" s="229"/>
      <c r="BV60" s="229"/>
      <c r="BW60" s="229"/>
      <c r="BX60" s="229"/>
      <c r="BY60" s="229"/>
      <c r="BZ60" s="229"/>
      <c r="CA60" s="229"/>
      <c r="CB60" s="229"/>
      <c r="CC60" s="229"/>
      <c r="CD60" s="229"/>
      <c r="CE60" s="229"/>
      <c r="CF60" s="229"/>
      <c r="CG60" s="229"/>
      <c r="CH60" s="229"/>
      <c r="CI60" s="229"/>
      <c r="CJ60" s="229"/>
      <c r="CK60" s="229"/>
      <c r="CL60" s="229"/>
      <c r="CM60" s="229"/>
      <c r="CN60" s="229"/>
      <c r="CO60" s="229"/>
      <c r="CP60" s="229"/>
      <c r="CQ60" s="229"/>
      <c r="CR60" s="229"/>
      <c r="CS60" s="229"/>
      <c r="CT60" s="229"/>
      <c r="CU60" s="229"/>
      <c r="CV60" s="229"/>
      <c r="CW60" s="229"/>
      <c r="CX60" s="229"/>
      <c r="CY60" s="229"/>
      <c r="CZ60" s="229"/>
      <c r="DA60" s="229"/>
      <c r="DB60" s="229"/>
      <c r="DC60" s="229"/>
      <c r="DD60" s="229"/>
      <c r="DE60" s="229"/>
      <c r="DF60" s="229"/>
      <c r="DG60" s="229"/>
      <c r="DH60" s="229"/>
      <c r="DI60" s="229"/>
      <c r="DJ60" s="229"/>
      <c r="DK60" s="229"/>
      <c r="DL60" s="229"/>
      <c r="DM60" s="229"/>
      <c r="DN60" s="229"/>
      <c r="DO60" s="229"/>
      <c r="DP60" s="229"/>
    </row>
    <row r="61" spans="2:120" s="529" customFormat="1">
      <c r="B61" s="4104"/>
      <c r="C61" s="3417" t="s">
        <v>1492</v>
      </c>
      <c r="D61" s="983" t="s">
        <v>1488</v>
      </c>
      <c r="E61" s="751">
        <v>49354.646000000001</v>
      </c>
      <c r="F61" s="752">
        <v>49282.048411706717</v>
      </c>
      <c r="G61" s="752">
        <v>46159.349000000002</v>
      </c>
      <c r="H61" s="752">
        <v>47465.671000000002</v>
      </c>
      <c r="I61" s="3419">
        <v>48334.928</v>
      </c>
      <c r="J61" s="751">
        <v>48518.233</v>
      </c>
      <c r="K61" s="752">
        <v>45615.084000000003</v>
      </c>
      <c r="L61" s="752">
        <v>47549.938000000002</v>
      </c>
      <c r="M61" s="752">
        <v>47950.542999999998</v>
      </c>
      <c r="N61" s="3419">
        <v>47055.529926235984</v>
      </c>
      <c r="O61" s="751">
        <v>46784.736666316872</v>
      </c>
      <c r="P61" s="752">
        <v>47059.841977135853</v>
      </c>
      <c r="Q61" s="752">
        <v>46381.136475700383</v>
      </c>
      <c r="R61" s="752">
        <v>46408.504941181862</v>
      </c>
      <c r="S61" s="3421">
        <v>46236.26778012648</v>
      </c>
      <c r="T61" s="1427"/>
      <c r="U61" s="1427"/>
      <c r="V61" s="1427"/>
      <c r="W61" s="1427"/>
      <c r="X61" s="1427"/>
      <c r="Y61" s="1427"/>
      <c r="Z61" s="1427"/>
      <c r="AA61" s="1427"/>
      <c r="AB61" s="1427"/>
      <c r="AC61" s="1427"/>
      <c r="AD61" s="1427"/>
      <c r="AE61" s="1427"/>
      <c r="AF61" s="229"/>
      <c r="AG61" s="229"/>
      <c r="AH61" s="229"/>
      <c r="AI61" s="229"/>
      <c r="AJ61" s="229"/>
      <c r="AK61" s="229"/>
      <c r="AL61" s="229"/>
      <c r="AM61" s="229"/>
      <c r="AN61" s="229"/>
      <c r="AO61" s="229"/>
      <c r="AP61" s="229"/>
      <c r="AQ61" s="229"/>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c r="BU61" s="229"/>
      <c r="BV61" s="229"/>
      <c r="BW61" s="229"/>
      <c r="BX61" s="229"/>
      <c r="BY61" s="229"/>
      <c r="BZ61" s="229"/>
      <c r="CA61" s="229"/>
      <c r="CB61" s="229"/>
      <c r="CC61" s="229"/>
      <c r="CD61" s="229"/>
      <c r="CE61" s="229"/>
      <c r="CF61" s="229"/>
      <c r="CG61" s="229"/>
      <c r="CH61" s="229"/>
      <c r="CI61" s="229"/>
      <c r="CJ61" s="229"/>
      <c r="CK61" s="229"/>
      <c r="CL61" s="229"/>
      <c r="CM61" s="229"/>
      <c r="CN61" s="229"/>
      <c r="CO61" s="229"/>
      <c r="CP61" s="229"/>
      <c r="CQ61" s="229"/>
      <c r="CR61" s="229"/>
      <c r="CS61" s="229"/>
      <c r="CT61" s="229"/>
      <c r="CU61" s="229"/>
      <c r="CV61" s="229"/>
      <c r="CW61" s="229"/>
      <c r="CX61" s="229"/>
      <c r="CY61" s="229"/>
      <c r="CZ61" s="229"/>
      <c r="DA61" s="229"/>
      <c r="DB61" s="229"/>
      <c r="DC61" s="229"/>
      <c r="DD61" s="229"/>
      <c r="DE61" s="229"/>
      <c r="DF61" s="229"/>
      <c r="DG61" s="229"/>
      <c r="DH61" s="229"/>
      <c r="DI61" s="229"/>
      <c r="DJ61" s="229"/>
      <c r="DK61" s="229"/>
      <c r="DL61" s="229"/>
      <c r="DM61" s="229"/>
      <c r="DN61" s="229"/>
      <c r="DO61" s="229"/>
      <c r="DP61" s="229"/>
    </row>
    <row r="62" spans="2:120" s="529" customFormat="1">
      <c r="B62" s="4104"/>
      <c r="C62" s="3417" t="s">
        <v>1493</v>
      </c>
      <c r="D62" s="983" t="s">
        <v>1489</v>
      </c>
      <c r="E62" s="751">
        <v>252098.49100000001</v>
      </c>
      <c r="F62" s="752">
        <v>254161.69293703069</v>
      </c>
      <c r="G62" s="752">
        <v>240879.639</v>
      </c>
      <c r="H62" s="752">
        <v>249784.12599999999</v>
      </c>
      <c r="I62" s="3419">
        <v>252277.44699999999</v>
      </c>
      <c r="J62" s="751">
        <v>254007.03400000001</v>
      </c>
      <c r="K62" s="752">
        <v>238940.62400000001</v>
      </c>
      <c r="L62" s="752">
        <v>249948.92800000001</v>
      </c>
      <c r="M62" s="752">
        <v>250659.61300000001</v>
      </c>
      <c r="N62" s="3419">
        <v>245968.53362202458</v>
      </c>
      <c r="O62" s="751">
        <v>244129.92040992013</v>
      </c>
      <c r="P62" s="752">
        <v>245143.81794164862</v>
      </c>
      <c r="Q62" s="752">
        <v>241176.08919563261</v>
      </c>
      <c r="R62" s="752">
        <v>240905.94691370326</v>
      </c>
      <c r="S62" s="3421">
        <v>239653.47119851931</v>
      </c>
      <c r="T62" s="1427"/>
      <c r="U62" s="1427"/>
      <c r="V62" s="1427"/>
      <c r="W62" s="1427"/>
      <c r="X62" s="1427"/>
      <c r="Y62" s="1427"/>
      <c r="Z62" s="1427"/>
      <c r="AA62" s="1427"/>
      <c r="AB62" s="1427"/>
      <c r="AC62" s="1427"/>
      <c r="AD62" s="1427"/>
      <c r="AE62" s="1427"/>
      <c r="AF62" s="229"/>
      <c r="AG62" s="229"/>
      <c r="AH62" s="229"/>
      <c r="AI62" s="229"/>
      <c r="AJ62" s="229"/>
      <c r="AK62" s="229"/>
      <c r="AL62" s="229"/>
      <c r="AM62" s="229"/>
      <c r="AN62" s="229"/>
      <c r="AO62" s="229"/>
      <c r="AP62" s="229"/>
      <c r="AQ62" s="229"/>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229"/>
      <c r="CC62" s="229"/>
      <c r="CD62" s="229"/>
      <c r="CE62" s="229"/>
      <c r="CF62" s="229"/>
      <c r="CG62" s="229"/>
      <c r="CH62" s="229"/>
      <c r="CI62" s="229"/>
      <c r="CJ62" s="229"/>
      <c r="CK62" s="229"/>
      <c r="CL62" s="229"/>
      <c r="CM62" s="229"/>
      <c r="CN62" s="229"/>
      <c r="CO62" s="229"/>
      <c r="CP62" s="229"/>
      <c r="CQ62" s="229"/>
      <c r="CR62" s="229"/>
      <c r="CS62" s="229"/>
      <c r="CT62" s="229"/>
      <c r="CU62" s="229"/>
      <c r="CV62" s="229"/>
      <c r="CW62" s="229"/>
      <c r="CX62" s="229"/>
      <c r="CY62" s="229"/>
      <c r="CZ62" s="229"/>
      <c r="DA62" s="229"/>
      <c r="DB62" s="229"/>
      <c r="DC62" s="229"/>
      <c r="DD62" s="229"/>
      <c r="DE62" s="229"/>
      <c r="DF62" s="229"/>
      <c r="DG62" s="229"/>
      <c r="DH62" s="229"/>
      <c r="DI62" s="229"/>
      <c r="DJ62" s="229"/>
      <c r="DK62" s="229"/>
      <c r="DL62" s="229"/>
      <c r="DM62" s="229"/>
      <c r="DN62" s="229"/>
      <c r="DO62" s="229"/>
      <c r="DP62" s="229"/>
    </row>
    <row r="63" spans="2:120" s="529" customFormat="1">
      <c r="B63" s="4104"/>
      <c r="C63" s="3417" t="s">
        <v>1494</v>
      </c>
      <c r="D63" s="983" t="s">
        <v>1490</v>
      </c>
      <c r="E63" s="751">
        <v>470790.73700000002</v>
      </c>
      <c r="F63" s="752">
        <v>476694.54914522037</v>
      </c>
      <c r="G63" s="752">
        <v>465876.64899999998</v>
      </c>
      <c r="H63" s="752">
        <v>475304.64600000001</v>
      </c>
      <c r="I63" s="3419">
        <v>455966.56800000003</v>
      </c>
      <c r="J63" s="751">
        <v>444929.30699999997</v>
      </c>
      <c r="K63" s="752">
        <v>422991.62099999998</v>
      </c>
      <c r="L63" s="752">
        <v>451721.27799999999</v>
      </c>
      <c r="M63" s="752">
        <v>468987.087</v>
      </c>
      <c r="N63" s="3419">
        <v>461480.96061978868</v>
      </c>
      <c r="O63" s="751">
        <v>460644.06228834001</v>
      </c>
      <c r="P63" s="752">
        <v>465127.39099772979</v>
      </c>
      <c r="Q63" s="752">
        <v>460283.58801155916</v>
      </c>
      <c r="R63" s="752">
        <v>462331.5113952792</v>
      </c>
      <c r="S63" s="3421">
        <v>462756.46898075962</v>
      </c>
      <c r="T63" s="1427"/>
      <c r="U63" s="1427"/>
      <c r="V63" s="1427"/>
      <c r="W63" s="1427"/>
      <c r="X63" s="1427"/>
      <c r="Y63" s="1427"/>
      <c r="Z63" s="1427"/>
      <c r="AA63" s="1427"/>
      <c r="AB63" s="1427"/>
      <c r="AC63" s="1427"/>
      <c r="AD63" s="1427"/>
      <c r="AE63" s="1427"/>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c r="BU63" s="229"/>
      <c r="BV63" s="229"/>
      <c r="BW63" s="229"/>
      <c r="BX63" s="229"/>
      <c r="BY63" s="229"/>
      <c r="BZ63" s="229"/>
      <c r="CA63" s="229"/>
      <c r="CB63" s="229"/>
      <c r="CC63" s="229"/>
      <c r="CD63" s="229"/>
      <c r="CE63" s="229"/>
      <c r="CF63" s="229"/>
      <c r="CG63" s="229"/>
      <c r="CH63" s="229"/>
      <c r="CI63" s="229"/>
      <c r="CJ63" s="229"/>
      <c r="CK63" s="229"/>
      <c r="CL63" s="229"/>
      <c r="CM63" s="229"/>
      <c r="CN63" s="229"/>
      <c r="CO63" s="229"/>
      <c r="CP63" s="229"/>
      <c r="CQ63" s="229"/>
      <c r="CR63" s="229"/>
      <c r="CS63" s="229"/>
      <c r="CT63" s="229"/>
      <c r="CU63" s="229"/>
      <c r="CV63" s="229"/>
      <c r="CW63" s="229"/>
      <c r="CX63" s="229"/>
      <c r="CY63" s="229"/>
      <c r="CZ63" s="229"/>
      <c r="DA63" s="229"/>
      <c r="DB63" s="229"/>
      <c r="DC63" s="229"/>
      <c r="DD63" s="229"/>
      <c r="DE63" s="229"/>
      <c r="DF63" s="229"/>
      <c r="DG63" s="229"/>
      <c r="DH63" s="229"/>
      <c r="DI63" s="229"/>
      <c r="DJ63" s="229"/>
      <c r="DK63" s="229"/>
      <c r="DL63" s="229"/>
      <c r="DM63" s="229"/>
      <c r="DN63" s="229"/>
      <c r="DO63" s="229"/>
      <c r="DP63" s="229"/>
    </row>
    <row r="64" spans="2:120" s="529" customFormat="1" ht="13.5" thickBot="1">
      <c r="B64" s="4105"/>
      <c r="C64" s="4099" t="s">
        <v>410</v>
      </c>
      <c r="D64" s="4100"/>
      <c r="E64" s="2012">
        <f>SUM(E56:E63)</f>
        <v>1637571.254</v>
      </c>
      <c r="F64" s="2014">
        <f t="shared" ref="F64" si="30">SUM(F56:F63)</f>
        <v>1603016.0299999998</v>
      </c>
      <c r="G64" s="2014">
        <f t="shared" ref="G64" si="31">SUM(G56:G63)</f>
        <v>1662386.7070000002</v>
      </c>
      <c r="H64" s="2014">
        <f t="shared" ref="H64" si="32">SUM(H56:H63)</f>
        <v>1381560.5870000001</v>
      </c>
      <c r="I64" s="2017">
        <f t="shared" ref="I64" si="33">SUM(I56:I63)</f>
        <v>1638908.2259999998</v>
      </c>
      <c r="J64" s="2012">
        <f t="shared" ref="J64" si="34">SUM(J56:J63)</f>
        <v>1539820.2050000001</v>
      </c>
      <c r="K64" s="2014">
        <f t="shared" ref="K64" si="35">SUM(K56:K63)</f>
        <v>1511781.5650000002</v>
      </c>
      <c r="L64" s="2014">
        <f t="shared" ref="L64" si="36">SUM(L56:L63)</f>
        <v>1619490.3940000001</v>
      </c>
      <c r="M64" s="2014">
        <f t="shared" ref="M64" si="37">SUM(M56:M63)</f>
        <v>1644468.351</v>
      </c>
      <c r="N64" s="2017">
        <f t="shared" ref="N64" si="38">SUM(N56:N63)</f>
        <v>1612059.4314257165</v>
      </c>
      <c r="O64" s="2012">
        <f t="shared" ref="O64" si="39">SUM(O56:O63)</f>
        <v>1601596.9382519249</v>
      </c>
      <c r="P64" s="2014">
        <f t="shared" ref="P64" si="40">SUM(P56:P63)</f>
        <v>1609829.8593314264</v>
      </c>
      <c r="Q64" s="2014">
        <f t="shared" ref="Q64" si="41">SUM(Q56:Q63)</f>
        <v>1585393.2050657889</v>
      </c>
      <c r="R64" s="2014">
        <f t="shared" ref="R64" si="42">SUM(R56:R63)</f>
        <v>1585213.1166826049</v>
      </c>
      <c r="S64" s="2015">
        <f t="shared" ref="S64" si="43">SUM(S56:S63)</f>
        <v>1579062.1140945021</v>
      </c>
      <c r="T64" s="1427"/>
      <c r="U64" s="3432"/>
      <c r="V64" s="1427"/>
      <c r="W64" s="1427"/>
      <c r="X64" s="1427"/>
      <c r="Y64" s="1427"/>
      <c r="Z64" s="1427"/>
      <c r="AA64" s="1427"/>
      <c r="AB64" s="1427"/>
      <c r="AC64" s="1427"/>
      <c r="AD64" s="1427"/>
      <c r="AE64" s="1427"/>
      <c r="AF64" s="229"/>
      <c r="AG64" s="229"/>
      <c r="AH64" s="229"/>
      <c r="AI64" s="229"/>
      <c r="AJ64" s="229"/>
      <c r="AK64" s="229"/>
      <c r="AL64" s="229"/>
      <c r="AM64" s="229"/>
      <c r="AN64" s="229"/>
      <c r="AO64" s="229"/>
      <c r="AP64" s="229"/>
      <c r="AQ64" s="229"/>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c r="BU64" s="229"/>
      <c r="BV64" s="229"/>
      <c r="BW64" s="229"/>
      <c r="BX64" s="229"/>
      <c r="BY64" s="229"/>
      <c r="BZ64" s="229"/>
      <c r="CA64" s="229"/>
      <c r="CB64" s="229"/>
      <c r="CC64" s="229"/>
      <c r="CD64" s="229"/>
      <c r="CE64" s="229"/>
      <c r="CF64" s="229"/>
      <c r="CG64" s="229"/>
      <c r="CH64" s="229"/>
      <c r="CI64" s="229"/>
      <c r="CJ64" s="229"/>
      <c r="CK64" s="229"/>
      <c r="CL64" s="229"/>
      <c r="CM64" s="229"/>
      <c r="CN64" s="229"/>
      <c r="CO64" s="229"/>
      <c r="CP64" s="229"/>
      <c r="CQ64" s="229"/>
      <c r="CR64" s="229"/>
      <c r="CS64" s="229"/>
      <c r="CT64" s="229"/>
      <c r="CU64" s="229"/>
      <c r="CV64" s="229"/>
      <c r="CW64" s="229"/>
      <c r="CX64" s="229"/>
      <c r="CY64" s="229"/>
      <c r="CZ64" s="229"/>
      <c r="DA64" s="229"/>
      <c r="DB64" s="229"/>
      <c r="DC64" s="229"/>
      <c r="DD64" s="229"/>
      <c r="DE64" s="229"/>
      <c r="DF64" s="229"/>
      <c r="DG64" s="229"/>
      <c r="DH64" s="229"/>
      <c r="DI64" s="229"/>
      <c r="DJ64" s="229"/>
      <c r="DK64" s="229"/>
      <c r="DL64" s="229"/>
      <c r="DM64" s="229"/>
      <c r="DN64" s="229"/>
      <c r="DO64" s="229"/>
      <c r="DP64" s="229"/>
    </row>
    <row r="65" spans="2:120" s="1676" customFormat="1" ht="24" customHeight="1" thickBot="1">
      <c r="B65" s="1940" t="s">
        <v>63</v>
      </c>
      <c r="C65" s="1941"/>
      <c r="D65" s="1941"/>
      <c r="E65" s="2019">
        <f>+SUM(E54,E64)</f>
        <v>7901402.0770000005</v>
      </c>
      <c r="F65" s="2020">
        <f t="shared" ref="F65:S65" si="44">+SUM(F54,F64)</f>
        <v>7913716.7200000007</v>
      </c>
      <c r="G65" s="2020">
        <f t="shared" si="44"/>
        <v>8210612.9070000006</v>
      </c>
      <c r="H65" s="2020">
        <f t="shared" si="44"/>
        <v>7683325.6770000001</v>
      </c>
      <c r="I65" s="2021">
        <f t="shared" si="44"/>
        <v>8320633.8939999994</v>
      </c>
      <c r="J65" s="2019">
        <f t="shared" si="44"/>
        <v>7854953.6119999997</v>
      </c>
      <c r="K65" s="2020">
        <f t="shared" si="44"/>
        <v>7749332.5350000001</v>
      </c>
      <c r="L65" s="2020">
        <f t="shared" si="44"/>
        <v>8604516.9060000014</v>
      </c>
      <c r="M65" s="2020">
        <f t="shared" si="44"/>
        <v>8665608.4509999994</v>
      </c>
      <c r="N65" s="2021">
        <f t="shared" si="44"/>
        <v>8528852.2522636</v>
      </c>
      <c r="O65" s="2019">
        <f t="shared" si="44"/>
        <v>8493091.6848199423</v>
      </c>
      <c r="P65" s="2020">
        <f t="shared" si="44"/>
        <v>8484065.0160701908</v>
      </c>
      <c r="Q65" s="2020">
        <f t="shared" si="44"/>
        <v>8405194.2739779558</v>
      </c>
      <c r="R65" s="2020">
        <f t="shared" si="44"/>
        <v>8358159.421112136</v>
      </c>
      <c r="S65" s="2022">
        <f t="shared" si="44"/>
        <v>8252291.9076372366</v>
      </c>
      <c r="T65" s="1677"/>
      <c r="U65" s="1677"/>
      <c r="V65" s="1677"/>
      <c r="W65" s="1677"/>
      <c r="X65" s="1677"/>
      <c r="Y65" s="1677"/>
      <c r="Z65" s="1677"/>
      <c r="AA65" s="1677"/>
      <c r="AB65" s="1677"/>
      <c r="AC65" s="1677"/>
      <c r="AD65" s="1677"/>
      <c r="AE65" s="1677"/>
      <c r="AF65" s="1678"/>
      <c r="AG65" s="1678"/>
      <c r="AH65" s="1678"/>
      <c r="AI65" s="1678"/>
      <c r="AJ65" s="1678"/>
      <c r="AK65" s="1678"/>
      <c r="AL65" s="1678"/>
      <c r="AM65" s="1678"/>
      <c r="AN65" s="1678"/>
      <c r="AO65" s="1678"/>
      <c r="AP65" s="1678"/>
      <c r="AQ65" s="1678"/>
      <c r="AR65" s="1678"/>
      <c r="AS65" s="1678"/>
      <c r="AT65" s="1678"/>
      <c r="AU65" s="1678"/>
      <c r="AV65" s="1678"/>
      <c r="AW65" s="1678"/>
      <c r="AX65" s="1678"/>
      <c r="AY65" s="1678"/>
      <c r="AZ65" s="1678"/>
      <c r="BA65" s="1678"/>
      <c r="BB65" s="1678"/>
      <c r="BC65" s="1678"/>
      <c r="BD65" s="1678"/>
      <c r="BE65" s="1678"/>
      <c r="BF65" s="1678"/>
      <c r="BG65" s="1678"/>
      <c r="BH65" s="1678"/>
      <c r="BI65" s="1678"/>
      <c r="BJ65" s="1678"/>
      <c r="BK65" s="1678"/>
      <c r="BL65" s="1678"/>
      <c r="BM65" s="1678"/>
      <c r="BN65" s="1678"/>
      <c r="BO65" s="1678"/>
      <c r="BP65" s="1678"/>
      <c r="BQ65" s="1678"/>
      <c r="BR65" s="1678"/>
      <c r="BS65" s="1678"/>
      <c r="BT65" s="1678"/>
      <c r="BU65" s="1678"/>
      <c r="BV65" s="1678"/>
      <c r="BW65" s="1678"/>
      <c r="BX65" s="1678"/>
      <c r="BY65" s="1678"/>
      <c r="BZ65" s="1678"/>
      <c r="CA65" s="1678"/>
      <c r="CB65" s="1678"/>
      <c r="CC65" s="1678"/>
      <c r="CD65" s="1678"/>
      <c r="CE65" s="1678"/>
      <c r="CF65" s="1678"/>
      <c r="CG65" s="1678"/>
      <c r="CH65" s="1678"/>
      <c r="CI65" s="1678"/>
      <c r="CJ65" s="1678"/>
      <c r="CK65" s="1678"/>
      <c r="CL65" s="1678"/>
      <c r="CM65" s="1678"/>
      <c r="CN65" s="1678"/>
      <c r="CO65" s="1678"/>
      <c r="CP65" s="1678"/>
      <c r="CQ65" s="1678"/>
      <c r="CR65" s="1678"/>
      <c r="CS65" s="1678"/>
      <c r="CT65" s="1678"/>
      <c r="CU65" s="1678"/>
      <c r="CV65" s="1678"/>
      <c r="CW65" s="1678"/>
      <c r="CX65" s="1678"/>
      <c r="CY65" s="1678"/>
      <c r="CZ65" s="1678"/>
      <c r="DA65" s="1678"/>
      <c r="DB65" s="1678"/>
      <c r="DC65" s="1678"/>
      <c r="DD65" s="1678"/>
      <c r="DE65" s="1678"/>
      <c r="DF65" s="1678"/>
      <c r="DG65" s="1678"/>
      <c r="DH65" s="1678"/>
      <c r="DI65" s="1678"/>
      <c r="DJ65" s="1678"/>
      <c r="DK65" s="1678"/>
      <c r="DL65" s="1678"/>
      <c r="DM65" s="1678"/>
      <c r="DN65" s="1678"/>
      <c r="DO65" s="1678"/>
      <c r="DP65" s="1678"/>
    </row>
    <row r="66" spans="2:120" customFormat="1" ht="24" customHeight="1" thickBot="1">
      <c r="B66" s="2669" t="str">
        <f>+'27. Customer numbers'!B56</f>
        <v>Adjoining central</v>
      </c>
      <c r="C66" s="3411"/>
      <c r="D66" s="3412"/>
      <c r="E66" s="3412"/>
      <c r="F66" s="3412"/>
      <c r="G66" s="3412"/>
      <c r="H66" s="3412"/>
      <c r="I66" s="3412"/>
      <c r="J66" s="3412"/>
      <c r="K66" s="3412"/>
      <c r="L66" s="3412"/>
      <c r="M66" s="3412"/>
      <c r="N66" s="3412"/>
      <c r="O66" s="3412"/>
      <c r="P66" s="3412"/>
      <c r="Q66" s="3412"/>
      <c r="R66" s="3412"/>
      <c r="S66" s="3413"/>
    </row>
    <row r="67" spans="2:120" customFormat="1" ht="32.25" customHeight="1" thickBot="1">
      <c r="B67" s="2669" t="str">
        <f>+'27. Customer numbers'!B57</f>
        <v>Tariff V</v>
      </c>
      <c r="C67" s="3414"/>
      <c r="D67" s="3415"/>
      <c r="E67" s="3415"/>
      <c r="F67" s="3415"/>
      <c r="G67" s="3415"/>
      <c r="H67" s="3415"/>
      <c r="I67" s="3415"/>
      <c r="J67" s="3415"/>
      <c r="K67" s="3415"/>
      <c r="L67" s="3415"/>
      <c r="M67" s="3415"/>
      <c r="N67" s="3415"/>
      <c r="O67" s="3415"/>
      <c r="P67" s="3415"/>
      <c r="Q67" s="3415"/>
      <c r="R67" s="3415"/>
      <c r="S67" s="3416"/>
    </row>
    <row r="68" spans="2:120">
      <c r="B68" s="4104" t="str">
        <f>+'27. Customer numbers'!B60</f>
        <v>Residential customers</v>
      </c>
      <c r="C68" s="4101" t="s">
        <v>47</v>
      </c>
      <c r="D68" s="4107"/>
      <c r="E68" s="1977">
        <f>'27. Customer numbers'!D62</f>
        <v>288.5</v>
      </c>
      <c r="F68" s="1978">
        <f>'27. Customer numbers'!E62</f>
        <v>628.5</v>
      </c>
      <c r="G68" s="1978">
        <f>'27. Customer numbers'!F62</f>
        <v>828.5</v>
      </c>
      <c r="H68" s="1978">
        <f>'27. Customer numbers'!G62</f>
        <v>1006</v>
      </c>
      <c r="I68" s="2016">
        <f>'27. Customer numbers'!H62</f>
        <v>1149</v>
      </c>
      <c r="J68" s="1977">
        <f>'27. Customer numbers'!I62</f>
        <v>1268</v>
      </c>
      <c r="K68" s="1978">
        <f>'27. Customer numbers'!J62</f>
        <v>1371</v>
      </c>
      <c r="L68" s="1978">
        <f>'27. Customer numbers'!K62</f>
        <v>1462.5</v>
      </c>
      <c r="M68" s="1978">
        <f>'27. Customer numbers'!L62</f>
        <v>1555.2901750383583</v>
      </c>
      <c r="N68" s="2016">
        <f>'27. Customer numbers'!M62</f>
        <v>1649.0649190417469</v>
      </c>
      <c r="O68" s="1977">
        <f>'27. Customer numbers'!N62</f>
        <v>2059.4130751074817</v>
      </c>
      <c r="P68" s="1978">
        <f>'27. Customer numbers'!O62</f>
        <v>2378.4384556658333</v>
      </c>
      <c r="Q68" s="1978">
        <f>'27. Customer numbers'!P62</f>
        <v>2629.1666198909838</v>
      </c>
      <c r="R68" s="1978">
        <f>'27. Customer numbers'!Q62</f>
        <v>2828.8701163092192</v>
      </c>
      <c r="S68" s="2013">
        <f>'27. Customer numbers'!R62</f>
        <v>2988.9540570017971</v>
      </c>
    </row>
    <row r="69" spans="2:120">
      <c r="B69" s="4104"/>
      <c r="C69" s="1026" t="s">
        <v>1483</v>
      </c>
      <c r="D69" s="983" t="s">
        <v>1479</v>
      </c>
      <c r="E69" s="514">
        <v>2921.0210000000002</v>
      </c>
      <c r="F69" s="513">
        <v>5307.4307941825246</v>
      </c>
      <c r="G69" s="513">
        <v>7109.2</v>
      </c>
      <c r="H69" s="513">
        <v>8190.1480000000001</v>
      </c>
      <c r="I69" s="702">
        <v>9762.5</v>
      </c>
      <c r="J69" s="514">
        <v>10453.879999999999</v>
      </c>
      <c r="K69" s="513">
        <v>10406.509</v>
      </c>
      <c r="L69" s="513">
        <v>12478.412</v>
      </c>
      <c r="M69" s="513">
        <v>13587.329</v>
      </c>
      <c r="N69" s="702">
        <v>15782.427404708547</v>
      </c>
      <c r="O69" s="514">
        <v>18423.973606113781</v>
      </c>
      <c r="P69" s="513">
        <v>20410.329096305864</v>
      </c>
      <c r="Q69" s="513">
        <v>21781.539070133771</v>
      </c>
      <c r="R69" s="513">
        <v>22801.848970830953</v>
      </c>
      <c r="S69" s="464">
        <v>23007.864999450103</v>
      </c>
    </row>
    <row r="70" spans="2:120">
      <c r="B70" s="4104"/>
      <c r="C70" s="1026" t="s">
        <v>1484</v>
      </c>
      <c r="D70" s="983" t="s">
        <v>1480</v>
      </c>
      <c r="E70" s="514">
        <v>1411.7650000000001</v>
      </c>
      <c r="F70" s="513">
        <v>3031.3226208390934</v>
      </c>
      <c r="G70" s="513">
        <v>4397.6180000000004</v>
      </c>
      <c r="H70" s="513">
        <v>4902.0169999999998</v>
      </c>
      <c r="I70" s="702">
        <v>6075.4089999999997</v>
      </c>
      <c r="J70" s="514">
        <v>6061.7920000000004</v>
      </c>
      <c r="K70" s="513">
        <v>6604.38</v>
      </c>
      <c r="L70" s="513">
        <v>7954.0219999999999</v>
      </c>
      <c r="M70" s="513">
        <v>8910.3770000000004</v>
      </c>
      <c r="N70" s="702">
        <v>10243.362707502571</v>
      </c>
      <c r="O70" s="514">
        <v>11946.962762086056</v>
      </c>
      <c r="P70" s="513">
        <v>13216.652674090154</v>
      </c>
      <c r="Q70" s="513">
        <v>14080.186483069167</v>
      </c>
      <c r="R70" s="513">
        <v>14712.512578170068</v>
      </c>
      <c r="S70" s="464">
        <v>14814.74227790035</v>
      </c>
    </row>
    <row r="71" spans="2:120">
      <c r="B71" s="4104"/>
      <c r="C71" s="1026" t="s">
        <v>1485</v>
      </c>
      <c r="D71" s="983" t="s">
        <v>1481</v>
      </c>
      <c r="E71" s="514">
        <v>2198.7399999999998</v>
      </c>
      <c r="F71" s="513">
        <v>3866.3907918409768</v>
      </c>
      <c r="G71" s="513">
        <v>6303.018</v>
      </c>
      <c r="H71" s="513">
        <v>5988.268</v>
      </c>
      <c r="I71" s="702">
        <v>7866.4030000000002</v>
      </c>
      <c r="J71" s="514">
        <v>6827.5280000000002</v>
      </c>
      <c r="K71" s="513">
        <v>9458.9279999999999</v>
      </c>
      <c r="L71" s="513">
        <v>11246.334000000001</v>
      </c>
      <c r="M71" s="513">
        <v>10915.785</v>
      </c>
      <c r="N71" s="702">
        <v>12079.431519834807</v>
      </c>
      <c r="O71" s="514">
        <v>13879.858386454154</v>
      </c>
      <c r="P71" s="513">
        <v>15243.157778774661</v>
      </c>
      <c r="Q71" s="513">
        <v>16183.443326578637</v>
      </c>
      <c r="R71" s="513">
        <v>16891.302350246158</v>
      </c>
      <c r="S71" s="464">
        <v>17042.006690606602</v>
      </c>
    </row>
    <row r="72" spans="2:120">
      <c r="B72" s="4104"/>
      <c r="C72" s="1026" t="s">
        <v>1486</v>
      </c>
      <c r="D72" s="983" t="s">
        <v>1482</v>
      </c>
      <c r="E72" s="514">
        <v>271.34899999999999</v>
      </c>
      <c r="F72" s="513">
        <v>366.32438105567024</v>
      </c>
      <c r="G72" s="513">
        <v>491.178</v>
      </c>
      <c r="H72" s="513">
        <v>491.34399999999999</v>
      </c>
      <c r="I72" s="702">
        <v>462.87799999999999</v>
      </c>
      <c r="J72" s="514">
        <v>370.37099999999998</v>
      </c>
      <c r="K72" s="513">
        <v>275.09899999999999</v>
      </c>
      <c r="L72" s="513">
        <v>507.286</v>
      </c>
      <c r="M72" s="513">
        <v>554.06399999999996</v>
      </c>
      <c r="N72" s="702">
        <v>668.9996983433598</v>
      </c>
      <c r="O72" s="514">
        <v>820.69683506465208</v>
      </c>
      <c r="P72" s="513">
        <v>940.78494606103868</v>
      </c>
      <c r="Q72" s="513">
        <v>1031.2763282646281</v>
      </c>
      <c r="R72" s="513">
        <v>1104.2296556508882</v>
      </c>
      <c r="S72" s="464">
        <v>1133.5010948931285</v>
      </c>
    </row>
    <row r="73" spans="2:120" s="529" customFormat="1">
      <c r="B73" s="4104"/>
      <c r="C73" s="3417" t="s">
        <v>1491</v>
      </c>
      <c r="D73" s="983" t="s">
        <v>1487</v>
      </c>
      <c r="E73" s="751">
        <v>2686.9879999999998</v>
      </c>
      <c r="F73" s="752">
        <v>5887.4662058174727</v>
      </c>
      <c r="G73" s="752">
        <v>7101.2380000000003</v>
      </c>
      <c r="H73" s="752">
        <v>9358.5730000000003</v>
      </c>
      <c r="I73" s="3419">
        <v>10720.748</v>
      </c>
      <c r="J73" s="751">
        <v>12418.352000000001</v>
      </c>
      <c r="K73" s="752">
        <v>13522.200999999999</v>
      </c>
      <c r="L73" s="752">
        <v>14927.916999999999</v>
      </c>
      <c r="M73" s="752">
        <v>15155.341</v>
      </c>
      <c r="N73" s="3419">
        <v>17095.537641496747</v>
      </c>
      <c r="O73" s="751">
        <v>19469.711859645067</v>
      </c>
      <c r="P73" s="752">
        <v>21200.745857620273</v>
      </c>
      <c r="Q73" s="752">
        <v>22320.991381642074</v>
      </c>
      <c r="R73" s="752">
        <v>23103.270710538469</v>
      </c>
      <c r="S73" s="3421">
        <v>23117.224323010523</v>
      </c>
      <c r="T73" s="1427"/>
      <c r="U73" s="1427"/>
      <c r="V73" s="1427"/>
      <c r="W73" s="1427"/>
      <c r="X73" s="1427"/>
      <c r="Y73" s="1427"/>
      <c r="Z73" s="1427"/>
      <c r="AA73" s="1427"/>
      <c r="AB73" s="1427"/>
      <c r="AC73" s="1427"/>
      <c r="AD73" s="1427"/>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c r="BJ73" s="229"/>
      <c r="BK73" s="229"/>
      <c r="BL73" s="229"/>
      <c r="BM73" s="229"/>
      <c r="BN73" s="229"/>
      <c r="BO73" s="229"/>
      <c r="BP73" s="229"/>
      <c r="BQ73" s="229"/>
      <c r="BR73" s="229"/>
      <c r="BS73" s="229"/>
      <c r="BT73" s="229"/>
      <c r="BU73" s="229"/>
      <c r="BV73" s="229"/>
      <c r="BW73" s="229"/>
      <c r="BX73" s="229"/>
      <c r="BY73" s="229"/>
      <c r="BZ73" s="229"/>
      <c r="CA73" s="229"/>
      <c r="CB73" s="229"/>
      <c r="CC73" s="229"/>
      <c r="CD73" s="229"/>
      <c r="CE73" s="229"/>
      <c r="CF73" s="229"/>
      <c r="CG73" s="229"/>
      <c r="CH73" s="229"/>
      <c r="CI73" s="229"/>
      <c r="CJ73" s="229"/>
      <c r="CK73" s="229"/>
      <c r="CL73" s="229"/>
      <c r="CM73" s="229"/>
      <c r="CN73" s="229"/>
      <c r="CO73" s="229"/>
      <c r="CP73" s="229"/>
      <c r="CQ73" s="229"/>
      <c r="CR73" s="229"/>
      <c r="CS73" s="229"/>
      <c r="CT73" s="229"/>
      <c r="CU73" s="229"/>
      <c r="CV73" s="229"/>
      <c r="CW73" s="229"/>
      <c r="CX73" s="229"/>
      <c r="CY73" s="229"/>
      <c r="CZ73" s="229"/>
      <c r="DA73" s="229"/>
      <c r="DB73" s="229"/>
      <c r="DC73" s="229"/>
      <c r="DD73" s="229"/>
      <c r="DE73" s="229"/>
      <c r="DF73" s="229"/>
      <c r="DG73" s="229"/>
      <c r="DH73" s="229"/>
      <c r="DI73" s="229"/>
      <c r="DJ73" s="229"/>
      <c r="DK73" s="229"/>
      <c r="DL73" s="229"/>
      <c r="DM73" s="229"/>
      <c r="DN73" s="229"/>
      <c r="DO73" s="229"/>
    </row>
    <row r="74" spans="2:120" s="529" customFormat="1">
      <c r="B74" s="4104"/>
      <c r="C74" s="3417" t="s">
        <v>1492</v>
      </c>
      <c r="D74" s="983" t="s">
        <v>1488</v>
      </c>
      <c r="E74" s="751">
        <v>707.35199999999998</v>
      </c>
      <c r="F74" s="752">
        <v>1829.9573791609064</v>
      </c>
      <c r="G74" s="752">
        <v>1524.4459999999999</v>
      </c>
      <c r="H74" s="752">
        <v>1982.5840000000001</v>
      </c>
      <c r="I74" s="3419">
        <v>2230.518</v>
      </c>
      <c r="J74" s="751">
        <v>2438.413</v>
      </c>
      <c r="K74" s="752">
        <v>2015.692</v>
      </c>
      <c r="L74" s="752">
        <v>2828.5610000000001</v>
      </c>
      <c r="M74" s="752">
        <v>2850.9520000000002</v>
      </c>
      <c r="N74" s="3419">
        <v>3010.4627591487138</v>
      </c>
      <c r="O74" s="751">
        <v>3382.0006514103179</v>
      </c>
      <c r="P74" s="752">
        <v>3637.7398499630376</v>
      </c>
      <c r="Q74" s="752">
        <v>3783.534700593867</v>
      </c>
      <c r="R74" s="752">
        <v>3870.1674315096211</v>
      </c>
      <c r="S74" s="3421">
        <v>3828.0200543431379</v>
      </c>
      <c r="T74" s="1427"/>
      <c r="U74" s="1427"/>
      <c r="V74" s="1427"/>
      <c r="W74" s="1427"/>
      <c r="X74" s="1427"/>
      <c r="Y74" s="1427"/>
      <c r="Z74" s="1427"/>
      <c r="AA74" s="1427"/>
      <c r="AB74" s="1427"/>
      <c r="AC74" s="1427"/>
      <c r="AD74" s="1427"/>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229"/>
      <c r="CC74" s="229"/>
      <c r="CD74" s="229"/>
      <c r="CE74" s="229"/>
      <c r="CF74" s="229"/>
      <c r="CG74" s="229"/>
      <c r="CH74" s="229"/>
      <c r="CI74" s="229"/>
      <c r="CJ74" s="229"/>
      <c r="CK74" s="229"/>
      <c r="CL74" s="229"/>
      <c r="CM74" s="229"/>
      <c r="CN74" s="229"/>
      <c r="CO74" s="229"/>
      <c r="CP74" s="229"/>
      <c r="CQ74" s="229"/>
      <c r="CR74" s="229"/>
      <c r="CS74" s="229"/>
      <c r="CT74" s="229"/>
      <c r="CU74" s="229"/>
      <c r="CV74" s="229"/>
      <c r="CW74" s="229"/>
      <c r="CX74" s="229"/>
      <c r="CY74" s="229"/>
      <c r="CZ74" s="229"/>
      <c r="DA74" s="229"/>
      <c r="DB74" s="229"/>
      <c r="DC74" s="229"/>
      <c r="DD74" s="229"/>
      <c r="DE74" s="229"/>
      <c r="DF74" s="229"/>
      <c r="DG74" s="229"/>
      <c r="DH74" s="229"/>
      <c r="DI74" s="229"/>
      <c r="DJ74" s="229"/>
      <c r="DK74" s="229"/>
      <c r="DL74" s="229"/>
      <c r="DM74" s="229"/>
      <c r="DN74" s="229"/>
      <c r="DO74" s="229"/>
    </row>
    <row r="75" spans="2:120" s="529" customFormat="1">
      <c r="B75" s="4104"/>
      <c r="C75" s="3417" t="s">
        <v>1493</v>
      </c>
      <c r="D75" s="983" t="s">
        <v>1489</v>
      </c>
      <c r="E75" s="751">
        <v>798.55499999999995</v>
      </c>
      <c r="F75" s="752">
        <v>2058.0912081590204</v>
      </c>
      <c r="G75" s="752">
        <v>1451.91</v>
      </c>
      <c r="H75" s="752">
        <v>1758.5609999999999</v>
      </c>
      <c r="I75" s="3419">
        <v>1667.4680000000001</v>
      </c>
      <c r="J75" s="751">
        <v>1612.6859999999999</v>
      </c>
      <c r="K75" s="752">
        <v>1330.43</v>
      </c>
      <c r="L75" s="752">
        <v>2117.7620000000002</v>
      </c>
      <c r="M75" s="752">
        <v>1596.33</v>
      </c>
      <c r="N75" s="3419">
        <v>1633.7023225105236</v>
      </c>
      <c r="O75" s="751">
        <v>1832.7734189324276</v>
      </c>
      <c r="P75" s="752">
        <v>1970.5229889661941</v>
      </c>
      <c r="Q75" s="752">
        <v>2049.3916579415986</v>
      </c>
      <c r="R75" s="752">
        <v>2097.0772647309691</v>
      </c>
      <c r="S75" s="3421">
        <v>2075.8598653803406</v>
      </c>
      <c r="T75" s="1427"/>
      <c r="U75" s="1427"/>
      <c r="V75" s="1427"/>
      <c r="W75" s="1427"/>
      <c r="X75" s="1427"/>
      <c r="Y75" s="1427"/>
      <c r="Z75" s="1427"/>
      <c r="AA75" s="1427"/>
      <c r="AB75" s="1427"/>
      <c r="AC75" s="1427"/>
      <c r="AD75" s="1427"/>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c r="BJ75" s="229"/>
      <c r="BK75" s="229"/>
      <c r="BL75" s="229"/>
      <c r="BM75" s="229"/>
      <c r="BN75" s="229"/>
      <c r="BO75" s="229"/>
      <c r="BP75" s="229"/>
      <c r="BQ75" s="229"/>
      <c r="BR75" s="229"/>
      <c r="BS75" s="229"/>
      <c r="BT75" s="229"/>
      <c r="BU75" s="229"/>
      <c r="BV75" s="229"/>
      <c r="BW75" s="229"/>
      <c r="BX75" s="229"/>
      <c r="BY75" s="229"/>
      <c r="BZ75" s="229"/>
      <c r="CA75" s="229"/>
      <c r="CB75" s="229"/>
      <c r="CC75" s="229"/>
      <c r="CD75" s="229"/>
      <c r="CE75" s="229"/>
      <c r="CF75" s="229"/>
      <c r="CG75" s="229"/>
      <c r="CH75" s="229"/>
      <c r="CI75" s="229"/>
      <c r="CJ75" s="229"/>
      <c r="CK75" s="229"/>
      <c r="CL75" s="229"/>
      <c r="CM75" s="229"/>
      <c r="CN75" s="229"/>
      <c r="CO75" s="229"/>
      <c r="CP75" s="229"/>
      <c r="CQ75" s="229"/>
      <c r="CR75" s="229"/>
      <c r="CS75" s="229"/>
      <c r="CT75" s="229"/>
      <c r="CU75" s="229"/>
      <c r="CV75" s="229"/>
      <c r="CW75" s="229"/>
      <c r="CX75" s="229"/>
      <c r="CY75" s="229"/>
      <c r="CZ75" s="229"/>
      <c r="DA75" s="229"/>
      <c r="DB75" s="229"/>
      <c r="DC75" s="229"/>
      <c r="DD75" s="229"/>
      <c r="DE75" s="229"/>
      <c r="DF75" s="229"/>
      <c r="DG75" s="229"/>
      <c r="DH75" s="229"/>
      <c r="DI75" s="229"/>
      <c r="DJ75" s="229"/>
      <c r="DK75" s="229"/>
      <c r="DL75" s="229"/>
      <c r="DM75" s="229"/>
      <c r="DN75" s="229"/>
      <c r="DO75" s="229"/>
    </row>
    <row r="76" spans="2:120" s="529" customFormat="1">
      <c r="B76" s="4104"/>
      <c r="C76" s="3417" t="s">
        <v>1494</v>
      </c>
      <c r="D76" s="983" t="s">
        <v>1490</v>
      </c>
      <c r="E76" s="751">
        <v>283.71899999999999</v>
      </c>
      <c r="F76" s="752">
        <v>367.62561894432969</v>
      </c>
      <c r="G76" s="752">
        <v>389.19099999999997</v>
      </c>
      <c r="H76" s="752">
        <v>480.37299999999999</v>
      </c>
      <c r="I76" s="3419">
        <v>572.68799999999999</v>
      </c>
      <c r="J76" s="751">
        <v>476.53699999999998</v>
      </c>
      <c r="K76" s="752">
        <v>490.31</v>
      </c>
      <c r="L76" s="752">
        <v>404.58600000000001</v>
      </c>
      <c r="M76" s="752">
        <v>356.108</v>
      </c>
      <c r="N76" s="3419">
        <v>429.51885092490744</v>
      </c>
      <c r="O76" s="751">
        <v>532.09744047302945</v>
      </c>
      <c r="P76" s="752">
        <v>611.4019444248878</v>
      </c>
      <c r="Q76" s="752">
        <v>669.39668049905481</v>
      </c>
      <c r="R76" s="752">
        <v>714.65509062970114</v>
      </c>
      <c r="S76" s="3421">
        <v>729.78464380190837</v>
      </c>
      <c r="T76" s="1427"/>
      <c r="U76" s="1427"/>
      <c r="V76" s="1427"/>
      <c r="W76" s="1427"/>
      <c r="X76" s="1427"/>
      <c r="Y76" s="1427"/>
      <c r="Z76" s="1427"/>
      <c r="AA76" s="1427"/>
      <c r="AB76" s="1427"/>
      <c r="AC76" s="1427"/>
      <c r="AD76" s="1427"/>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N76" s="229"/>
      <c r="BO76" s="229"/>
      <c r="BP76" s="229"/>
      <c r="BQ76" s="229"/>
      <c r="BR76" s="229"/>
      <c r="BS76" s="229"/>
      <c r="BT76" s="229"/>
      <c r="BU76" s="229"/>
      <c r="BV76" s="229"/>
      <c r="BW76" s="229"/>
      <c r="BX76" s="229"/>
      <c r="BY76" s="229"/>
      <c r="BZ76" s="229"/>
      <c r="CA76" s="229"/>
      <c r="CB76" s="229"/>
      <c r="CC76" s="229"/>
      <c r="CD76" s="229"/>
      <c r="CE76" s="229"/>
      <c r="CF76" s="229"/>
      <c r="CG76" s="229"/>
      <c r="CH76" s="229"/>
      <c r="CI76" s="229"/>
      <c r="CJ76" s="229"/>
      <c r="CK76" s="229"/>
      <c r="CL76" s="229"/>
      <c r="CM76" s="229"/>
      <c r="CN76" s="229"/>
      <c r="CO76" s="229"/>
      <c r="CP76" s="229"/>
      <c r="CQ76" s="229"/>
      <c r="CR76" s="229"/>
      <c r="CS76" s="229"/>
      <c r="CT76" s="229"/>
      <c r="CU76" s="229"/>
      <c r="CV76" s="229"/>
      <c r="CW76" s="229"/>
      <c r="CX76" s="229"/>
      <c r="CY76" s="229"/>
      <c r="CZ76" s="229"/>
      <c r="DA76" s="229"/>
      <c r="DB76" s="229"/>
      <c r="DC76" s="229"/>
      <c r="DD76" s="229"/>
      <c r="DE76" s="229"/>
      <c r="DF76" s="229"/>
      <c r="DG76" s="229"/>
      <c r="DH76" s="229"/>
      <c r="DI76" s="229"/>
      <c r="DJ76" s="229"/>
      <c r="DK76" s="229"/>
      <c r="DL76" s="229"/>
      <c r="DM76" s="229"/>
      <c r="DN76" s="229"/>
      <c r="DO76" s="229"/>
    </row>
    <row r="77" spans="2:120" ht="13.5" thickBot="1">
      <c r="B77" s="4105"/>
      <c r="C77" s="4099" t="s">
        <v>410</v>
      </c>
      <c r="D77" s="4106"/>
      <c r="E77" s="2012">
        <f>SUM(E69:E76)</f>
        <v>11279.489</v>
      </c>
      <c r="F77" s="2014">
        <f t="shared" ref="F77" si="45">SUM(F69:F76)</f>
        <v>22714.608999999997</v>
      </c>
      <c r="G77" s="2014">
        <f t="shared" ref="G77" si="46">SUM(G69:G76)</f>
        <v>28767.798999999999</v>
      </c>
      <c r="H77" s="2014">
        <f t="shared" ref="H77" si="47">SUM(H69:H76)</f>
        <v>33151.868000000002</v>
      </c>
      <c r="I77" s="2017">
        <f t="shared" ref="I77" si="48">SUM(I69:I76)</f>
        <v>39358.611999999994</v>
      </c>
      <c r="J77" s="2012">
        <f t="shared" ref="J77" si="49">SUM(J69:J76)</f>
        <v>40659.558999999994</v>
      </c>
      <c r="K77" s="2014">
        <f t="shared" ref="K77" si="50">SUM(K69:K76)</f>
        <v>44103.548999999999</v>
      </c>
      <c r="L77" s="2014">
        <f t="shared" ref="L77" si="51">SUM(L69:L76)</f>
        <v>52464.880000000012</v>
      </c>
      <c r="M77" s="2014">
        <f t="shared" ref="M77" si="52">SUM(M69:M76)</f>
        <v>53926.285999999993</v>
      </c>
      <c r="N77" s="2017">
        <f t="shared" ref="N77" si="53">SUM(N69:N76)</f>
        <v>60943.442904470176</v>
      </c>
      <c r="O77" s="2012">
        <f t="shared" ref="O77" si="54">SUM(O69:O76)</f>
        <v>70288.074960179481</v>
      </c>
      <c r="P77" s="2014">
        <f t="shared" ref="P77" si="55">SUM(P69:P76)</f>
        <v>77231.335136206108</v>
      </c>
      <c r="Q77" s="2014">
        <f t="shared" ref="Q77" si="56">SUM(Q69:Q76)</f>
        <v>81899.759628722779</v>
      </c>
      <c r="R77" s="2014">
        <f t="shared" ref="R77" si="57">SUM(R69:R76)</f>
        <v>85295.064052306814</v>
      </c>
      <c r="S77" s="2015">
        <f t="shared" ref="S77" si="58">SUM(S69:S76)</f>
        <v>85749.003949386097</v>
      </c>
      <c r="U77" s="3432"/>
    </row>
    <row r="78" spans="2:120">
      <c r="B78" s="4103" t="str">
        <f>+'27. Customer numbers'!B66</f>
        <v>Commercial customers</v>
      </c>
      <c r="C78" s="4101" t="s">
        <v>47</v>
      </c>
      <c r="D78" s="4102"/>
      <c r="E78" s="1977">
        <f>+'27. Customer numbers'!D68</f>
        <v>2.5</v>
      </c>
      <c r="F78" s="1978">
        <f>+'27. Customer numbers'!E68</f>
        <v>5.5</v>
      </c>
      <c r="G78" s="1978">
        <f>+'27. Customer numbers'!F68</f>
        <v>8</v>
      </c>
      <c r="H78" s="1978">
        <f>+'27. Customer numbers'!G68</f>
        <v>9.5</v>
      </c>
      <c r="I78" s="2016">
        <f>+'27. Customer numbers'!H68</f>
        <v>11</v>
      </c>
      <c r="J78" s="1977">
        <f>+'27. Customer numbers'!I68</f>
        <v>12.5</v>
      </c>
      <c r="K78" s="1978">
        <f>+'27. Customer numbers'!J68</f>
        <v>13.5</v>
      </c>
      <c r="L78" s="1978">
        <f>+'27. Customer numbers'!K68</f>
        <v>13.5</v>
      </c>
      <c r="M78" s="1978">
        <f>+'27. Customer numbers'!L68</f>
        <v>13.941249229348468</v>
      </c>
      <c r="N78" s="2016">
        <f>+'27. Customer numbers'!M68</f>
        <v>15.356140138833494</v>
      </c>
      <c r="O78" s="1977">
        <f>+'27. Customer numbers'!N68</f>
        <v>19.82461518913361</v>
      </c>
      <c r="P78" s="1978">
        <f>+'27. Customer numbers'!O68</f>
        <v>23.222822357003992</v>
      </c>
      <c r="Q78" s="1978">
        <f>+'27. Customer numbers'!P68</f>
        <v>25.819143338814591</v>
      </c>
      <c r="R78" s="1978">
        <f>+'27. Customer numbers'!Q68</f>
        <v>27.81487861966977</v>
      </c>
      <c r="S78" s="2013">
        <f>+'27. Customer numbers'!R68</f>
        <v>29.355828902660022</v>
      </c>
      <c r="U78" s="1427"/>
    </row>
    <row r="79" spans="2:120">
      <c r="B79" s="4104"/>
      <c r="C79" s="1026" t="s">
        <v>1483</v>
      </c>
      <c r="D79" s="983" t="s">
        <v>1479</v>
      </c>
      <c r="E79" s="514">
        <v>41.890999999999998</v>
      </c>
      <c r="F79" s="513">
        <v>59.841170391509706</v>
      </c>
      <c r="G79" s="513">
        <v>96.593999999999994</v>
      </c>
      <c r="H79" s="513">
        <v>106.538</v>
      </c>
      <c r="I79" s="702">
        <v>111.13</v>
      </c>
      <c r="J79" s="514">
        <v>103.315</v>
      </c>
      <c r="K79" s="513">
        <v>116.61199999999999</v>
      </c>
      <c r="L79" s="513">
        <v>126.703</v>
      </c>
      <c r="M79" s="513">
        <v>148.83799999999999</v>
      </c>
      <c r="N79" s="702">
        <v>193.9450606809184</v>
      </c>
      <c r="O79" s="514">
        <v>234.44209818846096</v>
      </c>
      <c r="P79" s="513">
        <v>266.39988211955927</v>
      </c>
      <c r="Q79" s="513">
        <v>284.32690926697114</v>
      </c>
      <c r="R79" s="513">
        <v>300.27051981304709</v>
      </c>
      <c r="S79" s="464">
        <v>304.67150200493688</v>
      </c>
      <c r="U79" s="1427"/>
    </row>
    <row r="80" spans="2:120">
      <c r="B80" s="4104"/>
      <c r="C80" s="1026" t="s">
        <v>1484</v>
      </c>
      <c r="D80" s="983" t="s">
        <v>1480</v>
      </c>
      <c r="E80" s="514">
        <v>26.327999999999999</v>
      </c>
      <c r="F80" s="513">
        <v>44.852260714285698</v>
      </c>
      <c r="G80" s="513">
        <v>79.980999999999995</v>
      </c>
      <c r="H80" s="513">
        <v>93.738</v>
      </c>
      <c r="I80" s="702">
        <v>82.852999999999994</v>
      </c>
      <c r="J80" s="514">
        <v>83.343999999999994</v>
      </c>
      <c r="K80" s="513">
        <v>91.150999999999996</v>
      </c>
      <c r="L80" s="513">
        <v>105.486</v>
      </c>
      <c r="M80" s="513">
        <v>117.64</v>
      </c>
      <c r="N80" s="702">
        <v>154.76319630515957</v>
      </c>
      <c r="O80" s="514">
        <v>188.67786160789345</v>
      </c>
      <c r="P80" s="513">
        <v>215.97082342907552</v>
      </c>
      <c r="Q80" s="513">
        <v>232.17768346403935</v>
      </c>
      <c r="R80" s="513">
        <v>246.83459660370309</v>
      </c>
      <c r="S80" s="464">
        <v>252.04623990366454</v>
      </c>
      <c r="U80" s="1427"/>
    </row>
    <row r="81" spans="2:119">
      <c r="B81" s="4104"/>
      <c r="C81" s="1026" t="s">
        <v>1485</v>
      </c>
      <c r="D81" s="983" t="s">
        <v>1481</v>
      </c>
      <c r="E81" s="514">
        <v>85.448999999999998</v>
      </c>
      <c r="F81" s="513">
        <v>191.6809789473684</v>
      </c>
      <c r="G81" s="513">
        <v>325.02100000000002</v>
      </c>
      <c r="H81" s="513">
        <v>566.60900000000004</v>
      </c>
      <c r="I81" s="702">
        <v>453.02499999999998</v>
      </c>
      <c r="J81" s="514">
        <v>484.69499999999999</v>
      </c>
      <c r="K81" s="513">
        <v>563.71299999999997</v>
      </c>
      <c r="L81" s="513">
        <v>546.28200000000004</v>
      </c>
      <c r="M81" s="513">
        <v>650.52200000000005</v>
      </c>
      <c r="N81" s="702">
        <v>865.37263529901225</v>
      </c>
      <c r="O81" s="514">
        <v>1062.3992324686697</v>
      </c>
      <c r="P81" s="513">
        <v>1219.3869598340159</v>
      </c>
      <c r="Q81" s="513">
        <v>1311.56101376581</v>
      </c>
      <c r="R81" s="513">
        <v>1393.8629971643884</v>
      </c>
      <c r="S81" s="464">
        <v>1421.0657877665583</v>
      </c>
      <c r="U81" s="1427"/>
    </row>
    <row r="82" spans="2:119">
      <c r="B82" s="4104"/>
      <c r="C82" s="1026" t="s">
        <v>1486</v>
      </c>
      <c r="D82" s="983" t="s">
        <v>1482</v>
      </c>
      <c r="E82" s="514">
        <v>16.515000000000001</v>
      </c>
      <c r="F82" s="513">
        <v>451.02769999999998</v>
      </c>
      <c r="G82" s="513">
        <v>447.95600000000002</v>
      </c>
      <c r="H82" s="513">
        <v>861.02200000000005</v>
      </c>
      <c r="I82" s="702">
        <v>412.90800000000002</v>
      </c>
      <c r="J82" s="514">
        <v>514.50699999999995</v>
      </c>
      <c r="K82" s="513">
        <v>472.92899999999997</v>
      </c>
      <c r="L82" s="513">
        <v>584.21500000000003</v>
      </c>
      <c r="M82" s="513">
        <v>499.30700000000002</v>
      </c>
      <c r="N82" s="702">
        <v>600.00338128912881</v>
      </c>
      <c r="O82" s="514">
        <v>696.30409658477902</v>
      </c>
      <c r="P82" s="513">
        <v>775.4436952271102</v>
      </c>
      <c r="Q82" s="513">
        <v>819.47654980141829</v>
      </c>
      <c r="R82" s="513">
        <v>861.50229531816399</v>
      </c>
      <c r="S82" s="464">
        <v>875.98771141572195</v>
      </c>
      <c r="U82" s="1427"/>
    </row>
    <row r="83" spans="2:119" s="529" customFormat="1">
      <c r="B83" s="4104"/>
      <c r="C83" s="3417" t="s">
        <v>1491</v>
      </c>
      <c r="D83" s="983" t="s">
        <v>1487</v>
      </c>
      <c r="E83" s="751">
        <v>37.454999999999998</v>
      </c>
      <c r="F83" s="752">
        <v>79.495829608490297</v>
      </c>
      <c r="G83" s="752">
        <v>126.968</v>
      </c>
      <c r="H83" s="752">
        <v>168.172</v>
      </c>
      <c r="I83" s="3419">
        <v>174.33699999999999</v>
      </c>
      <c r="J83" s="751">
        <v>159.15</v>
      </c>
      <c r="K83" s="752">
        <v>166.39400000000001</v>
      </c>
      <c r="L83" s="752">
        <v>194.19499999999999</v>
      </c>
      <c r="M83" s="752">
        <v>217.803</v>
      </c>
      <c r="N83" s="3419">
        <v>286.90160379140087</v>
      </c>
      <c r="O83" s="751">
        <v>348.88607566585858</v>
      </c>
      <c r="P83" s="752">
        <v>397.47474520074144</v>
      </c>
      <c r="Q83" s="752">
        <v>424.60834398458792</v>
      </c>
      <c r="R83" s="752">
        <v>448.48777475619596</v>
      </c>
      <c r="S83" s="3421">
        <v>454.6867675201118</v>
      </c>
      <c r="T83" s="1427"/>
      <c r="U83" s="1427"/>
      <c r="V83" s="1427"/>
      <c r="W83" s="1427"/>
      <c r="X83" s="1427"/>
      <c r="Y83" s="1427"/>
      <c r="Z83" s="1427"/>
      <c r="AA83" s="1427"/>
      <c r="AB83" s="1427"/>
      <c r="AC83" s="1427"/>
      <c r="AD83" s="1427"/>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c r="BJ83" s="229"/>
      <c r="BK83" s="229"/>
      <c r="BL83" s="229"/>
      <c r="BM83" s="229"/>
      <c r="BN83" s="229"/>
      <c r="BO83" s="229"/>
      <c r="BP83" s="229"/>
      <c r="BQ83" s="229"/>
      <c r="BR83" s="229"/>
      <c r="BS83" s="229"/>
      <c r="BT83" s="229"/>
      <c r="BU83" s="229"/>
      <c r="BV83" s="229"/>
      <c r="BW83" s="229"/>
      <c r="BX83" s="229"/>
      <c r="BY83" s="229"/>
      <c r="BZ83" s="229"/>
      <c r="CA83" s="229"/>
      <c r="CB83" s="229"/>
      <c r="CC83" s="229"/>
      <c r="CD83" s="229"/>
      <c r="CE83" s="229"/>
      <c r="CF83" s="229"/>
      <c r="CG83" s="229"/>
      <c r="CH83" s="229"/>
      <c r="CI83" s="229"/>
      <c r="CJ83" s="229"/>
      <c r="CK83" s="229"/>
      <c r="CL83" s="229"/>
      <c r="CM83" s="229"/>
      <c r="CN83" s="229"/>
      <c r="CO83" s="229"/>
      <c r="CP83" s="229"/>
      <c r="CQ83" s="229"/>
      <c r="CR83" s="229"/>
      <c r="CS83" s="229"/>
      <c r="CT83" s="229"/>
      <c r="CU83" s="229"/>
      <c r="CV83" s="229"/>
      <c r="CW83" s="229"/>
      <c r="CX83" s="229"/>
      <c r="CY83" s="229"/>
      <c r="CZ83" s="229"/>
      <c r="DA83" s="229"/>
      <c r="DB83" s="229"/>
      <c r="DC83" s="229"/>
      <c r="DD83" s="229"/>
      <c r="DE83" s="229"/>
      <c r="DF83" s="229"/>
      <c r="DG83" s="229"/>
      <c r="DH83" s="229"/>
      <c r="DI83" s="229"/>
      <c r="DJ83" s="229"/>
      <c r="DK83" s="229"/>
      <c r="DL83" s="229"/>
      <c r="DM83" s="229"/>
      <c r="DN83" s="229"/>
      <c r="DO83" s="229"/>
    </row>
    <row r="84" spans="2:119" s="529" customFormat="1">
      <c r="B84" s="4104"/>
      <c r="C84" s="3417" t="s">
        <v>1492</v>
      </c>
      <c r="D84" s="983" t="s">
        <v>1488</v>
      </c>
      <c r="E84" s="751">
        <v>23.692</v>
      </c>
      <c r="F84" s="752">
        <v>68.978739285714312</v>
      </c>
      <c r="G84" s="752">
        <v>110.136</v>
      </c>
      <c r="H84" s="752">
        <v>146.273</v>
      </c>
      <c r="I84" s="3419">
        <v>141.655</v>
      </c>
      <c r="J84" s="751">
        <v>104.12</v>
      </c>
      <c r="K84" s="752">
        <v>125.374</v>
      </c>
      <c r="L84" s="752">
        <v>151.15100000000001</v>
      </c>
      <c r="M84" s="752">
        <v>162.90700000000001</v>
      </c>
      <c r="N84" s="3419">
        <v>218.69291458451434</v>
      </c>
      <c r="O84" s="751">
        <v>270.25443122977583</v>
      </c>
      <c r="P84" s="752">
        <v>311.70249758325247</v>
      </c>
      <c r="Q84" s="752">
        <v>336.71979701898135</v>
      </c>
      <c r="R84" s="752">
        <v>359.20298237496462</v>
      </c>
      <c r="S84" s="3421">
        <v>367.43049017643949</v>
      </c>
      <c r="T84" s="1427"/>
      <c r="U84" s="1427"/>
      <c r="V84" s="1427"/>
      <c r="W84" s="1427"/>
      <c r="X84" s="1427"/>
      <c r="Y84" s="1427"/>
      <c r="Z84" s="1427"/>
      <c r="AA84" s="1427"/>
      <c r="AB84" s="1427"/>
      <c r="AC84" s="1427"/>
      <c r="AD84" s="1427"/>
      <c r="AE84" s="229"/>
      <c r="AF84" s="229"/>
      <c r="AG84" s="229"/>
      <c r="AH84" s="229"/>
      <c r="AI84" s="229"/>
      <c r="AJ84" s="229"/>
      <c r="AK84" s="229"/>
      <c r="AL84" s="229"/>
      <c r="AM84" s="229"/>
      <c r="AN84" s="229"/>
      <c r="AO84" s="229"/>
      <c r="AP84" s="229"/>
      <c r="AQ84" s="229"/>
      <c r="AR84" s="229"/>
      <c r="AS84" s="229"/>
      <c r="AT84" s="229"/>
      <c r="AU84" s="229"/>
      <c r="AV84" s="229"/>
      <c r="AW84" s="229"/>
      <c r="AX84" s="229"/>
      <c r="AY84" s="229"/>
      <c r="AZ84" s="229"/>
      <c r="BA84" s="229"/>
      <c r="BB84" s="229"/>
      <c r="BC84" s="229"/>
      <c r="BD84" s="229"/>
      <c r="BE84" s="229"/>
      <c r="BF84" s="229"/>
      <c r="BG84" s="229"/>
      <c r="BH84" s="229"/>
      <c r="BI84" s="229"/>
      <c r="BJ84" s="229"/>
      <c r="BK84" s="229"/>
      <c r="BL84" s="229"/>
      <c r="BM84" s="229"/>
      <c r="BN84" s="229"/>
      <c r="BO84" s="229"/>
      <c r="BP84" s="229"/>
      <c r="BQ84" s="229"/>
      <c r="BR84" s="229"/>
      <c r="BS84" s="229"/>
      <c r="BT84" s="229"/>
      <c r="BU84" s="229"/>
      <c r="BV84" s="229"/>
      <c r="BW84" s="229"/>
      <c r="BX84" s="229"/>
      <c r="BY84" s="229"/>
      <c r="BZ84" s="229"/>
      <c r="CA84" s="229"/>
      <c r="CB84" s="229"/>
      <c r="CC84" s="229"/>
      <c r="CD84" s="229"/>
      <c r="CE84" s="229"/>
      <c r="CF84" s="229"/>
      <c r="CG84" s="229"/>
      <c r="CH84" s="229"/>
      <c r="CI84" s="229"/>
      <c r="CJ84" s="229"/>
      <c r="CK84" s="229"/>
      <c r="CL84" s="229"/>
      <c r="CM84" s="229"/>
      <c r="CN84" s="229"/>
      <c r="CO84" s="229"/>
      <c r="CP84" s="229"/>
      <c r="CQ84" s="229"/>
      <c r="CR84" s="229"/>
      <c r="CS84" s="229"/>
      <c r="CT84" s="229"/>
      <c r="CU84" s="229"/>
      <c r="CV84" s="229"/>
      <c r="CW84" s="229"/>
      <c r="CX84" s="229"/>
      <c r="CY84" s="229"/>
      <c r="CZ84" s="229"/>
      <c r="DA84" s="229"/>
      <c r="DB84" s="229"/>
      <c r="DC84" s="229"/>
      <c r="DD84" s="229"/>
      <c r="DE84" s="229"/>
      <c r="DF84" s="229"/>
      <c r="DG84" s="229"/>
      <c r="DH84" s="229"/>
      <c r="DI84" s="229"/>
      <c r="DJ84" s="229"/>
      <c r="DK84" s="229"/>
      <c r="DL84" s="229"/>
      <c r="DM84" s="229"/>
      <c r="DN84" s="229"/>
      <c r="DO84" s="229"/>
    </row>
    <row r="85" spans="2:119" s="529" customFormat="1">
      <c r="B85" s="4104"/>
      <c r="C85" s="3417" t="s">
        <v>1493</v>
      </c>
      <c r="D85" s="983" t="s">
        <v>1489</v>
      </c>
      <c r="E85" s="751">
        <v>29.684999999999999</v>
      </c>
      <c r="F85" s="752">
        <v>399.70002105263166</v>
      </c>
      <c r="G85" s="752">
        <v>592.17399999999998</v>
      </c>
      <c r="H85" s="752">
        <v>874.947</v>
      </c>
      <c r="I85" s="3419">
        <v>863.80799999999999</v>
      </c>
      <c r="J85" s="751">
        <v>956.98099999999999</v>
      </c>
      <c r="K85" s="752">
        <v>1021.647</v>
      </c>
      <c r="L85" s="752">
        <v>906.59299999999996</v>
      </c>
      <c r="M85" s="752">
        <v>1133.0909999999999</v>
      </c>
      <c r="N85" s="3419">
        <v>1480.9861393540689</v>
      </c>
      <c r="O85" s="751">
        <v>1801.0400890507744</v>
      </c>
      <c r="P85" s="752">
        <v>2058.2416496187634</v>
      </c>
      <c r="Q85" s="752">
        <v>2209.7511313770115</v>
      </c>
      <c r="R85" s="752">
        <v>2346.7972705799493</v>
      </c>
      <c r="S85" s="3421">
        <v>2394.4194949547045</v>
      </c>
      <c r="T85" s="1427"/>
      <c r="U85" s="1427"/>
      <c r="V85" s="1427"/>
      <c r="W85" s="1427"/>
      <c r="X85" s="1427"/>
      <c r="Y85" s="1427"/>
      <c r="Z85" s="1427"/>
      <c r="AA85" s="1427"/>
      <c r="AB85" s="1427"/>
      <c r="AC85" s="1427"/>
      <c r="AD85" s="1427"/>
      <c r="AE85" s="229"/>
      <c r="AF85" s="229"/>
      <c r="AG85" s="229"/>
      <c r="AH85" s="229"/>
      <c r="AI85" s="229"/>
      <c r="AJ85" s="229"/>
      <c r="AK85" s="229"/>
      <c r="AL85" s="229"/>
      <c r="AM85" s="229"/>
      <c r="AN85" s="229"/>
      <c r="AO85" s="229"/>
      <c r="AP85" s="229"/>
      <c r="AQ85" s="229"/>
      <c r="AR85" s="229"/>
      <c r="AS85" s="229"/>
      <c r="AT85" s="229"/>
      <c r="AU85" s="229"/>
      <c r="AV85" s="229"/>
      <c r="AW85" s="229"/>
      <c r="AX85" s="229"/>
      <c r="AY85" s="229"/>
      <c r="AZ85" s="229"/>
      <c r="BA85" s="229"/>
      <c r="BB85" s="229"/>
      <c r="BC85" s="229"/>
      <c r="BD85" s="229"/>
      <c r="BE85" s="229"/>
      <c r="BF85" s="229"/>
      <c r="BG85" s="229"/>
      <c r="BH85" s="229"/>
      <c r="BI85" s="229"/>
      <c r="BJ85" s="229"/>
      <c r="BK85" s="229"/>
      <c r="BL85" s="229"/>
      <c r="BM85" s="229"/>
      <c r="BN85" s="229"/>
      <c r="BO85" s="229"/>
      <c r="BP85" s="229"/>
      <c r="BQ85" s="229"/>
      <c r="BR85" s="229"/>
      <c r="BS85" s="229"/>
      <c r="BT85" s="229"/>
      <c r="BU85" s="229"/>
      <c r="BV85" s="229"/>
      <c r="BW85" s="229"/>
      <c r="BX85" s="229"/>
      <c r="BY85" s="229"/>
      <c r="BZ85" s="229"/>
      <c r="CA85" s="229"/>
      <c r="CB85" s="229"/>
      <c r="CC85" s="229"/>
      <c r="CD85" s="229"/>
      <c r="CE85" s="229"/>
      <c r="CF85" s="229"/>
      <c r="CG85" s="229"/>
      <c r="CH85" s="229"/>
      <c r="CI85" s="229"/>
      <c r="CJ85" s="229"/>
      <c r="CK85" s="229"/>
      <c r="CL85" s="229"/>
      <c r="CM85" s="229"/>
      <c r="CN85" s="229"/>
      <c r="CO85" s="229"/>
      <c r="CP85" s="229"/>
      <c r="CQ85" s="229"/>
      <c r="CR85" s="229"/>
      <c r="CS85" s="229"/>
      <c r="CT85" s="229"/>
      <c r="CU85" s="229"/>
      <c r="CV85" s="229"/>
      <c r="CW85" s="229"/>
      <c r="CX85" s="229"/>
      <c r="CY85" s="229"/>
      <c r="CZ85" s="229"/>
      <c r="DA85" s="229"/>
      <c r="DB85" s="229"/>
      <c r="DC85" s="229"/>
      <c r="DD85" s="229"/>
      <c r="DE85" s="229"/>
      <c r="DF85" s="229"/>
      <c r="DG85" s="229"/>
      <c r="DH85" s="229"/>
      <c r="DI85" s="229"/>
      <c r="DJ85" s="229"/>
      <c r="DK85" s="229"/>
      <c r="DL85" s="229"/>
      <c r="DM85" s="229"/>
      <c r="DN85" s="229"/>
      <c r="DO85" s="229"/>
    </row>
    <row r="86" spans="2:119" s="529" customFormat="1">
      <c r="B86" s="4104"/>
      <c r="C86" s="3417" t="s">
        <v>1494</v>
      </c>
      <c r="D86" s="983" t="s">
        <v>1490</v>
      </c>
      <c r="E86" s="751">
        <v>1.0000000000000001E-5</v>
      </c>
      <c r="F86" s="752">
        <v>882.12030000000004</v>
      </c>
      <c r="G86" s="752">
        <v>699.75300000000004</v>
      </c>
      <c r="H86" s="752">
        <v>702.726</v>
      </c>
      <c r="I86" s="3419">
        <v>716.20399999999995</v>
      </c>
      <c r="J86" s="751">
        <v>854.07</v>
      </c>
      <c r="K86" s="752">
        <v>866.18399999999997</v>
      </c>
      <c r="L86" s="752">
        <v>854.53499999999997</v>
      </c>
      <c r="M86" s="752">
        <v>919.83600000000001</v>
      </c>
      <c r="N86" s="3419">
        <v>1105.590472190984</v>
      </c>
      <c r="O86" s="751">
        <v>1284.9383375786194</v>
      </c>
      <c r="P86" s="752">
        <v>1435.445869465224</v>
      </c>
      <c r="Q86" s="752">
        <v>1523.6647233132078</v>
      </c>
      <c r="R86" s="752">
        <v>1609.1101949632334</v>
      </c>
      <c r="S86" s="3421">
        <v>1644.6217526045082</v>
      </c>
      <c r="T86" s="1427"/>
      <c r="U86" s="1427"/>
      <c r="V86" s="1427"/>
      <c r="W86" s="1427"/>
      <c r="X86" s="1427"/>
      <c r="Y86" s="1427"/>
      <c r="Z86" s="1427"/>
      <c r="AA86" s="1427"/>
      <c r="AB86" s="1427"/>
      <c r="AC86" s="1427"/>
      <c r="AD86" s="1427"/>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c r="BJ86" s="229"/>
      <c r="BK86" s="229"/>
      <c r="BL86" s="229"/>
      <c r="BM86" s="229"/>
      <c r="BN86" s="229"/>
      <c r="BO86" s="229"/>
      <c r="BP86" s="229"/>
      <c r="BQ86" s="229"/>
      <c r="BR86" s="229"/>
      <c r="BS86" s="229"/>
      <c r="BT86" s="229"/>
      <c r="BU86" s="229"/>
      <c r="BV86" s="229"/>
      <c r="BW86" s="229"/>
      <c r="BX86" s="229"/>
      <c r="BY86" s="229"/>
      <c r="BZ86" s="229"/>
      <c r="CA86" s="229"/>
      <c r="CB86" s="229"/>
      <c r="CC86" s="229"/>
      <c r="CD86" s="229"/>
      <c r="CE86" s="229"/>
      <c r="CF86" s="229"/>
      <c r="CG86" s="229"/>
      <c r="CH86" s="229"/>
      <c r="CI86" s="229"/>
      <c r="CJ86" s="229"/>
      <c r="CK86" s="229"/>
      <c r="CL86" s="229"/>
      <c r="CM86" s="229"/>
      <c r="CN86" s="229"/>
      <c r="CO86" s="229"/>
      <c r="CP86" s="229"/>
      <c r="CQ86" s="229"/>
      <c r="CR86" s="229"/>
      <c r="CS86" s="229"/>
      <c r="CT86" s="229"/>
      <c r="CU86" s="229"/>
      <c r="CV86" s="229"/>
      <c r="CW86" s="229"/>
      <c r="CX86" s="229"/>
      <c r="CY86" s="229"/>
      <c r="CZ86" s="229"/>
      <c r="DA86" s="229"/>
      <c r="DB86" s="229"/>
      <c r="DC86" s="229"/>
      <c r="DD86" s="229"/>
      <c r="DE86" s="229"/>
      <c r="DF86" s="229"/>
      <c r="DG86" s="229"/>
      <c r="DH86" s="229"/>
      <c r="DI86" s="229"/>
      <c r="DJ86" s="229"/>
      <c r="DK86" s="229"/>
      <c r="DL86" s="229"/>
      <c r="DM86" s="229"/>
      <c r="DN86" s="229"/>
      <c r="DO86" s="229"/>
    </row>
    <row r="87" spans="2:119" ht="13.5" thickBot="1">
      <c r="B87" s="4105"/>
      <c r="C87" s="4099" t="s">
        <v>410</v>
      </c>
      <c r="D87" s="4100"/>
      <c r="E87" s="2012">
        <f>SUM(E79:E86)</f>
        <v>261.01500999999996</v>
      </c>
      <c r="F87" s="2014">
        <f t="shared" ref="F87" si="59">SUM(F79:F86)</f>
        <v>2177.6970000000001</v>
      </c>
      <c r="G87" s="2014">
        <f t="shared" ref="G87" si="60">SUM(G79:G86)</f>
        <v>2478.5830000000001</v>
      </c>
      <c r="H87" s="2014">
        <f t="shared" ref="H87" si="61">SUM(H79:H86)</f>
        <v>3520.0250000000001</v>
      </c>
      <c r="I87" s="2017">
        <f t="shared" ref="I87" si="62">SUM(I79:I86)</f>
        <v>2955.92</v>
      </c>
      <c r="J87" s="2012">
        <f t="shared" ref="J87" si="63">SUM(J79:J86)</f>
        <v>3260.1820000000002</v>
      </c>
      <c r="K87" s="2014">
        <f t="shared" ref="K87" si="64">SUM(K79:K86)</f>
        <v>3424.0039999999999</v>
      </c>
      <c r="L87" s="2014">
        <f t="shared" ref="L87" si="65">SUM(L79:L86)</f>
        <v>3469.16</v>
      </c>
      <c r="M87" s="2014">
        <f t="shared" ref="M87" si="66">SUM(M79:M86)</f>
        <v>3849.9440000000004</v>
      </c>
      <c r="N87" s="2017">
        <f t="shared" ref="N87" si="67">SUM(N79:N86)</f>
        <v>4906.2554034951863</v>
      </c>
      <c r="O87" s="2012">
        <f t="shared" ref="O87" si="68">SUM(O79:O86)</f>
        <v>5886.9422223748315</v>
      </c>
      <c r="P87" s="2014">
        <f t="shared" ref="P87" si="69">SUM(P79:P86)</f>
        <v>6680.0661224777414</v>
      </c>
      <c r="Q87" s="2014">
        <f t="shared" ref="Q87" si="70">SUM(Q79:Q86)</f>
        <v>7142.286151992028</v>
      </c>
      <c r="R87" s="2014">
        <f t="shared" ref="R87" si="71">SUM(R79:R86)</f>
        <v>7566.0686315736457</v>
      </c>
      <c r="S87" s="2015">
        <f t="shared" ref="S87" si="72">SUM(S79:S86)</f>
        <v>7714.9297463466455</v>
      </c>
      <c r="U87" s="3432"/>
    </row>
    <row r="88" spans="2:119" ht="13.5" thickBot="1">
      <c r="B88" s="1940" t="s">
        <v>63</v>
      </c>
      <c r="C88" s="1941"/>
      <c r="D88" s="1941"/>
      <c r="E88" s="2019">
        <f>+SUM(E77,E87)</f>
        <v>11540.504009999999</v>
      </c>
      <c r="F88" s="2020">
        <f t="shared" ref="F88:S88" si="73">+SUM(F77,F87)</f>
        <v>24892.305999999997</v>
      </c>
      <c r="G88" s="2020">
        <f t="shared" si="73"/>
        <v>31246.381999999998</v>
      </c>
      <c r="H88" s="2020">
        <f t="shared" si="73"/>
        <v>36671.893000000004</v>
      </c>
      <c r="I88" s="2021">
        <f t="shared" si="73"/>
        <v>42314.531999999992</v>
      </c>
      <c r="J88" s="2019">
        <f t="shared" si="73"/>
        <v>43919.740999999995</v>
      </c>
      <c r="K88" s="2020">
        <f t="shared" si="73"/>
        <v>47527.553</v>
      </c>
      <c r="L88" s="2020">
        <f t="shared" si="73"/>
        <v>55934.040000000008</v>
      </c>
      <c r="M88" s="2020">
        <f t="shared" si="73"/>
        <v>57776.229999999996</v>
      </c>
      <c r="N88" s="2021">
        <f t="shared" si="73"/>
        <v>65849.698307965358</v>
      </c>
      <c r="O88" s="2019">
        <f t="shared" si="73"/>
        <v>76175.017182554308</v>
      </c>
      <c r="P88" s="2020">
        <f t="shared" si="73"/>
        <v>83911.401258683851</v>
      </c>
      <c r="Q88" s="2020">
        <f t="shared" si="73"/>
        <v>89042.045780714805</v>
      </c>
      <c r="R88" s="2020">
        <f t="shared" si="73"/>
        <v>92861.132683880453</v>
      </c>
      <c r="S88" s="2022">
        <f t="shared" si="73"/>
        <v>93463.933695732747</v>
      </c>
    </row>
    <row r="89" spans="2:119" ht="15.75" thickBot="1">
      <c r="B89" s="2669" t="str">
        <f>+'27. Customer numbers'!B74</f>
        <v>Adjoining West</v>
      </c>
      <c r="C89" s="3411"/>
      <c r="D89" s="3412"/>
      <c r="E89" s="3412"/>
      <c r="F89" s="3412"/>
      <c r="G89" s="3412"/>
      <c r="H89" s="3412"/>
      <c r="I89" s="3412"/>
      <c r="J89" s="3412"/>
      <c r="K89" s="3412"/>
      <c r="L89" s="3412"/>
      <c r="M89" s="3412"/>
      <c r="N89" s="3412"/>
      <c r="O89" s="3412"/>
      <c r="P89" s="3412"/>
      <c r="Q89" s="3412"/>
      <c r="R89" s="3412"/>
      <c r="S89" s="3413"/>
    </row>
    <row r="90" spans="2:119" ht="15.75" thickBot="1">
      <c r="B90" s="2669" t="str">
        <f>+'27. Customer numbers'!B75</f>
        <v>Tariff V</v>
      </c>
      <c r="C90" s="3414"/>
      <c r="D90" s="3415"/>
      <c r="E90" s="3415"/>
      <c r="F90" s="3415"/>
      <c r="G90" s="3415"/>
      <c r="H90" s="3415"/>
      <c r="I90" s="3415"/>
      <c r="J90" s="3415"/>
      <c r="K90" s="3415"/>
      <c r="L90" s="3415"/>
      <c r="M90" s="3415"/>
      <c r="N90" s="3415"/>
      <c r="O90" s="3415"/>
      <c r="P90" s="3415"/>
      <c r="Q90" s="3415"/>
      <c r="R90" s="3415"/>
      <c r="S90" s="3416"/>
    </row>
    <row r="91" spans="2:119">
      <c r="B91" s="4104" t="str">
        <f>+'27. Customer numbers'!B78</f>
        <v>Residential customers</v>
      </c>
      <c r="C91" s="4101" t="s">
        <v>47</v>
      </c>
      <c r="D91" s="4107"/>
      <c r="E91" s="1977">
        <f>+'27. Customer numbers'!D80</f>
        <v>3179</v>
      </c>
      <c r="F91" s="1978">
        <f>+'27. Customer numbers'!E80</f>
        <v>4822.5</v>
      </c>
      <c r="G91" s="1978">
        <f>+'27. Customer numbers'!F80</f>
        <v>5944</v>
      </c>
      <c r="H91" s="1978">
        <f>+'27. Customer numbers'!G80</f>
        <v>6806.5</v>
      </c>
      <c r="I91" s="2016">
        <f>+'27. Customer numbers'!H80</f>
        <v>7555.5</v>
      </c>
      <c r="J91" s="1977">
        <f>+'27. Customer numbers'!I80</f>
        <v>8178.5</v>
      </c>
      <c r="K91" s="1978">
        <f>+'27. Customer numbers'!J80</f>
        <v>8747</v>
      </c>
      <c r="L91" s="1978">
        <f>+'27. Customer numbers'!K80</f>
        <v>9240</v>
      </c>
      <c r="M91" s="1978">
        <f>+'27. Customer numbers'!L80</f>
        <v>9667.1966153879657</v>
      </c>
      <c r="N91" s="2016">
        <f>+'27. Customer numbers'!M80</f>
        <v>10159.745681429251</v>
      </c>
      <c r="O91" s="1977">
        <f>+'27. Customer numbers'!N80</f>
        <v>10706.132458983659</v>
      </c>
      <c r="P91" s="1978">
        <f>+'27. Customer numbers'!O80</f>
        <v>11179.509472426422</v>
      </c>
      <c r="Q91" s="1978">
        <f>+'27. Customer numbers'!P80</f>
        <v>11599.133767308384</v>
      </c>
      <c r="R91" s="1978">
        <f>+'27. Customer numbers'!Q80</f>
        <v>11979.468361921919</v>
      </c>
      <c r="S91" s="2013">
        <f>+'27. Customer numbers'!R80</f>
        <v>12171.274530575232</v>
      </c>
    </row>
    <row r="92" spans="2:119">
      <c r="B92" s="4104"/>
      <c r="C92" s="1026" t="s">
        <v>1483</v>
      </c>
      <c r="D92" s="983" t="s">
        <v>1479</v>
      </c>
      <c r="E92" s="514">
        <v>35707.31</v>
      </c>
      <c r="F92" s="513">
        <v>51020.899359542003</v>
      </c>
      <c r="G92" s="513">
        <v>61345.892</v>
      </c>
      <c r="H92" s="513">
        <v>69749.703999999998</v>
      </c>
      <c r="I92" s="702">
        <v>77856.789999999994</v>
      </c>
      <c r="J92" s="514">
        <v>83331.652000000002</v>
      </c>
      <c r="K92" s="513">
        <v>82775.481</v>
      </c>
      <c r="L92" s="513">
        <v>94585.883000000002</v>
      </c>
      <c r="M92" s="513">
        <v>100144.72100000001</v>
      </c>
      <c r="N92" s="702">
        <v>106270.85102864183</v>
      </c>
      <c r="O92" s="514">
        <v>109781.3498262287</v>
      </c>
      <c r="P92" s="513">
        <v>112727.57567205961</v>
      </c>
      <c r="Q92" s="513">
        <v>114555.65172910303</v>
      </c>
      <c r="R92" s="513">
        <v>115452.5324198148</v>
      </c>
      <c r="S92" s="464">
        <v>114377.68888673895</v>
      </c>
    </row>
    <row r="93" spans="2:119">
      <c r="B93" s="4104"/>
      <c r="C93" s="1026" t="s">
        <v>1484</v>
      </c>
      <c r="D93" s="983" t="s">
        <v>1480</v>
      </c>
      <c r="E93" s="514">
        <v>26980.501</v>
      </c>
      <c r="F93" s="513">
        <v>37450.014756863085</v>
      </c>
      <c r="G93" s="513">
        <v>48630.12</v>
      </c>
      <c r="H93" s="513">
        <v>51161.069000000003</v>
      </c>
      <c r="I93" s="702">
        <v>60681.173999999999</v>
      </c>
      <c r="J93" s="514">
        <v>61676.008000000002</v>
      </c>
      <c r="K93" s="513">
        <v>66269.025999999998</v>
      </c>
      <c r="L93" s="513">
        <v>74089.236000000004</v>
      </c>
      <c r="M93" s="513">
        <v>79906.959000000003</v>
      </c>
      <c r="N93" s="702">
        <v>83886.833046049796</v>
      </c>
      <c r="O93" s="514">
        <v>86524.514947440766</v>
      </c>
      <c r="P93" s="513">
        <v>88700.509245256661</v>
      </c>
      <c r="Q93" s="513">
        <v>89975.113709616329</v>
      </c>
      <c r="R93" s="513">
        <v>90505.954981581599</v>
      </c>
      <c r="S93" s="464">
        <v>89473.704068262654</v>
      </c>
    </row>
    <row r="94" spans="2:119">
      <c r="B94" s="4104"/>
      <c r="C94" s="1026" t="s">
        <v>1485</v>
      </c>
      <c r="D94" s="983" t="s">
        <v>1481</v>
      </c>
      <c r="E94" s="514">
        <v>50875.938999999998</v>
      </c>
      <c r="F94" s="513">
        <v>63526.754171625646</v>
      </c>
      <c r="G94" s="513">
        <v>102069.05100000001</v>
      </c>
      <c r="H94" s="513">
        <v>88668.930999999997</v>
      </c>
      <c r="I94" s="702">
        <v>119886.213</v>
      </c>
      <c r="J94" s="514">
        <v>101604.20600000001</v>
      </c>
      <c r="K94" s="513">
        <v>130037.246</v>
      </c>
      <c r="L94" s="513">
        <v>152606.02799999999</v>
      </c>
      <c r="M94" s="513">
        <v>152189.46900000001</v>
      </c>
      <c r="N94" s="702">
        <v>155740.83826334041</v>
      </c>
      <c r="O94" s="514">
        <v>160442.33376368554</v>
      </c>
      <c r="P94" s="513">
        <v>164449.10347084305</v>
      </c>
      <c r="Q94" s="513">
        <v>166898.34528665306</v>
      </c>
      <c r="R94" s="513">
        <v>168167.85850777521</v>
      </c>
      <c r="S94" s="464">
        <v>166799.78402683316</v>
      </c>
    </row>
    <row r="95" spans="2:119">
      <c r="B95" s="4104"/>
      <c r="C95" s="1026" t="s">
        <v>1486</v>
      </c>
      <c r="D95" s="983" t="s">
        <v>1482</v>
      </c>
      <c r="E95" s="514">
        <v>450.06200000000001</v>
      </c>
      <c r="F95" s="513">
        <v>395.63785127415213</v>
      </c>
      <c r="G95" s="513">
        <v>625.07299999999998</v>
      </c>
      <c r="H95" s="513">
        <v>840.2</v>
      </c>
      <c r="I95" s="702">
        <v>2146.6849999999999</v>
      </c>
      <c r="J95" s="514">
        <v>1735.77</v>
      </c>
      <c r="K95" s="513">
        <v>758.45799999999997</v>
      </c>
      <c r="L95" s="513">
        <v>981.57</v>
      </c>
      <c r="M95" s="513">
        <v>1343.1690000000001</v>
      </c>
      <c r="N95" s="702">
        <v>1445.5580156706922</v>
      </c>
      <c r="O95" s="514">
        <v>1529.7019637472827</v>
      </c>
      <c r="P95" s="513">
        <v>1605.596963408369</v>
      </c>
      <c r="Q95" s="513">
        <v>1665.6153093077603</v>
      </c>
      <c r="R95" s="513">
        <v>1709.5403498704425</v>
      </c>
      <c r="S95" s="464">
        <v>1719.254495187432</v>
      </c>
    </row>
    <row r="96" spans="2:119" s="529" customFormat="1">
      <c r="B96" s="4104"/>
      <c r="C96" s="3417" t="s">
        <v>1491</v>
      </c>
      <c r="D96" s="983" t="s">
        <v>1487</v>
      </c>
      <c r="E96" s="751">
        <v>41630.233999999997</v>
      </c>
      <c r="F96" s="752">
        <v>62663.487640457999</v>
      </c>
      <c r="G96" s="752">
        <v>72043.164999999994</v>
      </c>
      <c r="H96" s="752">
        <v>89860.993000000002</v>
      </c>
      <c r="I96" s="3419">
        <v>99725.274999999994</v>
      </c>
      <c r="J96" s="751">
        <v>103616.52</v>
      </c>
      <c r="K96" s="752">
        <v>110300.617</v>
      </c>
      <c r="L96" s="752">
        <v>119149.482</v>
      </c>
      <c r="M96" s="752">
        <v>122625.893</v>
      </c>
      <c r="N96" s="3419">
        <v>127864.66374659137</v>
      </c>
      <c r="O96" s="751">
        <v>130593.6379927253</v>
      </c>
      <c r="P96" s="752">
        <v>132709.49687287834</v>
      </c>
      <c r="Q96" s="752">
        <v>133533.98768128426</v>
      </c>
      <c r="R96" s="752">
        <v>133410.40672880094</v>
      </c>
      <c r="S96" s="3421">
        <v>131232.66927875148</v>
      </c>
      <c r="T96" s="1427"/>
      <c r="U96" s="1427"/>
      <c r="V96" s="1427"/>
      <c r="W96" s="1427"/>
      <c r="X96" s="1427"/>
      <c r="Y96" s="1427"/>
      <c r="Z96" s="1427"/>
      <c r="AA96" s="1427"/>
      <c r="AB96" s="1427"/>
      <c r="AC96" s="1427"/>
      <c r="AD96" s="1427"/>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c r="BJ96" s="229"/>
      <c r="BK96" s="229"/>
      <c r="BL96" s="229"/>
      <c r="BM96" s="229"/>
      <c r="BN96" s="229"/>
      <c r="BO96" s="229"/>
      <c r="BP96" s="229"/>
      <c r="BQ96" s="229"/>
      <c r="BR96" s="229"/>
      <c r="BS96" s="229"/>
      <c r="BT96" s="229"/>
      <c r="BU96" s="229"/>
      <c r="BV96" s="229"/>
      <c r="BW96" s="229"/>
      <c r="BX96" s="229"/>
      <c r="BY96" s="229"/>
      <c r="BZ96" s="229"/>
      <c r="CA96" s="229"/>
      <c r="CB96" s="229"/>
      <c r="CC96" s="229"/>
      <c r="CD96" s="229"/>
      <c r="CE96" s="229"/>
      <c r="CF96" s="229"/>
      <c r="CG96" s="229"/>
      <c r="CH96" s="229"/>
      <c r="CI96" s="229"/>
      <c r="CJ96" s="229"/>
      <c r="CK96" s="229"/>
      <c r="CL96" s="229"/>
      <c r="CM96" s="229"/>
      <c r="CN96" s="229"/>
      <c r="CO96" s="229"/>
      <c r="CP96" s="229"/>
      <c r="CQ96" s="229"/>
      <c r="CR96" s="229"/>
      <c r="CS96" s="229"/>
      <c r="CT96" s="229"/>
      <c r="CU96" s="229"/>
      <c r="CV96" s="229"/>
      <c r="CW96" s="229"/>
      <c r="CX96" s="229"/>
      <c r="CY96" s="229"/>
      <c r="CZ96" s="229"/>
      <c r="DA96" s="229"/>
      <c r="DB96" s="229"/>
      <c r="DC96" s="229"/>
      <c r="DD96" s="229"/>
      <c r="DE96" s="229"/>
      <c r="DF96" s="229"/>
      <c r="DG96" s="229"/>
      <c r="DH96" s="229"/>
      <c r="DI96" s="229"/>
      <c r="DJ96" s="229"/>
      <c r="DK96" s="229"/>
      <c r="DL96" s="229"/>
      <c r="DM96" s="229"/>
      <c r="DN96" s="229"/>
      <c r="DO96" s="229"/>
    </row>
    <row r="97" spans="2:119" s="529" customFormat="1">
      <c r="B97" s="4104"/>
      <c r="C97" s="3417" t="s">
        <v>1492</v>
      </c>
      <c r="D97" s="983" t="s">
        <v>1488</v>
      </c>
      <c r="E97" s="751">
        <v>14061.694</v>
      </c>
      <c r="F97" s="752">
        <v>24787.09924313692</v>
      </c>
      <c r="G97" s="752">
        <v>24729.062000000002</v>
      </c>
      <c r="H97" s="752">
        <v>32900.902000000002</v>
      </c>
      <c r="I97" s="3419">
        <v>34448.936000000002</v>
      </c>
      <c r="J97" s="751">
        <v>35777.656000000003</v>
      </c>
      <c r="K97" s="752">
        <v>31915.409</v>
      </c>
      <c r="L97" s="752">
        <v>38462.936999999998</v>
      </c>
      <c r="M97" s="752">
        <v>40446.843000000001</v>
      </c>
      <c r="N97" s="3419">
        <v>39612.589306310307</v>
      </c>
      <c r="O97" s="751">
        <v>40043.876092969222</v>
      </c>
      <c r="P97" s="752">
        <v>40273.79193128075</v>
      </c>
      <c r="Q97" s="752">
        <v>40080.638869628659</v>
      </c>
      <c r="R97" s="752">
        <v>39607.105114060323</v>
      </c>
      <c r="S97" s="3421">
        <v>38527.434454691109</v>
      </c>
      <c r="T97" s="1427"/>
      <c r="U97" s="1427"/>
      <c r="V97" s="1427"/>
      <c r="W97" s="1427"/>
      <c r="X97" s="1427"/>
      <c r="Y97" s="1427"/>
      <c r="Z97" s="1427"/>
      <c r="AA97" s="1427"/>
      <c r="AB97" s="1427"/>
      <c r="AC97" s="1427"/>
      <c r="AD97" s="1427"/>
      <c r="AE97" s="229"/>
      <c r="AF97" s="229"/>
      <c r="AG97" s="229"/>
      <c r="AH97" s="229"/>
      <c r="AI97" s="229"/>
      <c r="AJ97" s="229"/>
      <c r="AK97" s="229"/>
      <c r="AL97" s="229"/>
      <c r="AM97" s="229"/>
      <c r="AN97" s="229"/>
      <c r="AO97" s="229"/>
      <c r="AP97" s="229"/>
      <c r="AQ97" s="229"/>
      <c r="AR97" s="229"/>
      <c r="AS97" s="229"/>
      <c r="AT97" s="229"/>
      <c r="AU97" s="229"/>
      <c r="AV97" s="229"/>
      <c r="AW97" s="229"/>
      <c r="AX97" s="229"/>
      <c r="AY97" s="229"/>
      <c r="AZ97" s="229"/>
      <c r="BA97" s="229"/>
      <c r="BB97" s="229"/>
      <c r="BC97" s="229"/>
      <c r="BD97" s="229"/>
      <c r="BE97" s="229"/>
      <c r="BF97" s="229"/>
      <c r="BG97" s="229"/>
      <c r="BH97" s="229"/>
      <c r="BI97" s="229"/>
      <c r="BJ97" s="229"/>
      <c r="BK97" s="229"/>
      <c r="BL97" s="229"/>
      <c r="BM97" s="229"/>
      <c r="BN97" s="229"/>
      <c r="BO97" s="229"/>
      <c r="BP97" s="229"/>
      <c r="BQ97" s="229"/>
      <c r="BR97" s="229"/>
      <c r="BS97" s="229"/>
      <c r="BT97" s="229"/>
      <c r="BU97" s="229"/>
      <c r="BV97" s="229"/>
      <c r="BW97" s="229"/>
      <c r="BX97" s="229"/>
      <c r="BY97" s="229"/>
      <c r="BZ97" s="229"/>
      <c r="CA97" s="229"/>
      <c r="CB97" s="229"/>
      <c r="CC97" s="229"/>
      <c r="CD97" s="229"/>
      <c r="CE97" s="229"/>
      <c r="CF97" s="229"/>
      <c r="CG97" s="229"/>
      <c r="CH97" s="229"/>
      <c r="CI97" s="229"/>
      <c r="CJ97" s="229"/>
      <c r="CK97" s="229"/>
      <c r="CL97" s="229"/>
      <c r="CM97" s="229"/>
      <c r="CN97" s="229"/>
      <c r="CO97" s="229"/>
      <c r="CP97" s="229"/>
      <c r="CQ97" s="229"/>
      <c r="CR97" s="229"/>
      <c r="CS97" s="229"/>
      <c r="CT97" s="229"/>
      <c r="CU97" s="229"/>
      <c r="CV97" s="229"/>
      <c r="CW97" s="229"/>
      <c r="CX97" s="229"/>
      <c r="CY97" s="229"/>
      <c r="CZ97" s="229"/>
      <c r="DA97" s="229"/>
      <c r="DB97" s="229"/>
      <c r="DC97" s="229"/>
      <c r="DD97" s="229"/>
      <c r="DE97" s="229"/>
      <c r="DF97" s="229"/>
      <c r="DG97" s="229"/>
      <c r="DH97" s="229"/>
      <c r="DI97" s="229"/>
      <c r="DJ97" s="229"/>
      <c r="DK97" s="229"/>
      <c r="DL97" s="229"/>
      <c r="DM97" s="229"/>
      <c r="DN97" s="229"/>
      <c r="DO97" s="229"/>
    </row>
    <row r="98" spans="2:119" s="529" customFormat="1">
      <c r="B98" s="4104"/>
      <c r="C98" s="3417" t="s">
        <v>1493</v>
      </c>
      <c r="D98" s="983" t="s">
        <v>1489</v>
      </c>
      <c r="E98" s="751">
        <v>9688.4529999999995</v>
      </c>
      <c r="F98" s="752">
        <v>22717.907828374358</v>
      </c>
      <c r="G98" s="752">
        <v>16478.441999999999</v>
      </c>
      <c r="H98" s="752">
        <v>25433.649000000001</v>
      </c>
      <c r="I98" s="3419">
        <v>22353.316999999999</v>
      </c>
      <c r="J98" s="751">
        <v>26110.683000000001</v>
      </c>
      <c r="K98" s="752">
        <v>14797.218999999999</v>
      </c>
      <c r="L98" s="752">
        <v>25441.953000000001</v>
      </c>
      <c r="M98" s="752">
        <v>29769.175999999999</v>
      </c>
      <c r="N98" s="3419">
        <v>28299.027422709609</v>
      </c>
      <c r="O98" s="751">
        <v>28614.726755712109</v>
      </c>
      <c r="P98" s="752">
        <v>28792.923457761033</v>
      </c>
      <c r="Q98" s="752">
        <v>28668.5216000049</v>
      </c>
      <c r="R98" s="752">
        <v>28350.897370133145</v>
      </c>
      <c r="S98" s="3421">
        <v>27604.532931213114</v>
      </c>
      <c r="T98" s="1427"/>
      <c r="U98" s="1427"/>
      <c r="V98" s="1427"/>
      <c r="W98" s="1427"/>
      <c r="X98" s="1427"/>
      <c r="Y98" s="1427"/>
      <c r="Z98" s="1427"/>
      <c r="AA98" s="1427"/>
      <c r="AB98" s="1427"/>
      <c r="AC98" s="1427"/>
      <c r="AD98" s="1427"/>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29"/>
      <c r="BM98" s="229"/>
      <c r="BN98" s="229"/>
      <c r="BO98" s="229"/>
      <c r="BP98" s="229"/>
      <c r="BQ98" s="229"/>
      <c r="BR98" s="229"/>
      <c r="BS98" s="229"/>
      <c r="BT98" s="229"/>
      <c r="BU98" s="229"/>
      <c r="BV98" s="229"/>
      <c r="BW98" s="229"/>
      <c r="BX98" s="229"/>
      <c r="BY98" s="229"/>
      <c r="BZ98" s="229"/>
      <c r="CA98" s="229"/>
      <c r="CB98" s="229"/>
      <c r="CC98" s="229"/>
      <c r="CD98" s="229"/>
      <c r="CE98" s="229"/>
      <c r="CF98" s="229"/>
      <c r="CG98" s="229"/>
      <c r="CH98" s="229"/>
      <c r="CI98" s="229"/>
      <c r="CJ98" s="229"/>
      <c r="CK98" s="229"/>
      <c r="CL98" s="229"/>
      <c r="CM98" s="229"/>
      <c r="CN98" s="229"/>
      <c r="CO98" s="229"/>
      <c r="CP98" s="229"/>
      <c r="CQ98" s="229"/>
      <c r="CR98" s="229"/>
      <c r="CS98" s="229"/>
      <c r="CT98" s="229"/>
      <c r="CU98" s="229"/>
      <c r="CV98" s="229"/>
      <c r="CW98" s="229"/>
      <c r="CX98" s="229"/>
      <c r="CY98" s="229"/>
      <c r="CZ98" s="229"/>
      <c r="DA98" s="229"/>
      <c r="DB98" s="229"/>
      <c r="DC98" s="229"/>
      <c r="DD98" s="229"/>
      <c r="DE98" s="229"/>
      <c r="DF98" s="229"/>
      <c r="DG98" s="229"/>
      <c r="DH98" s="229"/>
      <c r="DI98" s="229"/>
      <c r="DJ98" s="229"/>
      <c r="DK98" s="229"/>
      <c r="DL98" s="229"/>
      <c r="DM98" s="229"/>
      <c r="DN98" s="229"/>
      <c r="DO98" s="229"/>
    </row>
    <row r="99" spans="2:119" s="529" customFormat="1">
      <c r="B99" s="4104"/>
      <c r="C99" s="3417" t="s">
        <v>1494</v>
      </c>
      <c r="D99" s="983" t="s">
        <v>1490</v>
      </c>
      <c r="E99" s="751">
        <v>718.76300000000003</v>
      </c>
      <c r="F99" s="752">
        <v>161.55014872584786</v>
      </c>
      <c r="G99" s="752">
        <v>101.833</v>
      </c>
      <c r="H99" s="752">
        <v>698.94799999999998</v>
      </c>
      <c r="I99" s="3419">
        <v>1408.739</v>
      </c>
      <c r="J99" s="751">
        <v>1250.085</v>
      </c>
      <c r="K99" s="752">
        <v>1035.5889999999999</v>
      </c>
      <c r="L99" s="752">
        <v>540.57899999999995</v>
      </c>
      <c r="M99" s="752">
        <v>888.27499999999998</v>
      </c>
      <c r="N99" s="3419">
        <v>945.11078710958384</v>
      </c>
      <c r="O99" s="751">
        <v>999.25629469003263</v>
      </c>
      <c r="P99" s="752">
        <v>1046.6736010594864</v>
      </c>
      <c r="Q99" s="752">
        <v>1082.4928256674546</v>
      </c>
      <c r="R99" s="752">
        <v>1106.3892299685442</v>
      </c>
      <c r="S99" s="3421">
        <v>1106.0978689442247</v>
      </c>
      <c r="T99" s="1427"/>
      <c r="U99" s="1427"/>
      <c r="V99" s="1427"/>
      <c r="W99" s="1427"/>
      <c r="X99" s="1427"/>
      <c r="Y99" s="1427"/>
      <c r="Z99" s="1427"/>
      <c r="AA99" s="1427"/>
      <c r="AB99" s="1427"/>
      <c r="AC99" s="1427"/>
      <c r="AD99" s="1427"/>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c r="BJ99" s="229"/>
      <c r="BK99" s="229"/>
      <c r="BL99" s="229"/>
      <c r="BM99" s="229"/>
      <c r="BN99" s="229"/>
      <c r="BO99" s="229"/>
      <c r="BP99" s="229"/>
      <c r="BQ99" s="229"/>
      <c r="BR99" s="229"/>
      <c r="BS99" s="229"/>
      <c r="BT99" s="229"/>
      <c r="BU99" s="229"/>
      <c r="BV99" s="229"/>
      <c r="BW99" s="229"/>
      <c r="BX99" s="229"/>
      <c r="BY99" s="229"/>
      <c r="BZ99" s="229"/>
      <c r="CA99" s="229"/>
      <c r="CB99" s="229"/>
      <c r="CC99" s="229"/>
      <c r="CD99" s="229"/>
      <c r="CE99" s="229"/>
      <c r="CF99" s="229"/>
      <c r="CG99" s="229"/>
      <c r="CH99" s="229"/>
      <c r="CI99" s="229"/>
      <c r="CJ99" s="229"/>
      <c r="CK99" s="229"/>
      <c r="CL99" s="229"/>
      <c r="CM99" s="229"/>
      <c r="CN99" s="229"/>
      <c r="CO99" s="229"/>
      <c r="CP99" s="229"/>
      <c r="CQ99" s="229"/>
      <c r="CR99" s="229"/>
      <c r="CS99" s="229"/>
      <c r="CT99" s="229"/>
      <c r="CU99" s="229"/>
      <c r="CV99" s="229"/>
      <c r="CW99" s="229"/>
      <c r="CX99" s="229"/>
      <c r="CY99" s="229"/>
      <c r="CZ99" s="229"/>
      <c r="DA99" s="229"/>
      <c r="DB99" s="229"/>
      <c r="DC99" s="229"/>
      <c r="DD99" s="229"/>
      <c r="DE99" s="229"/>
      <c r="DF99" s="229"/>
      <c r="DG99" s="229"/>
      <c r="DH99" s="229"/>
      <c r="DI99" s="229"/>
      <c r="DJ99" s="229"/>
      <c r="DK99" s="229"/>
      <c r="DL99" s="229"/>
      <c r="DM99" s="229"/>
      <c r="DN99" s="229"/>
      <c r="DO99" s="229"/>
    </row>
    <row r="100" spans="2:119" ht="13.5" thickBot="1">
      <c r="B100" s="4105"/>
      <c r="C100" s="4099" t="s">
        <v>410</v>
      </c>
      <c r="D100" s="4106"/>
      <c r="E100" s="2012">
        <f>SUM(E92:E99)</f>
        <v>180112.95600000001</v>
      </c>
      <c r="F100" s="2014">
        <f t="shared" ref="F100:S100" si="74">SUM(F92:F99)</f>
        <v>262723.35100000002</v>
      </c>
      <c r="G100" s="2014">
        <f t="shared" si="74"/>
        <v>326022.63799999998</v>
      </c>
      <c r="H100" s="2014">
        <f t="shared" si="74"/>
        <v>359314.39599999995</v>
      </c>
      <c r="I100" s="2017">
        <f t="shared" si="74"/>
        <v>418507.12899999996</v>
      </c>
      <c r="J100" s="2012">
        <f t="shared" si="74"/>
        <v>415102.58000000007</v>
      </c>
      <c r="K100" s="2014">
        <f t="shared" si="74"/>
        <v>437889.04499999993</v>
      </c>
      <c r="L100" s="2014">
        <f t="shared" si="74"/>
        <v>505857.66800000001</v>
      </c>
      <c r="M100" s="2014">
        <f t="shared" si="74"/>
        <v>527314.505</v>
      </c>
      <c r="N100" s="2017">
        <f t="shared" si="74"/>
        <v>544065.47161642357</v>
      </c>
      <c r="O100" s="2012">
        <f t="shared" si="74"/>
        <v>558529.39763719891</v>
      </c>
      <c r="P100" s="2014">
        <f t="shared" si="74"/>
        <v>570305.67121454724</v>
      </c>
      <c r="Q100" s="2014">
        <f t="shared" si="74"/>
        <v>576460.36701126548</v>
      </c>
      <c r="R100" s="2014">
        <f t="shared" si="74"/>
        <v>578310.68470200512</v>
      </c>
      <c r="S100" s="2015">
        <f t="shared" si="74"/>
        <v>570841.16601062217</v>
      </c>
      <c r="U100" s="3432"/>
    </row>
    <row r="101" spans="2:119">
      <c r="B101" s="4103" t="str">
        <f>+'27. Customer numbers'!B84</f>
        <v>Commercial customers</v>
      </c>
      <c r="C101" s="4101" t="s">
        <v>47</v>
      </c>
      <c r="D101" s="4102"/>
      <c r="E101" s="1977">
        <f>+'27. Customer numbers'!D86</f>
        <v>81</v>
      </c>
      <c r="F101" s="1978">
        <f>+'27. Customer numbers'!E86</f>
        <v>108</v>
      </c>
      <c r="G101" s="1978">
        <f>+'27. Customer numbers'!F86</f>
        <v>137</v>
      </c>
      <c r="H101" s="1978">
        <f>+'27. Customer numbers'!G86</f>
        <v>163.5</v>
      </c>
      <c r="I101" s="2016">
        <f>+'27. Customer numbers'!H86</f>
        <v>184.5</v>
      </c>
      <c r="J101" s="1977">
        <f>+'27. Customer numbers'!I86</f>
        <v>199.5</v>
      </c>
      <c r="K101" s="1978">
        <f>+'27. Customer numbers'!J86</f>
        <v>215</v>
      </c>
      <c r="L101" s="1978">
        <f>+'27. Customer numbers'!K86</f>
        <v>233</v>
      </c>
      <c r="M101" s="1978">
        <f>+'27. Customer numbers'!L86</f>
        <v>254.42003542898459</v>
      </c>
      <c r="N101" s="2016">
        <f>+'27. Customer numbers'!M86</f>
        <v>267.83155855235555</v>
      </c>
      <c r="O101" s="1977">
        <f>+'27. Customer numbers'!N86</f>
        <v>272.59014089678891</v>
      </c>
      <c r="P101" s="1978">
        <f>+'27. Customer numbers'!O86</f>
        <v>277.48925484022726</v>
      </c>
      <c r="Q101" s="1978">
        <f>+'27. Customer numbers'!P86</f>
        <v>281.75334928170776</v>
      </c>
      <c r="R101" s="1978">
        <f>+'27. Customer numbers'!Q86</f>
        <v>285.55097553616986</v>
      </c>
      <c r="S101" s="2013">
        <f>+'27. Customer numbers'!R86</f>
        <v>287.50745349573708</v>
      </c>
      <c r="U101" s="1427"/>
    </row>
    <row r="102" spans="2:119">
      <c r="B102" s="4104"/>
      <c r="C102" s="1026" t="s">
        <v>1483</v>
      </c>
      <c r="D102" s="983" t="s">
        <v>1479</v>
      </c>
      <c r="E102" s="514">
        <v>836.20399999999995</v>
      </c>
      <c r="F102" s="513">
        <v>1134.1821373100702</v>
      </c>
      <c r="G102" s="513">
        <v>1421.9960000000001</v>
      </c>
      <c r="H102" s="513">
        <v>1770.732</v>
      </c>
      <c r="I102" s="702">
        <v>1926.789</v>
      </c>
      <c r="J102" s="514">
        <v>2031.296</v>
      </c>
      <c r="K102" s="513">
        <v>2131.6660000000002</v>
      </c>
      <c r="L102" s="513">
        <v>2377.799</v>
      </c>
      <c r="M102" s="513">
        <v>2687.2269999999999</v>
      </c>
      <c r="N102" s="702">
        <v>2791.0210369648667</v>
      </c>
      <c r="O102" s="514">
        <v>2795.4290074032942</v>
      </c>
      <c r="P102" s="513">
        <v>2829.1181607334593</v>
      </c>
      <c r="Q102" s="513">
        <v>2797.7476765761089</v>
      </c>
      <c r="R102" s="513">
        <v>2798.0122411380953</v>
      </c>
      <c r="S102" s="464">
        <v>2773.1254649486641</v>
      </c>
      <c r="U102" s="1427"/>
    </row>
    <row r="103" spans="2:119">
      <c r="B103" s="4104"/>
      <c r="C103" s="1026" t="s">
        <v>1484</v>
      </c>
      <c r="D103" s="983" t="s">
        <v>1480</v>
      </c>
      <c r="E103" s="514">
        <v>805.47</v>
      </c>
      <c r="F103" s="513">
        <v>940.74854280487898</v>
      </c>
      <c r="G103" s="513">
        <v>1191.6769999999999</v>
      </c>
      <c r="H103" s="513">
        <v>1473.5509999999999</v>
      </c>
      <c r="I103" s="702">
        <v>1638.221</v>
      </c>
      <c r="J103" s="514">
        <v>1707.7280000000001</v>
      </c>
      <c r="K103" s="513">
        <v>1851.653</v>
      </c>
      <c r="L103" s="513">
        <v>1992.2719999999999</v>
      </c>
      <c r="M103" s="513">
        <v>2314.6439999999998</v>
      </c>
      <c r="N103" s="702">
        <v>2419.1089788312388</v>
      </c>
      <c r="O103" s="514">
        <v>2438.4698060749097</v>
      </c>
      <c r="P103" s="513">
        <v>2483.3918009929689</v>
      </c>
      <c r="Q103" s="513">
        <v>2472.2749911099281</v>
      </c>
      <c r="R103" s="513">
        <v>2488.1094536547325</v>
      </c>
      <c r="S103" s="464">
        <v>2481.2863092968455</v>
      </c>
      <c r="U103" s="1427"/>
    </row>
    <row r="104" spans="2:119">
      <c r="B104" s="4104"/>
      <c r="C104" s="1026" t="s">
        <v>1485</v>
      </c>
      <c r="D104" s="983" t="s">
        <v>1481</v>
      </c>
      <c r="E104" s="514">
        <v>5071.2190000000001</v>
      </c>
      <c r="F104" s="513">
        <v>5757.9171076395114</v>
      </c>
      <c r="G104" s="513">
        <v>6642.9120000000003</v>
      </c>
      <c r="H104" s="513">
        <v>8581.34</v>
      </c>
      <c r="I104" s="702">
        <v>10333.214</v>
      </c>
      <c r="J104" s="514">
        <v>10160.271000000001</v>
      </c>
      <c r="K104" s="513">
        <v>11143.052</v>
      </c>
      <c r="L104" s="513">
        <v>11844.576999999999</v>
      </c>
      <c r="M104" s="513">
        <v>13204.184999999999</v>
      </c>
      <c r="N104" s="702">
        <v>13773.211510410618</v>
      </c>
      <c r="O104" s="514">
        <v>13866.053469592773</v>
      </c>
      <c r="P104" s="513">
        <v>14103.705324606799</v>
      </c>
      <c r="Q104" s="513">
        <v>14017.425730828267</v>
      </c>
      <c r="R104" s="513">
        <v>14082.721725578207</v>
      </c>
      <c r="S104" s="464">
        <v>14013.892330731271</v>
      </c>
      <c r="U104" s="1427"/>
    </row>
    <row r="105" spans="2:119">
      <c r="B105" s="4104"/>
      <c r="C105" s="1026" t="s">
        <v>1486</v>
      </c>
      <c r="D105" s="983" t="s">
        <v>1482</v>
      </c>
      <c r="E105" s="514">
        <v>16550.233</v>
      </c>
      <c r="F105" s="513">
        <v>16853.494350588513</v>
      </c>
      <c r="G105" s="513">
        <v>16669.850999999999</v>
      </c>
      <c r="H105" s="513">
        <v>22619.940999999999</v>
      </c>
      <c r="I105" s="702">
        <v>24104.848000000002</v>
      </c>
      <c r="J105" s="514">
        <v>23176.143</v>
      </c>
      <c r="K105" s="513">
        <v>22046.405999999999</v>
      </c>
      <c r="L105" s="513">
        <v>26506.984</v>
      </c>
      <c r="M105" s="513">
        <v>28736.973000000002</v>
      </c>
      <c r="N105" s="702">
        <v>29259.094992116876</v>
      </c>
      <c r="O105" s="514">
        <v>29339.26021797887</v>
      </c>
      <c r="P105" s="513">
        <v>29740.117429792994</v>
      </c>
      <c r="Q105" s="513">
        <v>29486.336226853076</v>
      </c>
      <c r="R105" s="513">
        <v>29597.354380234781</v>
      </c>
      <c r="S105" s="464">
        <v>29498.87805888549</v>
      </c>
      <c r="U105" s="1427"/>
    </row>
    <row r="106" spans="2:119" s="529" customFormat="1">
      <c r="B106" s="4104"/>
      <c r="C106" s="3417" t="s">
        <v>1491</v>
      </c>
      <c r="D106" s="983" t="s">
        <v>1487</v>
      </c>
      <c r="E106" s="751">
        <v>-2003.8820000000001</v>
      </c>
      <c r="F106" s="752">
        <v>1887.0458626899294</v>
      </c>
      <c r="G106" s="752">
        <v>2133.538</v>
      </c>
      <c r="H106" s="752">
        <v>2755.4050000000002</v>
      </c>
      <c r="I106" s="3419">
        <v>3105.4319999999998</v>
      </c>
      <c r="J106" s="751">
        <v>3259.627</v>
      </c>
      <c r="K106" s="752">
        <v>3548.3789999999999</v>
      </c>
      <c r="L106" s="752">
        <v>3794.9319999999998</v>
      </c>
      <c r="M106" s="752">
        <v>4191.7430000000004</v>
      </c>
      <c r="N106" s="3419">
        <v>4356.4736340244635</v>
      </c>
      <c r="O106" s="751">
        <v>4361.1442598010581</v>
      </c>
      <c r="P106" s="752">
        <v>4411.2375268373053</v>
      </c>
      <c r="Q106" s="752">
        <v>4358.7705985906887</v>
      </c>
      <c r="R106" s="752">
        <v>4355.0342694228348</v>
      </c>
      <c r="S106" s="3421">
        <v>4310.7205294489031</v>
      </c>
      <c r="T106" s="1427"/>
      <c r="U106" s="1427"/>
      <c r="V106" s="1427"/>
      <c r="W106" s="1427"/>
      <c r="X106" s="1427"/>
      <c r="Y106" s="1427"/>
      <c r="Z106" s="1427"/>
      <c r="AA106" s="1427"/>
      <c r="AB106" s="1427"/>
      <c r="AC106" s="1427"/>
      <c r="AD106" s="1427"/>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29"/>
      <c r="BM106" s="229"/>
      <c r="BN106" s="229"/>
      <c r="BO106" s="229"/>
      <c r="BP106" s="229"/>
      <c r="BQ106" s="229"/>
      <c r="BR106" s="229"/>
      <c r="BS106" s="229"/>
      <c r="BT106" s="229"/>
      <c r="BU106" s="229"/>
      <c r="BV106" s="229"/>
      <c r="BW106" s="229"/>
      <c r="BX106" s="229"/>
      <c r="BY106" s="229"/>
      <c r="BZ106" s="229"/>
      <c r="CA106" s="229"/>
      <c r="CB106" s="229"/>
      <c r="CC106" s="229"/>
      <c r="CD106" s="229"/>
      <c r="CE106" s="229"/>
      <c r="CF106" s="229"/>
      <c r="CG106" s="229"/>
      <c r="CH106" s="229"/>
      <c r="CI106" s="229"/>
      <c r="CJ106" s="229"/>
      <c r="CK106" s="229"/>
      <c r="CL106" s="229"/>
      <c r="CM106" s="229"/>
      <c r="CN106" s="229"/>
      <c r="CO106" s="229"/>
      <c r="CP106" s="229"/>
      <c r="CQ106" s="229"/>
      <c r="CR106" s="229"/>
      <c r="CS106" s="229"/>
      <c r="CT106" s="229"/>
      <c r="CU106" s="229"/>
      <c r="CV106" s="229"/>
      <c r="CW106" s="229"/>
      <c r="CX106" s="229"/>
      <c r="CY106" s="229"/>
      <c r="CZ106" s="229"/>
      <c r="DA106" s="229"/>
      <c r="DB106" s="229"/>
      <c r="DC106" s="229"/>
      <c r="DD106" s="229"/>
      <c r="DE106" s="229"/>
      <c r="DF106" s="229"/>
      <c r="DG106" s="229"/>
      <c r="DH106" s="229"/>
      <c r="DI106" s="229"/>
      <c r="DJ106" s="229"/>
      <c r="DK106" s="229"/>
      <c r="DL106" s="229"/>
      <c r="DM106" s="229"/>
      <c r="DN106" s="229"/>
      <c r="DO106" s="229"/>
    </row>
    <row r="107" spans="2:119" s="529" customFormat="1">
      <c r="B107" s="4104"/>
      <c r="C107" s="3417" t="s">
        <v>1492</v>
      </c>
      <c r="D107" s="983" t="s">
        <v>1488</v>
      </c>
      <c r="E107" s="751">
        <v>1156.4480000000001</v>
      </c>
      <c r="F107" s="752">
        <v>1460.1544571951208</v>
      </c>
      <c r="G107" s="752">
        <v>1580.2660000000001</v>
      </c>
      <c r="H107" s="752">
        <v>2086.9259999999999</v>
      </c>
      <c r="I107" s="3419">
        <v>2340.64</v>
      </c>
      <c r="J107" s="751">
        <v>2428.2179999999998</v>
      </c>
      <c r="K107" s="752">
        <v>2563.8580000000002</v>
      </c>
      <c r="L107" s="752">
        <v>2794.8389999999999</v>
      </c>
      <c r="M107" s="752">
        <v>3005.4209999999998</v>
      </c>
      <c r="N107" s="3419">
        <v>3147.9909585756777</v>
      </c>
      <c r="O107" s="751">
        <v>3180.3585407572104</v>
      </c>
      <c r="P107" s="752">
        <v>3245.9222535002318</v>
      </c>
      <c r="Q107" s="752">
        <v>3237.5432367567123</v>
      </c>
      <c r="R107" s="752">
        <v>3263.3070142436713</v>
      </c>
      <c r="S107" s="3421">
        <v>3257.4630779253725</v>
      </c>
      <c r="T107" s="1427"/>
      <c r="U107" s="1427"/>
      <c r="V107" s="1427"/>
      <c r="W107" s="1427"/>
      <c r="X107" s="1427"/>
      <c r="Y107" s="1427"/>
      <c r="Z107" s="1427"/>
      <c r="AA107" s="1427"/>
      <c r="AB107" s="1427"/>
      <c r="AC107" s="1427"/>
      <c r="AD107" s="1427"/>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29"/>
      <c r="BM107" s="229"/>
      <c r="BN107" s="229"/>
      <c r="BO107" s="229"/>
      <c r="BP107" s="229"/>
      <c r="BQ107" s="229"/>
      <c r="BR107" s="229"/>
      <c r="BS107" s="229"/>
      <c r="BT107" s="229"/>
      <c r="BU107" s="229"/>
      <c r="BV107" s="229"/>
      <c r="BW107" s="229"/>
      <c r="BX107" s="229"/>
      <c r="BY107" s="229"/>
      <c r="BZ107" s="229"/>
      <c r="CA107" s="229"/>
      <c r="CB107" s="229"/>
      <c r="CC107" s="229"/>
      <c r="CD107" s="229"/>
      <c r="CE107" s="229"/>
      <c r="CF107" s="229"/>
      <c r="CG107" s="229"/>
      <c r="CH107" s="229"/>
      <c r="CI107" s="229"/>
      <c r="CJ107" s="229"/>
      <c r="CK107" s="229"/>
      <c r="CL107" s="229"/>
      <c r="CM107" s="229"/>
      <c r="CN107" s="229"/>
      <c r="CO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c r="DM107" s="229"/>
      <c r="DN107" s="229"/>
      <c r="DO107" s="229"/>
    </row>
    <row r="108" spans="2:119" s="529" customFormat="1">
      <c r="B108" s="4104"/>
      <c r="C108" s="3417" t="s">
        <v>1493</v>
      </c>
      <c r="D108" s="983" t="s">
        <v>1489</v>
      </c>
      <c r="E108" s="751">
        <v>7697.6440000000002</v>
      </c>
      <c r="F108" s="752">
        <v>9735.4518923604901</v>
      </c>
      <c r="G108" s="752">
        <v>10361.796</v>
      </c>
      <c r="H108" s="752">
        <v>13272.638999999999</v>
      </c>
      <c r="I108" s="3419">
        <v>14043.984</v>
      </c>
      <c r="J108" s="751">
        <v>14359.815000000001</v>
      </c>
      <c r="K108" s="752">
        <v>15662.76</v>
      </c>
      <c r="L108" s="752">
        <v>16626.370999999999</v>
      </c>
      <c r="M108" s="752">
        <v>17144.861000000001</v>
      </c>
      <c r="N108" s="3419">
        <v>17846.348768652377</v>
      </c>
      <c r="O108" s="751">
        <v>17972.808925334462</v>
      </c>
      <c r="P108" s="752">
        <v>18288.502588778512</v>
      </c>
      <c r="Q108" s="752">
        <v>18190.114144426818</v>
      </c>
      <c r="R108" s="752">
        <v>18292.507255837969</v>
      </c>
      <c r="S108" s="3421">
        <v>18229.778266763682</v>
      </c>
      <c r="T108" s="1427"/>
      <c r="U108" s="1427"/>
      <c r="V108" s="1427"/>
      <c r="W108" s="1427"/>
      <c r="X108" s="1427"/>
      <c r="Y108" s="1427"/>
      <c r="Z108" s="1427"/>
      <c r="AA108" s="1427"/>
      <c r="AB108" s="1427"/>
      <c r="AC108" s="1427"/>
      <c r="AD108" s="1427"/>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29"/>
      <c r="BM108" s="229"/>
      <c r="BN108" s="229"/>
      <c r="BO108" s="229"/>
      <c r="BP108" s="229"/>
      <c r="BQ108" s="229"/>
      <c r="BR108" s="229"/>
      <c r="BS108" s="229"/>
      <c r="BT108" s="229"/>
      <c r="BU108" s="229"/>
      <c r="BV108" s="229"/>
      <c r="BW108" s="229"/>
      <c r="BX108" s="229"/>
      <c r="BY108" s="229"/>
      <c r="BZ108" s="229"/>
      <c r="CA108" s="229"/>
      <c r="CB108" s="229"/>
      <c r="CC108" s="229"/>
      <c r="CD108" s="229"/>
      <c r="CE108" s="229"/>
      <c r="CF108" s="229"/>
      <c r="CG108" s="229"/>
      <c r="CH108" s="229"/>
      <c r="CI108" s="229"/>
      <c r="CJ108" s="229"/>
      <c r="CK108" s="229"/>
      <c r="CL108" s="229"/>
      <c r="CM108" s="229"/>
      <c r="CN108" s="229"/>
      <c r="CO108" s="229"/>
      <c r="CP108" s="229"/>
      <c r="CQ108" s="229"/>
      <c r="CR108" s="229"/>
      <c r="CS108" s="229"/>
      <c r="CT108" s="229"/>
      <c r="CU108" s="229"/>
      <c r="CV108" s="229"/>
      <c r="CW108" s="229"/>
      <c r="CX108" s="229"/>
      <c r="CY108" s="229"/>
      <c r="CZ108" s="229"/>
      <c r="DA108" s="229"/>
      <c r="DB108" s="229"/>
      <c r="DC108" s="229"/>
      <c r="DD108" s="229"/>
      <c r="DE108" s="229"/>
      <c r="DF108" s="229"/>
      <c r="DG108" s="229"/>
      <c r="DH108" s="229"/>
      <c r="DI108" s="229"/>
      <c r="DJ108" s="229"/>
      <c r="DK108" s="229"/>
      <c r="DL108" s="229"/>
      <c r="DM108" s="229"/>
      <c r="DN108" s="229"/>
      <c r="DO108" s="229"/>
    </row>
    <row r="109" spans="2:119" s="529" customFormat="1">
      <c r="B109" s="4104"/>
      <c r="C109" s="3417" t="s">
        <v>1494</v>
      </c>
      <c r="D109" s="983" t="s">
        <v>1490</v>
      </c>
      <c r="E109" s="751">
        <v>15735.225</v>
      </c>
      <c r="F109" s="752">
        <v>19702.778649411488</v>
      </c>
      <c r="G109" s="752">
        <v>19054.088</v>
      </c>
      <c r="H109" s="752">
        <v>25280.294000000002</v>
      </c>
      <c r="I109" s="3419">
        <v>25295.556</v>
      </c>
      <c r="J109" s="751">
        <v>24535.646000000001</v>
      </c>
      <c r="K109" s="752">
        <v>26134.761999999999</v>
      </c>
      <c r="L109" s="752">
        <v>26432.651999999998</v>
      </c>
      <c r="M109" s="752">
        <v>27339.127</v>
      </c>
      <c r="N109" s="3419">
        <v>27992.312128508049</v>
      </c>
      <c r="O109" s="751">
        <v>28222.089165633337</v>
      </c>
      <c r="P109" s="752">
        <v>28759.256416279597</v>
      </c>
      <c r="Q109" s="752">
        <v>28677.130986090218</v>
      </c>
      <c r="R109" s="752">
        <v>28941.637351874168</v>
      </c>
      <c r="S109" s="3421">
        <v>29005.131024284943</v>
      </c>
      <c r="T109" s="1427"/>
      <c r="U109" s="1427"/>
      <c r="V109" s="1427"/>
      <c r="W109" s="1427"/>
      <c r="X109" s="1427"/>
      <c r="Y109" s="1427"/>
      <c r="Z109" s="1427"/>
      <c r="AA109" s="1427"/>
      <c r="AB109" s="1427"/>
      <c r="AC109" s="1427"/>
      <c r="AD109" s="1427"/>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29"/>
      <c r="BM109" s="229"/>
      <c r="BN109" s="229"/>
      <c r="BO109" s="229"/>
      <c r="BP109" s="229"/>
      <c r="BQ109" s="229"/>
      <c r="BR109" s="229"/>
      <c r="BS109" s="229"/>
      <c r="BT109" s="229"/>
      <c r="BU109" s="229"/>
      <c r="BV109" s="229"/>
      <c r="BW109" s="229"/>
      <c r="BX109" s="229"/>
      <c r="BY109" s="229"/>
      <c r="BZ109" s="229"/>
      <c r="CA109" s="229"/>
      <c r="CB109" s="229"/>
      <c r="CC109" s="229"/>
      <c r="CD109" s="229"/>
      <c r="CE109" s="229"/>
      <c r="CF109" s="229"/>
      <c r="CG109" s="229"/>
      <c r="CH109" s="229"/>
      <c r="CI109" s="229"/>
      <c r="CJ109" s="229"/>
      <c r="CK109" s="229"/>
      <c r="CL109" s="229"/>
      <c r="CM109" s="229"/>
      <c r="CN109" s="229"/>
      <c r="CO109" s="229"/>
      <c r="CP109" s="229"/>
      <c r="CQ109" s="229"/>
      <c r="CR109" s="229"/>
      <c r="CS109" s="229"/>
      <c r="CT109" s="229"/>
      <c r="CU109" s="229"/>
      <c r="CV109" s="229"/>
      <c r="CW109" s="229"/>
      <c r="CX109" s="229"/>
      <c r="CY109" s="229"/>
      <c r="CZ109" s="229"/>
      <c r="DA109" s="229"/>
      <c r="DB109" s="229"/>
      <c r="DC109" s="229"/>
      <c r="DD109" s="229"/>
      <c r="DE109" s="229"/>
      <c r="DF109" s="229"/>
      <c r="DG109" s="229"/>
      <c r="DH109" s="229"/>
      <c r="DI109" s="229"/>
      <c r="DJ109" s="229"/>
      <c r="DK109" s="229"/>
      <c r="DL109" s="229"/>
      <c r="DM109" s="229"/>
      <c r="DN109" s="229"/>
      <c r="DO109" s="229"/>
    </row>
    <row r="110" spans="2:119" ht="13.5" thickBot="1">
      <c r="B110" s="4105"/>
      <c r="C110" s="4099" t="s">
        <v>410</v>
      </c>
      <c r="D110" s="4100"/>
      <c r="E110" s="2012">
        <f>SUM(E102:E109)</f>
        <v>45848.561000000002</v>
      </c>
      <c r="F110" s="2014">
        <f t="shared" ref="F110" si="75">SUM(F102:F109)</f>
        <v>57471.773000000001</v>
      </c>
      <c r="G110" s="2014">
        <f t="shared" ref="G110" si="76">SUM(G102:G109)</f>
        <v>59056.123999999996</v>
      </c>
      <c r="H110" s="2014">
        <f t="shared" ref="H110" si="77">SUM(H102:H109)</f>
        <v>77840.828000000009</v>
      </c>
      <c r="I110" s="2017">
        <f t="shared" ref="I110" si="78">SUM(I102:I109)</f>
        <v>82788.683999999994</v>
      </c>
      <c r="J110" s="2012">
        <f t="shared" ref="J110" si="79">SUM(J102:J109)</f>
        <v>81658.744000000006</v>
      </c>
      <c r="K110" s="2014">
        <f t="shared" ref="K110" si="80">SUM(K102:K109)</f>
        <v>85082.536000000007</v>
      </c>
      <c r="L110" s="2014">
        <f t="shared" ref="L110" si="81">SUM(L102:L109)</f>
        <v>92370.426000000007</v>
      </c>
      <c r="M110" s="2014">
        <f t="shared" ref="M110" si="82">SUM(M102:M109)</f>
        <v>98624.181000000011</v>
      </c>
      <c r="N110" s="2017">
        <f t="shared" ref="N110" si="83">SUM(N102:N109)</f>
        <v>101585.56200808415</v>
      </c>
      <c r="O110" s="2012">
        <f t="shared" ref="O110" si="84">SUM(O102:O109)</f>
        <v>102175.61339257592</v>
      </c>
      <c r="P110" s="2014">
        <f t="shared" ref="P110" si="85">SUM(P102:P109)</f>
        <v>103861.25150152188</v>
      </c>
      <c r="Q110" s="2014">
        <f t="shared" ref="Q110" si="86">SUM(Q102:Q109)</f>
        <v>103237.34359123182</v>
      </c>
      <c r="R110" s="2014">
        <f t="shared" ref="R110" si="87">SUM(R102:R109)</f>
        <v>103818.68369198445</v>
      </c>
      <c r="S110" s="2015">
        <f t="shared" ref="S110" si="88">SUM(S102:S109)</f>
        <v>103570.27506228516</v>
      </c>
      <c r="U110" s="3432"/>
    </row>
    <row r="111" spans="2:119" ht="13.5" thickBot="1">
      <c r="B111" s="1940" t="s">
        <v>63</v>
      </c>
      <c r="C111" s="1941"/>
      <c r="D111" s="1941"/>
      <c r="E111" s="2019">
        <f>+SUM(E100,E110)</f>
        <v>225961.51699999999</v>
      </c>
      <c r="F111" s="2020">
        <f t="shared" ref="F111:S111" si="89">+SUM(F100,F110)</f>
        <v>320195.12400000001</v>
      </c>
      <c r="G111" s="2020">
        <f t="shared" si="89"/>
        <v>385078.76199999999</v>
      </c>
      <c r="H111" s="2020">
        <f t="shared" si="89"/>
        <v>437155.22399999993</v>
      </c>
      <c r="I111" s="2021">
        <f t="shared" si="89"/>
        <v>501295.81299999997</v>
      </c>
      <c r="J111" s="2019">
        <f t="shared" si="89"/>
        <v>496761.32400000008</v>
      </c>
      <c r="K111" s="2020">
        <f t="shared" si="89"/>
        <v>522971.58099999995</v>
      </c>
      <c r="L111" s="2020">
        <f t="shared" si="89"/>
        <v>598228.09400000004</v>
      </c>
      <c r="M111" s="2020">
        <f t="shared" si="89"/>
        <v>625938.68599999999</v>
      </c>
      <c r="N111" s="2021">
        <f t="shared" si="89"/>
        <v>645651.03362450772</v>
      </c>
      <c r="O111" s="2019">
        <f t="shared" si="89"/>
        <v>660705.01102977479</v>
      </c>
      <c r="P111" s="2020">
        <f t="shared" si="89"/>
        <v>674166.92271606915</v>
      </c>
      <c r="Q111" s="2020">
        <f t="shared" si="89"/>
        <v>679697.71060249733</v>
      </c>
      <c r="R111" s="2020">
        <f t="shared" si="89"/>
        <v>682129.36839398951</v>
      </c>
      <c r="S111" s="2022">
        <f t="shared" si="89"/>
        <v>674411.4410729073</v>
      </c>
    </row>
    <row r="112" spans="2:119" ht="15.75" thickBot="1">
      <c r="B112" s="2669" t="str">
        <f>+'27. Customer numbers'!B92</f>
        <v>Central and West</v>
      </c>
      <c r="C112" s="3411"/>
      <c r="D112" s="3412"/>
      <c r="E112" s="3412"/>
      <c r="F112" s="3412"/>
      <c r="G112" s="3412"/>
      <c r="H112" s="3412"/>
      <c r="I112" s="3412"/>
      <c r="J112" s="3412"/>
      <c r="K112" s="3412"/>
      <c r="L112" s="3412"/>
      <c r="M112" s="3412"/>
      <c r="N112" s="3412"/>
      <c r="O112" s="3412"/>
      <c r="P112" s="3412"/>
      <c r="Q112" s="3412"/>
      <c r="R112" s="3412"/>
      <c r="S112" s="3413"/>
    </row>
    <row r="113" spans="2:19" ht="15.75" thickBot="1">
      <c r="B113" s="2669" t="str">
        <f>+'27. Customer numbers'!B93</f>
        <v>MHQ customers</v>
      </c>
      <c r="C113" s="3414"/>
      <c r="D113" s="3415"/>
      <c r="E113" s="3415"/>
      <c r="F113" s="3415"/>
      <c r="G113" s="3415"/>
      <c r="H113" s="3415"/>
      <c r="I113" s="3415"/>
      <c r="J113" s="3415"/>
      <c r="K113" s="3415"/>
      <c r="L113" s="3415"/>
      <c r="M113" s="3415"/>
      <c r="N113" s="3415"/>
      <c r="O113" s="3415"/>
      <c r="P113" s="3415"/>
      <c r="Q113" s="3415"/>
      <c r="R113" s="3415"/>
      <c r="S113" s="3416"/>
    </row>
    <row r="114" spans="2:19">
      <c r="B114" s="4104" t="str">
        <f>'27. Customer numbers'!B96</f>
        <v>Tariff D</v>
      </c>
      <c r="C114" s="4101" t="s">
        <v>47</v>
      </c>
      <c r="D114" s="4107"/>
      <c r="E114" s="1977">
        <f>+'27. Customer numbers'!D98</f>
        <v>286</v>
      </c>
      <c r="F114" s="1978">
        <f>+'27. Customer numbers'!E98</f>
        <v>285</v>
      </c>
      <c r="G114" s="1978">
        <f>+'27. Customer numbers'!F98</f>
        <v>277</v>
      </c>
      <c r="H114" s="1978">
        <f>+'27. Customer numbers'!G98</f>
        <v>263.5</v>
      </c>
      <c r="I114" s="2016">
        <f>+'27. Customer numbers'!H98</f>
        <v>257.5</v>
      </c>
      <c r="J114" s="1977">
        <f>+'27. Customer numbers'!I98</f>
        <v>255</v>
      </c>
      <c r="K114" s="1978">
        <f>+'27. Customer numbers'!J98</f>
        <v>251.5</v>
      </c>
      <c r="L114" s="1978">
        <f>+'27. Customer numbers'!K98</f>
        <v>249.5</v>
      </c>
      <c r="M114" s="1978">
        <f>+'27. Customer numbers'!L98</f>
        <v>245.5</v>
      </c>
      <c r="N114" s="2016">
        <f>+'27. Customer numbers'!M98</f>
        <v>243</v>
      </c>
      <c r="O114" s="1977">
        <f>+'27. Customer numbers'!N98</f>
        <v>240.64285714285734</v>
      </c>
      <c r="P114" s="1978">
        <f>+'27. Customer numbers'!O98</f>
        <v>237.92857142857156</v>
      </c>
      <c r="Q114" s="1978">
        <f>+'27. Customer numbers'!P98</f>
        <v>235.21428571428578</v>
      </c>
      <c r="R114" s="1978">
        <f>+'27. Customer numbers'!Q98</f>
        <v>232.50000000000045</v>
      </c>
      <c r="S114" s="2013">
        <f>+'27. Customer numbers'!R98</f>
        <v>229.78571428571468</v>
      </c>
    </row>
    <row r="115" spans="2:19">
      <c r="B115" s="4104"/>
      <c r="C115" s="1026" t="s">
        <v>1495</v>
      </c>
      <c r="D115" s="983" t="s">
        <v>1498</v>
      </c>
      <c r="E115" s="514">
        <v>2349.59</v>
      </c>
      <c r="F115" s="513">
        <v>2213.9499999999998</v>
      </c>
      <c r="G115" s="513">
        <v>2150.2399999999998</v>
      </c>
      <c r="H115" s="513">
        <v>1957.1429280815248</v>
      </c>
      <c r="I115" s="702">
        <v>2003.926849540838</v>
      </c>
      <c r="J115" s="514">
        <v>1686.7682622495918</v>
      </c>
      <c r="K115" s="513">
        <v>496.42999999999995</v>
      </c>
      <c r="L115" s="513">
        <v>1841.5978693605789</v>
      </c>
      <c r="M115" s="513">
        <v>1743.2555230625571</v>
      </c>
      <c r="N115" s="702">
        <v>1721.1532456356115</v>
      </c>
      <c r="O115" s="514">
        <v>1698.0862270250559</v>
      </c>
      <c r="P115" s="513">
        <v>1655.2538581495251</v>
      </c>
      <c r="Q115" s="513">
        <v>1622.4316577868472</v>
      </c>
      <c r="R115" s="513">
        <v>1626.518874310708</v>
      </c>
      <c r="S115" s="464">
        <v>1612.4028729159354</v>
      </c>
    </row>
    <row r="116" spans="2:19">
      <c r="B116" s="4104"/>
      <c r="C116" s="1026" t="s">
        <v>1496</v>
      </c>
      <c r="D116" s="983" t="s">
        <v>1499</v>
      </c>
      <c r="E116" s="514">
        <v>2959.39</v>
      </c>
      <c r="F116" s="513">
        <v>2884.55</v>
      </c>
      <c r="G116" s="513">
        <v>2819.49</v>
      </c>
      <c r="H116" s="513">
        <v>2566.2925600382127</v>
      </c>
      <c r="I116" s="702">
        <v>2419.4461429803218</v>
      </c>
      <c r="J116" s="514">
        <v>2125.2241836773483</v>
      </c>
      <c r="K116" s="513">
        <v>1809.6399999999999</v>
      </c>
      <c r="L116" s="513">
        <v>2224.0753943290097</v>
      </c>
      <c r="M116" s="513">
        <v>2114.8878895965881</v>
      </c>
      <c r="N116" s="702">
        <v>2078.6158841597644</v>
      </c>
      <c r="O116" s="514">
        <v>2050.7581257610323</v>
      </c>
      <c r="P116" s="513">
        <v>1999.0299937503412</v>
      </c>
      <c r="Q116" s="513">
        <v>1959.3910207536387</v>
      </c>
      <c r="R116" s="513">
        <v>1964.3271025406852</v>
      </c>
      <c r="S116" s="464">
        <v>1947.2793789899795</v>
      </c>
    </row>
    <row r="117" spans="2:19">
      <c r="B117" s="4104"/>
      <c r="C117" s="1026" t="s">
        <v>1497</v>
      </c>
      <c r="D117" s="983" t="s">
        <v>1500</v>
      </c>
      <c r="E117" s="514">
        <v>4873.6499999999942</v>
      </c>
      <c r="F117" s="513">
        <v>4972.46</v>
      </c>
      <c r="G117" s="513">
        <v>4933.21</v>
      </c>
      <c r="H117" s="513">
        <v>4490.1950778708606</v>
      </c>
      <c r="I117" s="702">
        <v>5085.7661232430964</v>
      </c>
      <c r="J117" s="514">
        <v>4272.3553502869972</v>
      </c>
      <c r="K117" s="513">
        <v>5292.13</v>
      </c>
      <c r="L117" s="513">
        <v>3825.9048237860188</v>
      </c>
      <c r="M117" s="513">
        <v>3914.6570933303606</v>
      </c>
      <c r="N117" s="702">
        <v>3575.6820826680341</v>
      </c>
      <c r="O117" s="514">
        <v>3527.7605362540339</v>
      </c>
      <c r="P117" s="513">
        <v>3438.7766329701026</v>
      </c>
      <c r="Q117" s="513">
        <v>3370.5887745977197</v>
      </c>
      <c r="R117" s="513">
        <v>3379.0799341905181</v>
      </c>
      <c r="S117" s="464">
        <v>3349.7540543514074</v>
      </c>
    </row>
    <row r="118" spans="2:19" ht="13.5" thickBot="1">
      <c r="B118" s="4105"/>
      <c r="C118" s="4099" t="s">
        <v>410</v>
      </c>
      <c r="D118" s="4106"/>
      <c r="E118" s="2012">
        <f t="shared" ref="E118:S118" si="90">SUM(E115:E117)</f>
        <v>10182.629999999994</v>
      </c>
      <c r="F118" s="2014">
        <f t="shared" si="90"/>
        <v>10070.959999999999</v>
      </c>
      <c r="G118" s="2014">
        <f t="shared" si="90"/>
        <v>9902.9399999999987</v>
      </c>
      <c r="H118" s="2014">
        <f t="shared" si="90"/>
        <v>9013.6305659905993</v>
      </c>
      <c r="I118" s="2017">
        <f t="shared" si="90"/>
        <v>9509.1391157642574</v>
      </c>
      <c r="J118" s="2012">
        <f t="shared" si="90"/>
        <v>8084.3477962139368</v>
      </c>
      <c r="K118" s="2014">
        <f t="shared" si="90"/>
        <v>7598.2</v>
      </c>
      <c r="L118" s="2014">
        <f t="shared" si="90"/>
        <v>7891.5780874756074</v>
      </c>
      <c r="M118" s="2014">
        <f t="shared" si="90"/>
        <v>7772.8005059895058</v>
      </c>
      <c r="N118" s="2017">
        <f t="shared" si="90"/>
        <v>7375.4512124634102</v>
      </c>
      <c r="O118" s="2012">
        <f t="shared" si="90"/>
        <v>7276.6048890401216</v>
      </c>
      <c r="P118" s="2014">
        <f t="shared" si="90"/>
        <v>7093.0604848699686</v>
      </c>
      <c r="Q118" s="2014">
        <f t="shared" si="90"/>
        <v>6952.4114531382056</v>
      </c>
      <c r="R118" s="2014">
        <f t="shared" si="90"/>
        <v>6969.9259110419116</v>
      </c>
      <c r="S118" s="2015">
        <f t="shared" si="90"/>
        <v>6909.4363062573229</v>
      </c>
    </row>
    <row r="119" spans="2:19">
      <c r="B119" s="4103" t="str">
        <f>+'27. Customer numbers'!B102</f>
        <v>Tariff M</v>
      </c>
      <c r="C119" s="4101" t="s">
        <v>47</v>
      </c>
      <c r="D119" s="4102"/>
      <c r="E119" s="1977">
        <f>+'27. Customer numbers'!D104</f>
        <v>1</v>
      </c>
      <c r="F119" s="1978">
        <f>+'27. Customer numbers'!E104</f>
        <v>5</v>
      </c>
      <c r="G119" s="1978">
        <f>+'27. Customer numbers'!F104</f>
        <v>9</v>
      </c>
      <c r="H119" s="1978">
        <f>+'27. Customer numbers'!G104</f>
        <v>9.5</v>
      </c>
      <c r="I119" s="2016">
        <f>+'27. Customer numbers'!H104</f>
        <v>12</v>
      </c>
      <c r="J119" s="1977">
        <f>+'27. Customer numbers'!I104</f>
        <v>14</v>
      </c>
      <c r="K119" s="1978">
        <f>+'27. Customer numbers'!J104</f>
        <v>15.5</v>
      </c>
      <c r="L119" s="1978">
        <f>+'27. Customer numbers'!K104</f>
        <v>18.5</v>
      </c>
      <c r="M119" s="1978">
        <f>+'27. Customer numbers'!L104</f>
        <v>20.5</v>
      </c>
      <c r="N119" s="2016">
        <f>+'27. Customer numbers'!M104</f>
        <v>22.300000000000182</v>
      </c>
      <c r="O119" s="1977">
        <f>+'27. Customer numbers'!N104</f>
        <v>24.685714285714766</v>
      </c>
      <c r="P119" s="1978">
        <f>+'27. Customer numbers'!O104</f>
        <v>26.857142857143117</v>
      </c>
      <c r="Q119" s="1978">
        <f>+'27. Customer numbers'!P104</f>
        <v>29.028571428571468</v>
      </c>
      <c r="R119" s="1978">
        <f>+'27. Customer numbers'!Q104</f>
        <v>31.200000000000273</v>
      </c>
      <c r="S119" s="2013">
        <f>+'27. Customer numbers'!R104</f>
        <v>33.371428571429078</v>
      </c>
    </row>
    <row r="120" spans="2:19">
      <c r="B120" s="4104"/>
      <c r="C120" s="1026" t="s">
        <v>1495</v>
      </c>
      <c r="D120" s="983" t="s">
        <v>1498</v>
      </c>
      <c r="E120" s="514">
        <v>10.00001</v>
      </c>
      <c r="F120" s="513">
        <v>77.510010000000008</v>
      </c>
      <c r="G120" s="513">
        <v>68.2</v>
      </c>
      <c r="H120" s="513">
        <v>62.075464922594556</v>
      </c>
      <c r="I120" s="702">
        <v>87.925923281934132</v>
      </c>
      <c r="J120" s="514">
        <v>67.017546118927271</v>
      </c>
      <c r="K120" s="513">
        <v>78.44</v>
      </c>
      <c r="L120" s="513">
        <v>115.5432946848812</v>
      </c>
      <c r="M120" s="513">
        <v>126.87070111546012</v>
      </c>
      <c r="N120" s="702">
        <v>107.98650452792066</v>
      </c>
      <c r="O120" s="514">
        <v>106.53926168888194</v>
      </c>
      <c r="P120" s="513">
        <v>103.85192527229748</v>
      </c>
      <c r="Q120" s="513">
        <v>101.7926346791628</v>
      </c>
      <c r="R120" s="513">
        <v>102.04906984946487</v>
      </c>
      <c r="S120" s="464">
        <v>101.16342085080768</v>
      </c>
    </row>
    <row r="121" spans="2:19">
      <c r="B121" s="4104"/>
      <c r="C121" s="1026" t="s">
        <v>1496</v>
      </c>
      <c r="D121" s="983" t="s">
        <v>1499</v>
      </c>
      <c r="E121" s="514">
        <v>4.6000099999999993</v>
      </c>
      <c r="F121" s="513">
        <v>99.140010000000004</v>
      </c>
      <c r="G121" s="513">
        <v>66.03</v>
      </c>
      <c r="H121" s="513">
        <v>60.100336493239269</v>
      </c>
      <c r="I121" s="702">
        <v>82.302940224633545</v>
      </c>
      <c r="J121" s="514">
        <v>82.688387366794373</v>
      </c>
      <c r="K121" s="513">
        <v>80.09</v>
      </c>
      <c r="L121" s="513">
        <v>71.741958443347499</v>
      </c>
      <c r="M121" s="513">
        <v>62.736298884540027</v>
      </c>
      <c r="N121" s="702">
        <v>67.049873741380821</v>
      </c>
      <c r="O121" s="514">
        <v>66.15126654916844</v>
      </c>
      <c r="P121" s="513">
        <v>64.482673161315859</v>
      </c>
      <c r="Q121" s="513">
        <v>63.204039549920523</v>
      </c>
      <c r="R121" s="513">
        <v>63.36326264790641</v>
      </c>
      <c r="S121" s="464">
        <v>62.813354547827188</v>
      </c>
    </row>
    <row r="122" spans="2:19">
      <c r="B122" s="4104"/>
      <c r="C122" s="1026" t="s">
        <v>1497</v>
      </c>
      <c r="D122" s="983" t="s">
        <v>1500</v>
      </c>
      <c r="E122" s="514">
        <v>2.0000000000000002E-5</v>
      </c>
      <c r="F122" s="513">
        <v>124.17001</v>
      </c>
      <c r="G122" s="513">
        <v>47.440010000000001</v>
      </c>
      <c r="H122" s="513">
        <v>43.179775317925724</v>
      </c>
      <c r="I122" s="702">
        <v>54.391136493432334</v>
      </c>
      <c r="J122" s="514">
        <v>74.294066514278356</v>
      </c>
      <c r="K122" s="513">
        <v>0</v>
      </c>
      <c r="L122" s="513">
        <v>0</v>
      </c>
      <c r="M122" s="513">
        <v>0</v>
      </c>
      <c r="N122" s="702">
        <v>0</v>
      </c>
      <c r="O122" s="514">
        <v>0</v>
      </c>
      <c r="P122" s="513">
        <v>0</v>
      </c>
      <c r="Q122" s="513">
        <v>0</v>
      </c>
      <c r="R122" s="513">
        <v>0</v>
      </c>
      <c r="S122" s="464">
        <v>0</v>
      </c>
    </row>
    <row r="123" spans="2:19" ht="13.5" thickBot="1">
      <c r="B123" s="4105"/>
      <c r="C123" s="4099" t="s">
        <v>410</v>
      </c>
      <c r="D123" s="4100"/>
      <c r="E123" s="2012">
        <f t="shared" ref="E123:S123" si="91">SUM(E120:E122)</f>
        <v>14.600039999999998</v>
      </c>
      <c r="F123" s="2014">
        <f t="shared" si="91"/>
        <v>300.82003000000003</v>
      </c>
      <c r="G123" s="2014">
        <f t="shared" si="91"/>
        <v>181.67001000000002</v>
      </c>
      <c r="H123" s="2014">
        <f t="shared" si="91"/>
        <v>165.35557673375956</v>
      </c>
      <c r="I123" s="2017">
        <f t="shared" si="91"/>
        <v>224.62</v>
      </c>
      <c r="J123" s="2012">
        <f t="shared" si="91"/>
        <v>224</v>
      </c>
      <c r="K123" s="2014">
        <f t="shared" si="91"/>
        <v>158.53</v>
      </c>
      <c r="L123" s="2014">
        <f t="shared" si="91"/>
        <v>187.2852531282287</v>
      </c>
      <c r="M123" s="2014">
        <f t="shared" si="91"/>
        <v>189.60700000000014</v>
      </c>
      <c r="N123" s="2017">
        <f t="shared" si="91"/>
        <v>175.03637826930148</v>
      </c>
      <c r="O123" s="2012">
        <f t="shared" si="91"/>
        <v>172.69052823805038</v>
      </c>
      <c r="P123" s="2014">
        <f t="shared" si="91"/>
        <v>168.33459843361334</v>
      </c>
      <c r="Q123" s="2014">
        <f t="shared" si="91"/>
        <v>164.99667422908334</v>
      </c>
      <c r="R123" s="2014">
        <f t="shared" si="91"/>
        <v>165.41233249737127</v>
      </c>
      <c r="S123" s="2015">
        <f t="shared" si="91"/>
        <v>163.97677539863486</v>
      </c>
    </row>
    <row r="124" spans="2:19" ht="13.5" thickBot="1">
      <c r="B124" s="1940" t="s">
        <v>63</v>
      </c>
      <c r="C124" s="1941"/>
      <c r="D124" s="1941"/>
      <c r="E124" s="2019">
        <f>+SUM(E118,E123)</f>
        <v>10197.230039999993</v>
      </c>
      <c r="F124" s="2020">
        <f t="shared" ref="F124:S124" si="92">+SUM(F118,F123)</f>
        <v>10371.78003</v>
      </c>
      <c r="G124" s="2020">
        <f t="shared" si="92"/>
        <v>10084.610009999999</v>
      </c>
      <c r="H124" s="2020">
        <f t="shared" si="92"/>
        <v>9178.9861427243595</v>
      </c>
      <c r="I124" s="2021">
        <f t="shared" si="92"/>
        <v>9733.7591157642582</v>
      </c>
      <c r="J124" s="2019">
        <f t="shared" si="92"/>
        <v>8308.3477962139368</v>
      </c>
      <c r="K124" s="2020">
        <f t="shared" si="92"/>
        <v>7756.73</v>
      </c>
      <c r="L124" s="2020">
        <f t="shared" si="92"/>
        <v>8078.8633406038361</v>
      </c>
      <c r="M124" s="2020">
        <f t="shared" si="92"/>
        <v>7962.4075059895058</v>
      </c>
      <c r="N124" s="2021">
        <f t="shared" si="92"/>
        <v>7550.4875907327114</v>
      </c>
      <c r="O124" s="2019">
        <f t="shared" si="92"/>
        <v>7449.295417278172</v>
      </c>
      <c r="P124" s="2020">
        <f t="shared" si="92"/>
        <v>7261.3950833035815</v>
      </c>
      <c r="Q124" s="2020">
        <f t="shared" si="92"/>
        <v>7117.4081273672891</v>
      </c>
      <c r="R124" s="2020">
        <f t="shared" si="92"/>
        <v>7135.3382435392832</v>
      </c>
      <c r="S124" s="2022">
        <f t="shared" si="92"/>
        <v>7073.4130816559582</v>
      </c>
    </row>
    <row r="125" spans="2:19" ht="15.75" thickBot="1">
      <c r="B125" s="2669" t="str">
        <f>+'27. Customer numbers'!B110</f>
        <v>Adjoining Central and Adjoining West</v>
      </c>
      <c r="C125" s="3411"/>
      <c r="D125" s="3412"/>
      <c r="E125" s="3412"/>
      <c r="F125" s="3412"/>
      <c r="G125" s="3412"/>
      <c r="H125" s="3412"/>
      <c r="I125" s="3412"/>
      <c r="J125" s="3412"/>
      <c r="K125" s="3412"/>
      <c r="L125" s="3412"/>
      <c r="M125" s="3412"/>
      <c r="N125" s="3412"/>
      <c r="O125" s="3412"/>
      <c r="P125" s="3412"/>
      <c r="Q125" s="3412"/>
      <c r="R125" s="3412"/>
      <c r="S125" s="3413"/>
    </row>
    <row r="126" spans="2:19" ht="15.75" thickBot="1">
      <c r="B126" s="2669" t="str">
        <f>+'27. Customer numbers'!B111</f>
        <v>MHQ customers</v>
      </c>
      <c r="C126" s="3414"/>
      <c r="D126" s="3415"/>
      <c r="E126" s="3415"/>
      <c r="F126" s="3415"/>
      <c r="G126" s="3415"/>
      <c r="H126" s="3415"/>
      <c r="I126" s="3415"/>
      <c r="J126" s="3415"/>
      <c r="K126" s="3415"/>
      <c r="L126" s="3415"/>
      <c r="M126" s="3415"/>
      <c r="N126" s="3415"/>
      <c r="O126" s="3415"/>
      <c r="P126" s="3415"/>
      <c r="Q126" s="3415"/>
      <c r="R126" s="3415"/>
      <c r="S126" s="3416"/>
    </row>
    <row r="127" spans="2:19">
      <c r="B127" s="4104" t="str">
        <f>+'27. Customer numbers'!B114</f>
        <v>Tariff D</v>
      </c>
      <c r="C127" s="4101" t="s">
        <v>47</v>
      </c>
      <c r="D127" s="4107"/>
      <c r="E127" s="1977">
        <f>+'27. Customer numbers'!D116</f>
        <v>1</v>
      </c>
      <c r="F127" s="1978">
        <f>+'27. Customer numbers'!E116</f>
        <v>1</v>
      </c>
      <c r="G127" s="1978">
        <f>+'27. Customer numbers'!F116</f>
        <v>1</v>
      </c>
      <c r="H127" s="1978">
        <f>+'27. Customer numbers'!G116</f>
        <v>1.5</v>
      </c>
      <c r="I127" s="2016">
        <f>+'27. Customer numbers'!H116</f>
        <v>2</v>
      </c>
      <c r="J127" s="1977">
        <f>+'27. Customer numbers'!I116</f>
        <v>2.5</v>
      </c>
      <c r="K127" s="1978">
        <f>+'27. Customer numbers'!J116</f>
        <v>3</v>
      </c>
      <c r="L127" s="1978">
        <f>+'27. Customer numbers'!K116</f>
        <v>3</v>
      </c>
      <c r="M127" s="1978">
        <f>+'27. Customer numbers'!L116</f>
        <v>3</v>
      </c>
      <c r="N127" s="2016">
        <f>+'27. Customer numbers'!M116</f>
        <v>3</v>
      </c>
      <c r="O127" s="1977">
        <f>+'27. Customer numbers'!N116</f>
        <v>3</v>
      </c>
      <c r="P127" s="1978">
        <f>+'27. Customer numbers'!O116</f>
        <v>3</v>
      </c>
      <c r="Q127" s="1978">
        <f>+'27. Customer numbers'!P116</f>
        <v>3</v>
      </c>
      <c r="R127" s="1978">
        <f>+'27. Customer numbers'!Q116</f>
        <v>3</v>
      </c>
      <c r="S127" s="2013">
        <f>+'27. Customer numbers'!R116</f>
        <v>3</v>
      </c>
    </row>
    <row r="128" spans="2:19">
      <c r="B128" s="4104"/>
      <c r="C128" s="1026" t="s">
        <v>1495</v>
      </c>
      <c r="D128" s="983" t="s">
        <v>1498</v>
      </c>
      <c r="E128" s="514">
        <v>1.0000000000000001E-5</v>
      </c>
      <c r="F128" s="513">
        <v>1.0000000000000001E-5</v>
      </c>
      <c r="G128" s="513">
        <v>10</v>
      </c>
      <c r="H128" s="513">
        <v>9.1019743288261807</v>
      </c>
      <c r="I128" s="702">
        <v>19.194793553042292</v>
      </c>
      <c r="J128" s="514">
        <v>15.427452769224923</v>
      </c>
      <c r="K128" s="513">
        <v>0</v>
      </c>
      <c r="L128" s="513">
        <v>18.67064630926415</v>
      </c>
      <c r="M128" s="513">
        <v>18.154089518539944</v>
      </c>
      <c r="N128" s="702">
        <v>17.449544239786807</v>
      </c>
      <c r="O128" s="514">
        <v>17.215684202776426</v>
      </c>
      <c r="P128" s="513">
        <v>16.781437387460205</v>
      </c>
      <c r="Q128" s="513">
        <v>16.448676525678728</v>
      </c>
      <c r="R128" s="513">
        <v>16.49011389665749</v>
      </c>
      <c r="S128" s="464">
        <v>16.347001834177533</v>
      </c>
    </row>
    <row r="129" spans="2:19">
      <c r="B129" s="4104"/>
      <c r="C129" s="1026" t="s">
        <v>1496</v>
      </c>
      <c r="D129" s="983" t="s">
        <v>1499</v>
      </c>
      <c r="E129" s="514">
        <v>1.0000000000000001E-5</v>
      </c>
      <c r="F129" s="513">
        <v>1.0000000000000001E-5</v>
      </c>
      <c r="G129" s="513">
        <v>3.57</v>
      </c>
      <c r="H129" s="513">
        <v>3.2494048353909464</v>
      </c>
      <c r="I129" s="702">
        <v>21.786090682702998</v>
      </c>
      <c r="J129" s="514">
        <v>17.224751016839626</v>
      </c>
      <c r="K129" s="513">
        <v>85.509999999999991</v>
      </c>
      <c r="L129" s="513">
        <v>34.064594191252439</v>
      </c>
      <c r="M129" s="513">
        <v>24.435404491954767</v>
      </c>
      <c r="N129" s="702">
        <v>31.836693465491027</v>
      </c>
      <c r="O129" s="514">
        <v>31.410015827965591</v>
      </c>
      <c r="P129" s="513">
        <v>30.617732513421142</v>
      </c>
      <c r="Q129" s="513">
        <v>30.010610321100838</v>
      </c>
      <c r="R129" s="513">
        <v>30.086212804451581</v>
      </c>
      <c r="S129" s="464">
        <v>29.825104846456913</v>
      </c>
    </row>
    <row r="130" spans="2:19">
      <c r="B130" s="4104"/>
      <c r="C130" s="1026" t="s">
        <v>1497</v>
      </c>
      <c r="D130" s="983" t="s">
        <v>1500</v>
      </c>
      <c r="E130" s="514">
        <v>1.0000000000000001E-5</v>
      </c>
      <c r="F130" s="513">
        <v>1.0000000000000001E-5</v>
      </c>
      <c r="G130" s="513">
        <v>1.0000000000000001E-5</v>
      </c>
      <c r="H130" s="513">
        <v>9.1019743288261819E-6</v>
      </c>
      <c r="I130" s="702">
        <v>0</v>
      </c>
      <c r="J130" s="514">
        <v>0</v>
      </c>
      <c r="K130" s="513">
        <v>0</v>
      </c>
      <c r="L130" s="513">
        <v>0</v>
      </c>
      <c r="M130" s="513">
        <v>0</v>
      </c>
      <c r="N130" s="702">
        <v>0</v>
      </c>
      <c r="O130" s="514">
        <v>0</v>
      </c>
      <c r="P130" s="513">
        <v>0</v>
      </c>
      <c r="Q130" s="513">
        <v>0</v>
      </c>
      <c r="R130" s="513">
        <v>0</v>
      </c>
      <c r="S130" s="464">
        <v>0</v>
      </c>
    </row>
    <row r="131" spans="2:19" ht="13.5" thickBot="1">
      <c r="B131" s="4105"/>
      <c r="C131" s="4099" t="s">
        <v>410</v>
      </c>
      <c r="D131" s="4106"/>
      <c r="E131" s="2012">
        <f t="shared" ref="E131:S131" si="93">SUM(E128:E130)</f>
        <v>3.0000000000000004E-5</v>
      </c>
      <c r="F131" s="2014">
        <f t="shared" si="93"/>
        <v>3.0000000000000004E-5</v>
      </c>
      <c r="G131" s="2014">
        <f t="shared" si="93"/>
        <v>13.57001</v>
      </c>
      <c r="H131" s="2014">
        <f t="shared" si="93"/>
        <v>12.351388266191455</v>
      </c>
      <c r="I131" s="2017">
        <f t="shared" si="93"/>
        <v>40.980884235745293</v>
      </c>
      <c r="J131" s="2012">
        <f t="shared" si="93"/>
        <v>32.652203786064547</v>
      </c>
      <c r="K131" s="2014">
        <f t="shared" si="93"/>
        <v>85.509999999999991</v>
      </c>
      <c r="L131" s="2014">
        <f t="shared" si="93"/>
        <v>52.735240500516589</v>
      </c>
      <c r="M131" s="2014">
        <f t="shared" si="93"/>
        <v>42.589494010494711</v>
      </c>
      <c r="N131" s="2017">
        <f t="shared" si="93"/>
        <v>49.286237705277834</v>
      </c>
      <c r="O131" s="2012">
        <f t="shared" si="93"/>
        <v>48.625700030742017</v>
      </c>
      <c r="P131" s="2014">
        <f t="shared" si="93"/>
        <v>47.399169900881347</v>
      </c>
      <c r="Q131" s="2014">
        <f t="shared" si="93"/>
        <v>46.459286846779563</v>
      </c>
      <c r="R131" s="2014">
        <f t="shared" si="93"/>
        <v>46.576326701109068</v>
      </c>
      <c r="S131" s="2015">
        <f t="shared" si="93"/>
        <v>46.172106680634442</v>
      </c>
    </row>
    <row r="132" spans="2:19">
      <c r="B132" s="4103" t="str">
        <f>+'27. Customer numbers'!B120</f>
        <v>Tariff M</v>
      </c>
      <c r="C132" s="4101" t="s">
        <v>47</v>
      </c>
      <c r="D132" s="4102"/>
      <c r="E132" s="1977">
        <f>+'27. Customer numbers'!D122</f>
        <v>0</v>
      </c>
      <c r="F132" s="1978">
        <f>+'27. Customer numbers'!E122</f>
        <v>0</v>
      </c>
      <c r="G132" s="1978">
        <f>+'27. Customer numbers'!F122</f>
        <v>0</v>
      </c>
      <c r="H132" s="1978">
        <f>+'27. Customer numbers'!G122</f>
        <v>0</v>
      </c>
      <c r="I132" s="2016">
        <f>+'27. Customer numbers'!H122</f>
        <v>0</v>
      </c>
      <c r="J132" s="1977">
        <f>+'27. Customer numbers'!I122</f>
        <v>0</v>
      </c>
      <c r="K132" s="1978">
        <f>+'27. Customer numbers'!J122</f>
        <v>0</v>
      </c>
      <c r="L132" s="1978">
        <f>+'27. Customer numbers'!K122</f>
        <v>0</v>
      </c>
      <c r="M132" s="1978">
        <f>+'27. Customer numbers'!L122</f>
        <v>0</v>
      </c>
      <c r="N132" s="2016">
        <f>+'27. Customer numbers'!M122</f>
        <v>0</v>
      </c>
      <c r="O132" s="1977">
        <f>+'27. Customer numbers'!N122</f>
        <v>0</v>
      </c>
      <c r="P132" s="1978">
        <f>+'27. Customer numbers'!O122</f>
        <v>0</v>
      </c>
      <c r="Q132" s="1978">
        <f>+'27. Customer numbers'!P122</f>
        <v>0</v>
      </c>
      <c r="R132" s="1978">
        <f>+'27. Customer numbers'!Q122</f>
        <v>0</v>
      </c>
      <c r="S132" s="2013">
        <f>+'27. Customer numbers'!R122</f>
        <v>0</v>
      </c>
    </row>
    <row r="133" spans="2:19">
      <c r="B133" s="4104"/>
      <c r="C133" s="1026" t="s">
        <v>1495</v>
      </c>
      <c r="D133" s="983" t="s">
        <v>1498</v>
      </c>
      <c r="E133" s="514">
        <v>2.0000000000000002E-5</v>
      </c>
      <c r="F133" s="513">
        <v>2.0000000000000002E-5</v>
      </c>
      <c r="G133" s="513">
        <v>2.0000000000000002E-5</v>
      </c>
      <c r="H133" s="513">
        <v>1.8203948657652364E-5</v>
      </c>
      <c r="I133" s="702">
        <v>0</v>
      </c>
      <c r="J133" s="514">
        <v>0</v>
      </c>
      <c r="K133" s="513">
        <v>0</v>
      </c>
      <c r="L133" s="513">
        <v>0</v>
      </c>
      <c r="M133" s="513">
        <v>0</v>
      </c>
      <c r="N133" s="702">
        <v>0</v>
      </c>
      <c r="O133" s="514">
        <v>0</v>
      </c>
      <c r="P133" s="513">
        <v>0</v>
      </c>
      <c r="Q133" s="513">
        <v>0</v>
      </c>
      <c r="R133" s="513">
        <v>0</v>
      </c>
      <c r="S133" s="464">
        <v>0</v>
      </c>
    </row>
    <row r="134" spans="2:19">
      <c r="B134" s="4104"/>
      <c r="C134" s="1026" t="s">
        <v>1496</v>
      </c>
      <c r="D134" s="983" t="s">
        <v>1499</v>
      </c>
      <c r="E134" s="514">
        <v>2.0000000000000002E-5</v>
      </c>
      <c r="F134" s="513">
        <v>2.0000000000000002E-5</v>
      </c>
      <c r="G134" s="513">
        <v>2.0000000000000002E-5</v>
      </c>
      <c r="H134" s="513">
        <v>1.8203948657652364E-5</v>
      </c>
      <c r="I134" s="702">
        <v>0</v>
      </c>
      <c r="J134" s="514">
        <v>0</v>
      </c>
      <c r="K134" s="513">
        <v>0</v>
      </c>
      <c r="L134" s="513">
        <v>0</v>
      </c>
      <c r="M134" s="513">
        <v>0</v>
      </c>
      <c r="N134" s="702">
        <v>0</v>
      </c>
      <c r="O134" s="514">
        <v>0</v>
      </c>
      <c r="P134" s="513">
        <v>0</v>
      </c>
      <c r="Q134" s="513">
        <v>0</v>
      </c>
      <c r="R134" s="513">
        <v>0</v>
      </c>
      <c r="S134" s="464">
        <v>0</v>
      </c>
    </row>
    <row r="135" spans="2:19">
      <c r="B135" s="4104"/>
      <c r="C135" s="1026" t="s">
        <v>1497</v>
      </c>
      <c r="D135" s="983" t="s">
        <v>1500</v>
      </c>
      <c r="E135" s="514">
        <v>2.0000000000000002E-5</v>
      </c>
      <c r="F135" s="513">
        <v>2.0000000000000002E-5</v>
      </c>
      <c r="G135" s="513">
        <v>2.0000000000000002E-5</v>
      </c>
      <c r="H135" s="513">
        <v>1.8203948657652364E-5</v>
      </c>
      <c r="I135" s="702">
        <v>0</v>
      </c>
      <c r="J135" s="514">
        <v>0</v>
      </c>
      <c r="K135" s="513">
        <v>0</v>
      </c>
      <c r="L135" s="513">
        <v>0</v>
      </c>
      <c r="M135" s="513">
        <v>0</v>
      </c>
      <c r="N135" s="702">
        <v>0</v>
      </c>
      <c r="O135" s="514">
        <v>0</v>
      </c>
      <c r="P135" s="513">
        <v>0</v>
      </c>
      <c r="Q135" s="513">
        <v>0</v>
      </c>
      <c r="R135" s="513">
        <v>0</v>
      </c>
      <c r="S135" s="464">
        <v>0</v>
      </c>
    </row>
    <row r="136" spans="2:19" ht="13.5" thickBot="1">
      <c r="B136" s="4105"/>
      <c r="C136" s="4099" t="s">
        <v>410</v>
      </c>
      <c r="D136" s="4100"/>
      <c r="E136" s="2012">
        <f t="shared" ref="E136:S136" si="94">SUM(E133:E135)</f>
        <v>6.0000000000000008E-5</v>
      </c>
      <c r="F136" s="2014">
        <f t="shared" si="94"/>
        <v>6.0000000000000008E-5</v>
      </c>
      <c r="G136" s="2014">
        <f t="shared" si="94"/>
        <v>6.0000000000000008E-5</v>
      </c>
      <c r="H136" s="2014">
        <f t="shared" si="94"/>
        <v>5.4611845972957088E-5</v>
      </c>
      <c r="I136" s="2017">
        <f t="shared" si="94"/>
        <v>0</v>
      </c>
      <c r="J136" s="2012">
        <f t="shared" si="94"/>
        <v>0</v>
      </c>
      <c r="K136" s="2014">
        <f t="shared" si="94"/>
        <v>0</v>
      </c>
      <c r="L136" s="2014">
        <f t="shared" si="94"/>
        <v>0</v>
      </c>
      <c r="M136" s="2014">
        <f t="shared" si="94"/>
        <v>0</v>
      </c>
      <c r="N136" s="2017">
        <f t="shared" si="94"/>
        <v>0</v>
      </c>
      <c r="O136" s="2012">
        <f t="shared" si="94"/>
        <v>0</v>
      </c>
      <c r="P136" s="2014">
        <f t="shared" si="94"/>
        <v>0</v>
      </c>
      <c r="Q136" s="2014">
        <f t="shared" si="94"/>
        <v>0</v>
      </c>
      <c r="R136" s="2014">
        <f t="shared" si="94"/>
        <v>0</v>
      </c>
      <c r="S136" s="2015">
        <f t="shared" si="94"/>
        <v>0</v>
      </c>
    </row>
    <row r="137" spans="2:19" ht="13.5" thickBot="1">
      <c r="B137" s="1940" t="s">
        <v>63</v>
      </c>
      <c r="C137" s="1941"/>
      <c r="D137" s="1941"/>
      <c r="E137" s="2019">
        <f>+SUM(E131,E136)</f>
        <v>9.0000000000000019E-5</v>
      </c>
      <c r="F137" s="2020">
        <f t="shared" ref="F137:S137" si="95">+SUM(F131,F136)</f>
        <v>9.0000000000000019E-5</v>
      </c>
      <c r="G137" s="2020">
        <f t="shared" si="95"/>
        <v>13.570069999999999</v>
      </c>
      <c r="H137" s="2020">
        <f t="shared" si="95"/>
        <v>12.351442878037428</v>
      </c>
      <c r="I137" s="2021">
        <f t="shared" si="95"/>
        <v>40.980884235745293</v>
      </c>
      <c r="J137" s="2019">
        <f t="shared" si="95"/>
        <v>32.652203786064547</v>
      </c>
      <c r="K137" s="2020">
        <f t="shared" si="95"/>
        <v>85.509999999999991</v>
      </c>
      <c r="L137" s="2020">
        <f t="shared" si="95"/>
        <v>52.735240500516589</v>
      </c>
      <c r="M137" s="2020">
        <f t="shared" si="95"/>
        <v>42.589494010494711</v>
      </c>
      <c r="N137" s="2021">
        <f t="shared" si="95"/>
        <v>49.286237705277834</v>
      </c>
      <c r="O137" s="2019">
        <f t="shared" si="95"/>
        <v>48.625700030742017</v>
      </c>
      <c r="P137" s="2020">
        <f t="shared" si="95"/>
        <v>47.399169900881347</v>
      </c>
      <c r="Q137" s="2020">
        <f t="shared" si="95"/>
        <v>46.459286846779563</v>
      </c>
      <c r="R137" s="2020">
        <f t="shared" si="95"/>
        <v>46.576326701109068</v>
      </c>
      <c r="S137" s="2022">
        <f t="shared" si="95"/>
        <v>46.172106680634442</v>
      </c>
    </row>
    <row r="138" spans="2:19">
      <c r="B138" s="1092"/>
      <c r="C138" s="529"/>
      <c r="D138" s="529"/>
      <c r="E138" s="529"/>
      <c r="F138" s="529"/>
      <c r="G138" s="529"/>
      <c r="H138" s="529"/>
      <c r="I138" s="529"/>
      <c r="J138" s="529"/>
      <c r="L138" s="529"/>
      <c r="M138" s="529"/>
      <c r="N138" s="529"/>
      <c r="O138" s="529"/>
      <c r="P138" s="529"/>
      <c r="Q138" s="529"/>
      <c r="R138" s="529"/>
      <c r="S138" s="1427"/>
    </row>
    <row r="140" spans="2:19">
      <c r="E140" s="3422"/>
      <c r="F140" s="3422"/>
      <c r="G140" s="3422"/>
      <c r="H140" s="3422"/>
      <c r="I140" s="3422"/>
      <c r="J140" s="3422"/>
      <c r="K140" s="3422"/>
      <c r="L140" s="3422"/>
      <c r="M140" s="3422"/>
      <c r="N140" s="3422"/>
      <c r="O140" s="3422"/>
      <c r="P140" s="3422"/>
      <c r="Q140" s="3422"/>
      <c r="R140" s="3422"/>
      <c r="S140" s="3422"/>
    </row>
    <row r="141" spans="2:19">
      <c r="E141" s="3422"/>
      <c r="F141" s="3422"/>
      <c r="G141" s="3422"/>
      <c r="H141" s="3422"/>
      <c r="I141" s="3422"/>
      <c r="J141" s="3422"/>
      <c r="K141" s="3422"/>
      <c r="L141" s="3422"/>
      <c r="M141" s="3422"/>
      <c r="N141" s="3422"/>
      <c r="O141" s="3422"/>
      <c r="P141" s="3422"/>
      <c r="Q141" s="3422"/>
      <c r="R141" s="3422"/>
      <c r="S141" s="3422"/>
    </row>
    <row r="142" spans="2:19">
      <c r="E142" s="3422"/>
      <c r="F142" s="3422"/>
      <c r="G142" s="3422"/>
      <c r="H142" s="3422"/>
      <c r="I142" s="3422"/>
      <c r="J142" s="3422"/>
      <c r="K142" s="3422"/>
      <c r="L142" s="3422"/>
      <c r="M142" s="3422"/>
      <c r="N142" s="3422"/>
      <c r="O142" s="3422"/>
      <c r="P142" s="3422"/>
      <c r="Q142" s="3422"/>
      <c r="R142" s="3422"/>
      <c r="S142" s="3422"/>
    </row>
  </sheetData>
  <mergeCells count="50">
    <mergeCell ref="B32:B41"/>
    <mergeCell ref="C32:D32"/>
    <mergeCell ref="C41:D41"/>
    <mergeCell ref="B22:B31"/>
    <mergeCell ref="C22:D22"/>
    <mergeCell ref="C31:D31"/>
    <mergeCell ref="O14:S14"/>
    <mergeCell ref="J14:N14"/>
    <mergeCell ref="B7:G7"/>
    <mergeCell ref="B8:G8"/>
    <mergeCell ref="E14:I14"/>
    <mergeCell ref="B10:G10"/>
    <mergeCell ref="B11:G11"/>
    <mergeCell ref="D14:D17"/>
    <mergeCell ref="B14:B17"/>
    <mergeCell ref="E15:S15"/>
    <mergeCell ref="M16:S16"/>
    <mergeCell ref="E16:L16"/>
    <mergeCell ref="C14:C17"/>
    <mergeCell ref="B9:G9"/>
    <mergeCell ref="B45:B54"/>
    <mergeCell ref="C45:D45"/>
    <mergeCell ref="C54:D54"/>
    <mergeCell ref="B55:B64"/>
    <mergeCell ref="C55:D55"/>
    <mergeCell ref="C64:D64"/>
    <mergeCell ref="B68:B77"/>
    <mergeCell ref="C68:D68"/>
    <mergeCell ref="C77:D77"/>
    <mergeCell ref="B78:B87"/>
    <mergeCell ref="C78:D78"/>
    <mergeCell ref="C87:D87"/>
    <mergeCell ref="B91:B100"/>
    <mergeCell ref="C91:D91"/>
    <mergeCell ref="C100:D100"/>
    <mergeCell ref="B101:B110"/>
    <mergeCell ref="C101:D101"/>
    <mergeCell ref="C110:D110"/>
    <mergeCell ref="B114:B118"/>
    <mergeCell ref="C114:D114"/>
    <mergeCell ref="C118:D118"/>
    <mergeCell ref="B119:B123"/>
    <mergeCell ref="C119:D119"/>
    <mergeCell ref="C123:D123"/>
    <mergeCell ref="C136:D136"/>
    <mergeCell ref="C132:D132"/>
    <mergeCell ref="B132:B136"/>
    <mergeCell ref="C131:D131"/>
    <mergeCell ref="C127:D127"/>
    <mergeCell ref="B127:B131"/>
  </mergeCells>
  <pageMargins left="0.75" right="0.75" top="1" bottom="1" header="0.5" footer="0.5"/>
  <pageSetup paperSize="9" orientation="portrait" r:id="rId1"/>
  <headerFooter alignWithMargins="0"/>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tabColor indexed="26"/>
    <pageSetUpPr autoPageBreaks="0"/>
  </sheetPr>
  <dimension ref="A1:ED69"/>
  <sheetViews>
    <sheetView showGridLines="0" zoomScale="70" zoomScaleNormal="70" workbookViewId="0">
      <selection activeCell="C29" sqref="C29"/>
    </sheetView>
  </sheetViews>
  <sheetFormatPr defaultRowHeight="12.75"/>
  <cols>
    <col min="1" max="1" width="14.140625" style="96" customWidth="1"/>
    <col min="2" max="2" width="66.28515625" style="96" bestFit="1" customWidth="1"/>
    <col min="3" max="27" width="14.7109375" style="96" customWidth="1"/>
    <col min="31" max="33" width="18" style="1427" customWidth="1"/>
    <col min="34" max="256" width="9.140625" style="96"/>
    <col min="257" max="257" width="14.140625" style="96" customWidth="1"/>
    <col min="258" max="258" width="66.28515625" style="96" bestFit="1" customWidth="1"/>
    <col min="259" max="259" width="10" style="96" bestFit="1" customWidth="1"/>
    <col min="260" max="261" width="8.5703125" style="96" bestFit="1" customWidth="1"/>
    <col min="262" max="262" width="17.42578125" style="96" bestFit="1" customWidth="1"/>
    <col min="263" max="263" width="17.28515625" style="96" bestFit="1" customWidth="1"/>
    <col min="264" max="265" width="10.7109375" style="96" customWidth="1"/>
    <col min="266" max="267" width="10.7109375" style="96" bestFit="1" customWidth="1"/>
    <col min="268" max="268" width="10.7109375" style="96" customWidth="1"/>
    <col min="269" max="271" width="10.7109375" style="96" bestFit="1" customWidth="1"/>
    <col min="272" max="273" width="10.7109375" style="96" customWidth="1"/>
    <col min="274" max="275" width="10.7109375" style="96" bestFit="1" customWidth="1"/>
    <col min="276" max="512" width="9.140625" style="96"/>
    <col min="513" max="513" width="14.140625" style="96" customWidth="1"/>
    <col min="514" max="514" width="66.28515625" style="96" bestFit="1" customWidth="1"/>
    <col min="515" max="515" width="10" style="96" bestFit="1" customWidth="1"/>
    <col min="516" max="517" width="8.5703125" style="96" bestFit="1" customWidth="1"/>
    <col min="518" max="518" width="17.42578125" style="96" bestFit="1" customWidth="1"/>
    <col min="519" max="519" width="17.28515625" style="96" bestFit="1" customWidth="1"/>
    <col min="520" max="521" width="10.7109375" style="96" customWidth="1"/>
    <col min="522" max="523" width="10.7109375" style="96" bestFit="1" customWidth="1"/>
    <col min="524" max="524" width="10.7109375" style="96" customWidth="1"/>
    <col min="525" max="527" width="10.7109375" style="96" bestFit="1" customWidth="1"/>
    <col min="528" max="529" width="10.7109375" style="96" customWidth="1"/>
    <col min="530" max="531" width="10.7109375" style="96" bestFit="1" customWidth="1"/>
    <col min="532" max="768" width="9.140625" style="96"/>
    <col min="769" max="769" width="14.140625" style="96" customWidth="1"/>
    <col min="770" max="770" width="66.28515625" style="96" bestFit="1" customWidth="1"/>
    <col min="771" max="771" width="10" style="96" bestFit="1" customWidth="1"/>
    <col min="772" max="773" width="8.5703125" style="96" bestFit="1" customWidth="1"/>
    <col min="774" max="774" width="17.42578125" style="96" bestFit="1" customWidth="1"/>
    <col min="775" max="775" width="17.28515625" style="96" bestFit="1" customWidth="1"/>
    <col min="776" max="777" width="10.7109375" style="96" customWidth="1"/>
    <col min="778" max="779" width="10.7109375" style="96" bestFit="1" customWidth="1"/>
    <col min="780" max="780" width="10.7109375" style="96" customWidth="1"/>
    <col min="781" max="783" width="10.7109375" style="96" bestFit="1" customWidth="1"/>
    <col min="784" max="785" width="10.7109375" style="96" customWidth="1"/>
    <col min="786" max="787" width="10.7109375" style="96" bestFit="1" customWidth="1"/>
    <col min="788" max="1024" width="9.140625" style="96"/>
    <col min="1025" max="1025" width="14.140625" style="96" customWidth="1"/>
    <col min="1026" max="1026" width="66.28515625" style="96" bestFit="1" customWidth="1"/>
    <col min="1027" max="1027" width="10" style="96" bestFit="1" customWidth="1"/>
    <col min="1028" max="1029" width="8.5703125" style="96" bestFit="1" customWidth="1"/>
    <col min="1030" max="1030" width="17.42578125" style="96" bestFit="1" customWidth="1"/>
    <col min="1031" max="1031" width="17.28515625" style="96" bestFit="1" customWidth="1"/>
    <col min="1032" max="1033" width="10.7109375" style="96" customWidth="1"/>
    <col min="1034" max="1035" width="10.7109375" style="96" bestFit="1" customWidth="1"/>
    <col min="1036" max="1036" width="10.7109375" style="96" customWidth="1"/>
    <col min="1037" max="1039" width="10.7109375" style="96" bestFit="1" customWidth="1"/>
    <col min="1040" max="1041" width="10.7109375" style="96" customWidth="1"/>
    <col min="1042" max="1043" width="10.7109375" style="96" bestFit="1" customWidth="1"/>
    <col min="1044" max="1280" width="9.140625" style="96"/>
    <col min="1281" max="1281" width="14.140625" style="96" customWidth="1"/>
    <col min="1282" max="1282" width="66.28515625" style="96" bestFit="1" customWidth="1"/>
    <col min="1283" max="1283" width="10" style="96" bestFit="1" customWidth="1"/>
    <col min="1284" max="1285" width="8.5703125" style="96" bestFit="1" customWidth="1"/>
    <col min="1286" max="1286" width="17.42578125" style="96" bestFit="1" customWidth="1"/>
    <col min="1287" max="1287" width="17.28515625" style="96" bestFit="1" customWidth="1"/>
    <col min="1288" max="1289" width="10.7109375" style="96" customWidth="1"/>
    <col min="1290" max="1291" width="10.7109375" style="96" bestFit="1" customWidth="1"/>
    <col min="1292" max="1292" width="10.7109375" style="96" customWidth="1"/>
    <col min="1293" max="1295" width="10.7109375" style="96" bestFit="1" customWidth="1"/>
    <col min="1296" max="1297" width="10.7109375" style="96" customWidth="1"/>
    <col min="1298" max="1299" width="10.7109375" style="96" bestFit="1" customWidth="1"/>
    <col min="1300" max="1536" width="9.140625" style="96"/>
    <col min="1537" max="1537" width="14.140625" style="96" customWidth="1"/>
    <col min="1538" max="1538" width="66.28515625" style="96" bestFit="1" customWidth="1"/>
    <col min="1539" max="1539" width="10" style="96" bestFit="1" customWidth="1"/>
    <col min="1540" max="1541" width="8.5703125" style="96" bestFit="1" customWidth="1"/>
    <col min="1542" max="1542" width="17.42578125" style="96" bestFit="1" customWidth="1"/>
    <col min="1543" max="1543" width="17.28515625" style="96" bestFit="1" customWidth="1"/>
    <col min="1544" max="1545" width="10.7109375" style="96" customWidth="1"/>
    <col min="1546" max="1547" width="10.7109375" style="96" bestFit="1" customWidth="1"/>
    <col min="1548" max="1548" width="10.7109375" style="96" customWidth="1"/>
    <col min="1549" max="1551" width="10.7109375" style="96" bestFit="1" customWidth="1"/>
    <col min="1552" max="1553" width="10.7109375" style="96" customWidth="1"/>
    <col min="1554" max="1555" width="10.7109375" style="96" bestFit="1" customWidth="1"/>
    <col min="1556" max="1792" width="9.140625" style="96"/>
    <col min="1793" max="1793" width="14.140625" style="96" customWidth="1"/>
    <col min="1794" max="1794" width="66.28515625" style="96" bestFit="1" customWidth="1"/>
    <col min="1795" max="1795" width="10" style="96" bestFit="1" customWidth="1"/>
    <col min="1796" max="1797" width="8.5703125" style="96" bestFit="1" customWidth="1"/>
    <col min="1798" max="1798" width="17.42578125" style="96" bestFit="1" customWidth="1"/>
    <col min="1799" max="1799" width="17.28515625" style="96" bestFit="1" customWidth="1"/>
    <col min="1800" max="1801" width="10.7109375" style="96" customWidth="1"/>
    <col min="1802" max="1803" width="10.7109375" style="96" bestFit="1" customWidth="1"/>
    <col min="1804" max="1804" width="10.7109375" style="96" customWidth="1"/>
    <col min="1805" max="1807" width="10.7109375" style="96" bestFit="1" customWidth="1"/>
    <col min="1808" max="1809" width="10.7109375" style="96" customWidth="1"/>
    <col min="1810" max="1811" width="10.7109375" style="96" bestFit="1" customWidth="1"/>
    <col min="1812" max="2048" width="9.140625" style="96"/>
    <col min="2049" max="2049" width="14.140625" style="96" customWidth="1"/>
    <col min="2050" max="2050" width="66.28515625" style="96" bestFit="1" customWidth="1"/>
    <col min="2051" max="2051" width="10" style="96" bestFit="1" customWidth="1"/>
    <col min="2052" max="2053" width="8.5703125" style="96" bestFit="1" customWidth="1"/>
    <col min="2054" max="2054" width="17.42578125" style="96" bestFit="1" customWidth="1"/>
    <col min="2055" max="2055" width="17.28515625" style="96" bestFit="1" customWidth="1"/>
    <col min="2056" max="2057" width="10.7109375" style="96" customWidth="1"/>
    <col min="2058" max="2059" width="10.7109375" style="96" bestFit="1" customWidth="1"/>
    <col min="2060" max="2060" width="10.7109375" style="96" customWidth="1"/>
    <col min="2061" max="2063" width="10.7109375" style="96" bestFit="1" customWidth="1"/>
    <col min="2064" max="2065" width="10.7109375" style="96" customWidth="1"/>
    <col min="2066" max="2067" width="10.7109375" style="96" bestFit="1" customWidth="1"/>
    <col min="2068" max="2304" width="9.140625" style="96"/>
    <col min="2305" max="2305" width="14.140625" style="96" customWidth="1"/>
    <col min="2306" max="2306" width="66.28515625" style="96" bestFit="1" customWidth="1"/>
    <col min="2307" max="2307" width="10" style="96" bestFit="1" customWidth="1"/>
    <col min="2308" max="2309" width="8.5703125" style="96" bestFit="1" customWidth="1"/>
    <col min="2310" max="2310" width="17.42578125" style="96" bestFit="1" customWidth="1"/>
    <col min="2311" max="2311" width="17.28515625" style="96" bestFit="1" customWidth="1"/>
    <col min="2312" max="2313" width="10.7109375" style="96" customWidth="1"/>
    <col min="2314" max="2315" width="10.7109375" style="96" bestFit="1" customWidth="1"/>
    <col min="2316" max="2316" width="10.7109375" style="96" customWidth="1"/>
    <col min="2317" max="2319" width="10.7109375" style="96" bestFit="1" customWidth="1"/>
    <col min="2320" max="2321" width="10.7109375" style="96" customWidth="1"/>
    <col min="2322" max="2323" width="10.7109375" style="96" bestFit="1" customWidth="1"/>
    <col min="2324" max="2560" width="9.140625" style="96"/>
    <col min="2561" max="2561" width="14.140625" style="96" customWidth="1"/>
    <col min="2562" max="2562" width="66.28515625" style="96" bestFit="1" customWidth="1"/>
    <col min="2563" max="2563" width="10" style="96" bestFit="1" customWidth="1"/>
    <col min="2564" max="2565" width="8.5703125" style="96" bestFit="1" customWidth="1"/>
    <col min="2566" max="2566" width="17.42578125" style="96" bestFit="1" customWidth="1"/>
    <col min="2567" max="2567" width="17.28515625" style="96" bestFit="1" customWidth="1"/>
    <col min="2568" max="2569" width="10.7109375" style="96" customWidth="1"/>
    <col min="2570" max="2571" width="10.7109375" style="96" bestFit="1" customWidth="1"/>
    <col min="2572" max="2572" width="10.7109375" style="96" customWidth="1"/>
    <col min="2573" max="2575" width="10.7109375" style="96" bestFit="1" customWidth="1"/>
    <col min="2576" max="2577" width="10.7109375" style="96" customWidth="1"/>
    <col min="2578" max="2579" width="10.7109375" style="96" bestFit="1" customWidth="1"/>
    <col min="2580" max="2816" width="9.140625" style="96"/>
    <col min="2817" max="2817" width="14.140625" style="96" customWidth="1"/>
    <col min="2818" max="2818" width="66.28515625" style="96" bestFit="1" customWidth="1"/>
    <col min="2819" max="2819" width="10" style="96" bestFit="1" customWidth="1"/>
    <col min="2820" max="2821" width="8.5703125" style="96" bestFit="1" customWidth="1"/>
    <col min="2822" max="2822" width="17.42578125" style="96" bestFit="1" customWidth="1"/>
    <col min="2823" max="2823" width="17.28515625" style="96" bestFit="1" customWidth="1"/>
    <col min="2824" max="2825" width="10.7109375" style="96" customWidth="1"/>
    <col min="2826" max="2827" width="10.7109375" style="96" bestFit="1" customWidth="1"/>
    <col min="2828" max="2828" width="10.7109375" style="96" customWidth="1"/>
    <col min="2829" max="2831" width="10.7109375" style="96" bestFit="1" customWidth="1"/>
    <col min="2832" max="2833" width="10.7109375" style="96" customWidth="1"/>
    <col min="2834" max="2835" width="10.7109375" style="96" bestFit="1" customWidth="1"/>
    <col min="2836" max="3072" width="9.140625" style="96"/>
    <col min="3073" max="3073" width="14.140625" style="96" customWidth="1"/>
    <col min="3074" max="3074" width="66.28515625" style="96" bestFit="1" customWidth="1"/>
    <col min="3075" max="3075" width="10" style="96" bestFit="1" customWidth="1"/>
    <col min="3076" max="3077" width="8.5703125" style="96" bestFit="1" customWidth="1"/>
    <col min="3078" max="3078" width="17.42578125" style="96" bestFit="1" customWidth="1"/>
    <col min="3079" max="3079" width="17.28515625" style="96" bestFit="1" customWidth="1"/>
    <col min="3080" max="3081" width="10.7109375" style="96" customWidth="1"/>
    <col min="3082" max="3083" width="10.7109375" style="96" bestFit="1" customWidth="1"/>
    <col min="3084" max="3084" width="10.7109375" style="96" customWidth="1"/>
    <col min="3085" max="3087" width="10.7109375" style="96" bestFit="1" customWidth="1"/>
    <col min="3088" max="3089" width="10.7109375" style="96" customWidth="1"/>
    <col min="3090" max="3091" width="10.7109375" style="96" bestFit="1" customWidth="1"/>
    <col min="3092" max="3328" width="9.140625" style="96"/>
    <col min="3329" max="3329" width="14.140625" style="96" customWidth="1"/>
    <col min="3330" max="3330" width="66.28515625" style="96" bestFit="1" customWidth="1"/>
    <col min="3331" max="3331" width="10" style="96" bestFit="1" customWidth="1"/>
    <col min="3332" max="3333" width="8.5703125" style="96" bestFit="1" customWidth="1"/>
    <col min="3334" max="3334" width="17.42578125" style="96" bestFit="1" customWidth="1"/>
    <col min="3335" max="3335" width="17.28515625" style="96" bestFit="1" customWidth="1"/>
    <col min="3336" max="3337" width="10.7109375" style="96" customWidth="1"/>
    <col min="3338" max="3339" width="10.7109375" style="96" bestFit="1" customWidth="1"/>
    <col min="3340" max="3340" width="10.7109375" style="96" customWidth="1"/>
    <col min="3341" max="3343" width="10.7109375" style="96" bestFit="1" customWidth="1"/>
    <col min="3344" max="3345" width="10.7109375" style="96" customWidth="1"/>
    <col min="3346" max="3347" width="10.7109375" style="96" bestFit="1" customWidth="1"/>
    <col min="3348" max="3584" width="9.140625" style="96"/>
    <col min="3585" max="3585" width="14.140625" style="96" customWidth="1"/>
    <col min="3586" max="3586" width="66.28515625" style="96" bestFit="1" customWidth="1"/>
    <col min="3587" max="3587" width="10" style="96" bestFit="1" customWidth="1"/>
    <col min="3588" max="3589" width="8.5703125" style="96" bestFit="1" customWidth="1"/>
    <col min="3590" max="3590" width="17.42578125" style="96" bestFit="1" customWidth="1"/>
    <col min="3591" max="3591" width="17.28515625" style="96" bestFit="1" customWidth="1"/>
    <col min="3592" max="3593" width="10.7109375" style="96" customWidth="1"/>
    <col min="3594" max="3595" width="10.7109375" style="96" bestFit="1" customWidth="1"/>
    <col min="3596" max="3596" width="10.7109375" style="96" customWidth="1"/>
    <col min="3597" max="3599" width="10.7109375" style="96" bestFit="1" customWidth="1"/>
    <col min="3600" max="3601" width="10.7109375" style="96" customWidth="1"/>
    <col min="3602" max="3603" width="10.7109375" style="96" bestFit="1" customWidth="1"/>
    <col min="3604" max="3840" width="9.140625" style="96"/>
    <col min="3841" max="3841" width="14.140625" style="96" customWidth="1"/>
    <col min="3842" max="3842" width="66.28515625" style="96" bestFit="1" customWidth="1"/>
    <col min="3843" max="3843" width="10" style="96" bestFit="1" customWidth="1"/>
    <col min="3844" max="3845" width="8.5703125" style="96" bestFit="1" customWidth="1"/>
    <col min="3846" max="3846" width="17.42578125" style="96" bestFit="1" customWidth="1"/>
    <col min="3847" max="3847" width="17.28515625" style="96" bestFit="1" customWidth="1"/>
    <col min="3848" max="3849" width="10.7109375" style="96" customWidth="1"/>
    <col min="3850" max="3851" width="10.7109375" style="96" bestFit="1" customWidth="1"/>
    <col min="3852" max="3852" width="10.7109375" style="96" customWidth="1"/>
    <col min="3853" max="3855" width="10.7109375" style="96" bestFit="1" customWidth="1"/>
    <col min="3856" max="3857" width="10.7109375" style="96" customWidth="1"/>
    <col min="3858" max="3859" width="10.7109375" style="96" bestFit="1" customWidth="1"/>
    <col min="3860" max="4096" width="9.140625" style="96"/>
    <col min="4097" max="4097" width="14.140625" style="96" customWidth="1"/>
    <col min="4098" max="4098" width="66.28515625" style="96" bestFit="1" customWidth="1"/>
    <col min="4099" max="4099" width="10" style="96" bestFit="1" customWidth="1"/>
    <col min="4100" max="4101" width="8.5703125" style="96" bestFit="1" customWidth="1"/>
    <col min="4102" max="4102" width="17.42578125" style="96" bestFit="1" customWidth="1"/>
    <col min="4103" max="4103" width="17.28515625" style="96" bestFit="1" customWidth="1"/>
    <col min="4104" max="4105" width="10.7109375" style="96" customWidth="1"/>
    <col min="4106" max="4107" width="10.7109375" style="96" bestFit="1" customWidth="1"/>
    <col min="4108" max="4108" width="10.7109375" style="96" customWidth="1"/>
    <col min="4109" max="4111" width="10.7109375" style="96" bestFit="1" customWidth="1"/>
    <col min="4112" max="4113" width="10.7109375" style="96" customWidth="1"/>
    <col min="4114" max="4115" width="10.7109375" style="96" bestFit="1" customWidth="1"/>
    <col min="4116" max="4352" width="9.140625" style="96"/>
    <col min="4353" max="4353" width="14.140625" style="96" customWidth="1"/>
    <col min="4354" max="4354" width="66.28515625" style="96" bestFit="1" customWidth="1"/>
    <col min="4355" max="4355" width="10" style="96" bestFit="1" customWidth="1"/>
    <col min="4356" max="4357" width="8.5703125" style="96" bestFit="1" customWidth="1"/>
    <col min="4358" max="4358" width="17.42578125" style="96" bestFit="1" customWidth="1"/>
    <col min="4359" max="4359" width="17.28515625" style="96" bestFit="1" customWidth="1"/>
    <col min="4360" max="4361" width="10.7109375" style="96" customWidth="1"/>
    <col min="4362" max="4363" width="10.7109375" style="96" bestFit="1" customWidth="1"/>
    <col min="4364" max="4364" width="10.7109375" style="96" customWidth="1"/>
    <col min="4365" max="4367" width="10.7109375" style="96" bestFit="1" customWidth="1"/>
    <col min="4368" max="4369" width="10.7109375" style="96" customWidth="1"/>
    <col min="4370" max="4371" width="10.7109375" style="96" bestFit="1" customWidth="1"/>
    <col min="4372" max="4608" width="9.140625" style="96"/>
    <col min="4609" max="4609" width="14.140625" style="96" customWidth="1"/>
    <col min="4610" max="4610" width="66.28515625" style="96" bestFit="1" customWidth="1"/>
    <col min="4611" max="4611" width="10" style="96" bestFit="1" customWidth="1"/>
    <col min="4612" max="4613" width="8.5703125" style="96" bestFit="1" customWidth="1"/>
    <col min="4614" max="4614" width="17.42578125" style="96" bestFit="1" customWidth="1"/>
    <col min="4615" max="4615" width="17.28515625" style="96" bestFit="1" customWidth="1"/>
    <col min="4616" max="4617" width="10.7109375" style="96" customWidth="1"/>
    <col min="4618" max="4619" width="10.7109375" style="96" bestFit="1" customWidth="1"/>
    <col min="4620" max="4620" width="10.7109375" style="96" customWidth="1"/>
    <col min="4621" max="4623" width="10.7109375" style="96" bestFit="1" customWidth="1"/>
    <col min="4624" max="4625" width="10.7109375" style="96" customWidth="1"/>
    <col min="4626" max="4627" width="10.7109375" style="96" bestFit="1" customWidth="1"/>
    <col min="4628" max="4864" width="9.140625" style="96"/>
    <col min="4865" max="4865" width="14.140625" style="96" customWidth="1"/>
    <col min="4866" max="4866" width="66.28515625" style="96" bestFit="1" customWidth="1"/>
    <col min="4867" max="4867" width="10" style="96" bestFit="1" customWidth="1"/>
    <col min="4868" max="4869" width="8.5703125" style="96" bestFit="1" customWidth="1"/>
    <col min="4870" max="4870" width="17.42578125" style="96" bestFit="1" customWidth="1"/>
    <col min="4871" max="4871" width="17.28515625" style="96" bestFit="1" customWidth="1"/>
    <col min="4872" max="4873" width="10.7109375" style="96" customWidth="1"/>
    <col min="4874" max="4875" width="10.7109375" style="96" bestFit="1" customWidth="1"/>
    <col min="4876" max="4876" width="10.7109375" style="96" customWidth="1"/>
    <col min="4877" max="4879" width="10.7109375" style="96" bestFit="1" customWidth="1"/>
    <col min="4880" max="4881" width="10.7109375" style="96" customWidth="1"/>
    <col min="4882" max="4883" width="10.7109375" style="96" bestFit="1" customWidth="1"/>
    <col min="4884" max="5120" width="9.140625" style="96"/>
    <col min="5121" max="5121" width="14.140625" style="96" customWidth="1"/>
    <col min="5122" max="5122" width="66.28515625" style="96" bestFit="1" customWidth="1"/>
    <col min="5123" max="5123" width="10" style="96" bestFit="1" customWidth="1"/>
    <col min="5124" max="5125" width="8.5703125" style="96" bestFit="1" customWidth="1"/>
    <col min="5126" max="5126" width="17.42578125" style="96" bestFit="1" customWidth="1"/>
    <col min="5127" max="5127" width="17.28515625" style="96" bestFit="1" customWidth="1"/>
    <col min="5128" max="5129" width="10.7109375" style="96" customWidth="1"/>
    <col min="5130" max="5131" width="10.7109375" style="96" bestFit="1" customWidth="1"/>
    <col min="5132" max="5132" width="10.7109375" style="96" customWidth="1"/>
    <col min="5133" max="5135" width="10.7109375" style="96" bestFit="1" customWidth="1"/>
    <col min="5136" max="5137" width="10.7109375" style="96" customWidth="1"/>
    <col min="5138" max="5139" width="10.7109375" style="96" bestFit="1" customWidth="1"/>
    <col min="5140" max="5376" width="9.140625" style="96"/>
    <col min="5377" max="5377" width="14.140625" style="96" customWidth="1"/>
    <col min="5378" max="5378" width="66.28515625" style="96" bestFit="1" customWidth="1"/>
    <col min="5379" max="5379" width="10" style="96" bestFit="1" customWidth="1"/>
    <col min="5380" max="5381" width="8.5703125" style="96" bestFit="1" customWidth="1"/>
    <col min="5382" max="5382" width="17.42578125" style="96" bestFit="1" customWidth="1"/>
    <col min="5383" max="5383" width="17.28515625" style="96" bestFit="1" customWidth="1"/>
    <col min="5384" max="5385" width="10.7109375" style="96" customWidth="1"/>
    <col min="5386" max="5387" width="10.7109375" style="96" bestFit="1" customWidth="1"/>
    <col min="5388" max="5388" width="10.7109375" style="96" customWidth="1"/>
    <col min="5389" max="5391" width="10.7109375" style="96" bestFit="1" customWidth="1"/>
    <col min="5392" max="5393" width="10.7109375" style="96" customWidth="1"/>
    <col min="5394" max="5395" width="10.7109375" style="96" bestFit="1" customWidth="1"/>
    <col min="5396" max="5632" width="9.140625" style="96"/>
    <col min="5633" max="5633" width="14.140625" style="96" customWidth="1"/>
    <col min="5634" max="5634" width="66.28515625" style="96" bestFit="1" customWidth="1"/>
    <col min="5635" max="5635" width="10" style="96" bestFit="1" customWidth="1"/>
    <col min="5636" max="5637" width="8.5703125" style="96" bestFit="1" customWidth="1"/>
    <col min="5638" max="5638" width="17.42578125" style="96" bestFit="1" customWidth="1"/>
    <col min="5639" max="5639" width="17.28515625" style="96" bestFit="1" customWidth="1"/>
    <col min="5640" max="5641" width="10.7109375" style="96" customWidth="1"/>
    <col min="5642" max="5643" width="10.7109375" style="96" bestFit="1" customWidth="1"/>
    <col min="5644" max="5644" width="10.7109375" style="96" customWidth="1"/>
    <col min="5645" max="5647" width="10.7109375" style="96" bestFit="1" customWidth="1"/>
    <col min="5648" max="5649" width="10.7109375" style="96" customWidth="1"/>
    <col min="5650" max="5651" width="10.7109375" style="96" bestFit="1" customWidth="1"/>
    <col min="5652" max="5888" width="9.140625" style="96"/>
    <col min="5889" max="5889" width="14.140625" style="96" customWidth="1"/>
    <col min="5890" max="5890" width="66.28515625" style="96" bestFit="1" customWidth="1"/>
    <col min="5891" max="5891" width="10" style="96" bestFit="1" customWidth="1"/>
    <col min="5892" max="5893" width="8.5703125" style="96" bestFit="1" customWidth="1"/>
    <col min="5894" max="5894" width="17.42578125" style="96" bestFit="1" customWidth="1"/>
    <col min="5895" max="5895" width="17.28515625" style="96" bestFit="1" customWidth="1"/>
    <col min="5896" max="5897" width="10.7109375" style="96" customWidth="1"/>
    <col min="5898" max="5899" width="10.7109375" style="96" bestFit="1" customWidth="1"/>
    <col min="5900" max="5900" width="10.7109375" style="96" customWidth="1"/>
    <col min="5901" max="5903" width="10.7109375" style="96" bestFit="1" customWidth="1"/>
    <col min="5904" max="5905" width="10.7109375" style="96" customWidth="1"/>
    <col min="5906" max="5907" width="10.7109375" style="96" bestFit="1" customWidth="1"/>
    <col min="5908" max="6144" width="9.140625" style="96"/>
    <col min="6145" max="6145" width="14.140625" style="96" customWidth="1"/>
    <col min="6146" max="6146" width="66.28515625" style="96" bestFit="1" customWidth="1"/>
    <col min="6147" max="6147" width="10" style="96" bestFit="1" customWidth="1"/>
    <col min="6148" max="6149" width="8.5703125" style="96" bestFit="1" customWidth="1"/>
    <col min="6150" max="6150" width="17.42578125" style="96" bestFit="1" customWidth="1"/>
    <col min="6151" max="6151" width="17.28515625" style="96" bestFit="1" customWidth="1"/>
    <col min="6152" max="6153" width="10.7109375" style="96" customWidth="1"/>
    <col min="6154" max="6155" width="10.7109375" style="96" bestFit="1" customWidth="1"/>
    <col min="6156" max="6156" width="10.7109375" style="96" customWidth="1"/>
    <col min="6157" max="6159" width="10.7109375" style="96" bestFit="1" customWidth="1"/>
    <col min="6160" max="6161" width="10.7109375" style="96" customWidth="1"/>
    <col min="6162" max="6163" width="10.7109375" style="96" bestFit="1" customWidth="1"/>
    <col min="6164" max="6400" width="9.140625" style="96"/>
    <col min="6401" max="6401" width="14.140625" style="96" customWidth="1"/>
    <col min="6402" max="6402" width="66.28515625" style="96" bestFit="1" customWidth="1"/>
    <col min="6403" max="6403" width="10" style="96" bestFit="1" customWidth="1"/>
    <col min="6404" max="6405" width="8.5703125" style="96" bestFit="1" customWidth="1"/>
    <col min="6406" max="6406" width="17.42578125" style="96" bestFit="1" customWidth="1"/>
    <col min="6407" max="6407" width="17.28515625" style="96" bestFit="1" customWidth="1"/>
    <col min="6408" max="6409" width="10.7109375" style="96" customWidth="1"/>
    <col min="6410" max="6411" width="10.7109375" style="96" bestFit="1" customWidth="1"/>
    <col min="6412" max="6412" width="10.7109375" style="96" customWidth="1"/>
    <col min="6413" max="6415" width="10.7109375" style="96" bestFit="1" customWidth="1"/>
    <col min="6416" max="6417" width="10.7109375" style="96" customWidth="1"/>
    <col min="6418" max="6419" width="10.7109375" style="96" bestFit="1" customWidth="1"/>
    <col min="6420" max="6656" width="9.140625" style="96"/>
    <col min="6657" max="6657" width="14.140625" style="96" customWidth="1"/>
    <col min="6658" max="6658" width="66.28515625" style="96" bestFit="1" customWidth="1"/>
    <col min="6659" max="6659" width="10" style="96" bestFit="1" customWidth="1"/>
    <col min="6660" max="6661" width="8.5703125" style="96" bestFit="1" customWidth="1"/>
    <col min="6662" max="6662" width="17.42578125" style="96" bestFit="1" customWidth="1"/>
    <col min="6663" max="6663" width="17.28515625" style="96" bestFit="1" customWidth="1"/>
    <col min="6664" max="6665" width="10.7109375" style="96" customWidth="1"/>
    <col min="6666" max="6667" width="10.7109375" style="96" bestFit="1" customWidth="1"/>
    <col min="6668" max="6668" width="10.7109375" style="96" customWidth="1"/>
    <col min="6669" max="6671" width="10.7109375" style="96" bestFit="1" customWidth="1"/>
    <col min="6672" max="6673" width="10.7109375" style="96" customWidth="1"/>
    <col min="6674" max="6675" width="10.7109375" style="96" bestFit="1" customWidth="1"/>
    <col min="6676" max="6912" width="9.140625" style="96"/>
    <col min="6913" max="6913" width="14.140625" style="96" customWidth="1"/>
    <col min="6914" max="6914" width="66.28515625" style="96" bestFit="1" customWidth="1"/>
    <col min="6915" max="6915" width="10" style="96" bestFit="1" customWidth="1"/>
    <col min="6916" max="6917" width="8.5703125" style="96" bestFit="1" customWidth="1"/>
    <col min="6918" max="6918" width="17.42578125" style="96" bestFit="1" customWidth="1"/>
    <col min="6919" max="6919" width="17.28515625" style="96" bestFit="1" customWidth="1"/>
    <col min="6920" max="6921" width="10.7109375" style="96" customWidth="1"/>
    <col min="6922" max="6923" width="10.7109375" style="96" bestFit="1" customWidth="1"/>
    <col min="6924" max="6924" width="10.7109375" style="96" customWidth="1"/>
    <col min="6925" max="6927" width="10.7109375" style="96" bestFit="1" customWidth="1"/>
    <col min="6928" max="6929" width="10.7109375" style="96" customWidth="1"/>
    <col min="6930" max="6931" width="10.7109375" style="96" bestFit="1" customWidth="1"/>
    <col min="6932" max="7168" width="9.140625" style="96"/>
    <col min="7169" max="7169" width="14.140625" style="96" customWidth="1"/>
    <col min="7170" max="7170" width="66.28515625" style="96" bestFit="1" customWidth="1"/>
    <col min="7171" max="7171" width="10" style="96" bestFit="1" customWidth="1"/>
    <col min="7172" max="7173" width="8.5703125" style="96" bestFit="1" customWidth="1"/>
    <col min="7174" max="7174" width="17.42578125" style="96" bestFit="1" customWidth="1"/>
    <col min="7175" max="7175" width="17.28515625" style="96" bestFit="1" customWidth="1"/>
    <col min="7176" max="7177" width="10.7109375" style="96" customWidth="1"/>
    <col min="7178" max="7179" width="10.7109375" style="96" bestFit="1" customWidth="1"/>
    <col min="7180" max="7180" width="10.7109375" style="96" customWidth="1"/>
    <col min="7181" max="7183" width="10.7109375" style="96" bestFit="1" customWidth="1"/>
    <col min="7184" max="7185" width="10.7109375" style="96" customWidth="1"/>
    <col min="7186" max="7187" width="10.7109375" style="96" bestFit="1" customWidth="1"/>
    <col min="7188" max="7424" width="9.140625" style="96"/>
    <col min="7425" max="7425" width="14.140625" style="96" customWidth="1"/>
    <col min="7426" max="7426" width="66.28515625" style="96" bestFit="1" customWidth="1"/>
    <col min="7427" max="7427" width="10" style="96" bestFit="1" customWidth="1"/>
    <col min="7428" max="7429" width="8.5703125" style="96" bestFit="1" customWidth="1"/>
    <col min="7430" max="7430" width="17.42578125" style="96" bestFit="1" customWidth="1"/>
    <col min="7431" max="7431" width="17.28515625" style="96" bestFit="1" customWidth="1"/>
    <col min="7432" max="7433" width="10.7109375" style="96" customWidth="1"/>
    <col min="7434" max="7435" width="10.7109375" style="96" bestFit="1" customWidth="1"/>
    <col min="7436" max="7436" width="10.7109375" style="96" customWidth="1"/>
    <col min="7437" max="7439" width="10.7109375" style="96" bestFit="1" customWidth="1"/>
    <col min="7440" max="7441" width="10.7109375" style="96" customWidth="1"/>
    <col min="7442" max="7443" width="10.7109375" style="96" bestFit="1" customWidth="1"/>
    <col min="7444" max="7680" width="9.140625" style="96"/>
    <col min="7681" max="7681" width="14.140625" style="96" customWidth="1"/>
    <col min="7682" max="7682" width="66.28515625" style="96" bestFit="1" customWidth="1"/>
    <col min="7683" max="7683" width="10" style="96" bestFit="1" customWidth="1"/>
    <col min="7684" max="7685" width="8.5703125" style="96" bestFit="1" customWidth="1"/>
    <col min="7686" max="7686" width="17.42578125" style="96" bestFit="1" customWidth="1"/>
    <col min="7687" max="7687" width="17.28515625" style="96" bestFit="1" customWidth="1"/>
    <col min="7688" max="7689" width="10.7109375" style="96" customWidth="1"/>
    <col min="7690" max="7691" width="10.7109375" style="96" bestFit="1" customWidth="1"/>
    <col min="7692" max="7692" width="10.7109375" style="96" customWidth="1"/>
    <col min="7693" max="7695" width="10.7109375" style="96" bestFit="1" customWidth="1"/>
    <col min="7696" max="7697" width="10.7109375" style="96" customWidth="1"/>
    <col min="7698" max="7699" width="10.7109375" style="96" bestFit="1" customWidth="1"/>
    <col min="7700" max="7936" width="9.140625" style="96"/>
    <col min="7937" max="7937" width="14.140625" style="96" customWidth="1"/>
    <col min="7938" max="7938" width="66.28515625" style="96" bestFit="1" customWidth="1"/>
    <col min="7939" max="7939" width="10" style="96" bestFit="1" customWidth="1"/>
    <col min="7940" max="7941" width="8.5703125" style="96" bestFit="1" customWidth="1"/>
    <col min="7942" max="7942" width="17.42578125" style="96" bestFit="1" customWidth="1"/>
    <col min="7943" max="7943" width="17.28515625" style="96" bestFit="1" customWidth="1"/>
    <col min="7944" max="7945" width="10.7109375" style="96" customWidth="1"/>
    <col min="7946" max="7947" width="10.7109375" style="96" bestFit="1" customWidth="1"/>
    <col min="7948" max="7948" width="10.7109375" style="96" customWidth="1"/>
    <col min="7949" max="7951" width="10.7109375" style="96" bestFit="1" customWidth="1"/>
    <col min="7952" max="7953" width="10.7109375" style="96" customWidth="1"/>
    <col min="7954" max="7955" width="10.7109375" style="96" bestFit="1" customWidth="1"/>
    <col min="7956" max="8192" width="9.140625" style="96"/>
    <col min="8193" max="8193" width="14.140625" style="96" customWidth="1"/>
    <col min="8194" max="8194" width="66.28515625" style="96" bestFit="1" customWidth="1"/>
    <col min="8195" max="8195" width="10" style="96" bestFit="1" customWidth="1"/>
    <col min="8196" max="8197" width="8.5703125" style="96" bestFit="1" customWidth="1"/>
    <col min="8198" max="8198" width="17.42578125" style="96" bestFit="1" customWidth="1"/>
    <col min="8199" max="8199" width="17.28515625" style="96" bestFit="1" customWidth="1"/>
    <col min="8200" max="8201" width="10.7109375" style="96" customWidth="1"/>
    <col min="8202" max="8203" width="10.7109375" style="96" bestFit="1" customWidth="1"/>
    <col min="8204" max="8204" width="10.7109375" style="96" customWidth="1"/>
    <col min="8205" max="8207" width="10.7109375" style="96" bestFit="1" customWidth="1"/>
    <col min="8208" max="8209" width="10.7109375" style="96" customWidth="1"/>
    <col min="8210" max="8211" width="10.7109375" style="96" bestFit="1" customWidth="1"/>
    <col min="8212" max="8448" width="9.140625" style="96"/>
    <col min="8449" max="8449" width="14.140625" style="96" customWidth="1"/>
    <col min="8450" max="8450" width="66.28515625" style="96" bestFit="1" customWidth="1"/>
    <col min="8451" max="8451" width="10" style="96" bestFit="1" customWidth="1"/>
    <col min="8452" max="8453" width="8.5703125" style="96" bestFit="1" customWidth="1"/>
    <col min="8454" max="8454" width="17.42578125" style="96" bestFit="1" customWidth="1"/>
    <col min="8455" max="8455" width="17.28515625" style="96" bestFit="1" customWidth="1"/>
    <col min="8456" max="8457" width="10.7109375" style="96" customWidth="1"/>
    <col min="8458" max="8459" width="10.7109375" style="96" bestFit="1" customWidth="1"/>
    <col min="8460" max="8460" width="10.7109375" style="96" customWidth="1"/>
    <col min="8461" max="8463" width="10.7109375" style="96" bestFit="1" customWidth="1"/>
    <col min="8464" max="8465" width="10.7109375" style="96" customWidth="1"/>
    <col min="8466" max="8467" width="10.7109375" style="96" bestFit="1" customWidth="1"/>
    <col min="8468" max="8704" width="9.140625" style="96"/>
    <col min="8705" max="8705" width="14.140625" style="96" customWidth="1"/>
    <col min="8706" max="8706" width="66.28515625" style="96" bestFit="1" customWidth="1"/>
    <col min="8707" max="8707" width="10" style="96" bestFit="1" customWidth="1"/>
    <col min="8708" max="8709" width="8.5703125" style="96" bestFit="1" customWidth="1"/>
    <col min="8710" max="8710" width="17.42578125" style="96" bestFit="1" customWidth="1"/>
    <col min="8711" max="8711" width="17.28515625" style="96" bestFit="1" customWidth="1"/>
    <col min="8712" max="8713" width="10.7109375" style="96" customWidth="1"/>
    <col min="8714" max="8715" width="10.7109375" style="96" bestFit="1" customWidth="1"/>
    <col min="8716" max="8716" width="10.7109375" style="96" customWidth="1"/>
    <col min="8717" max="8719" width="10.7109375" style="96" bestFit="1" customWidth="1"/>
    <col min="8720" max="8721" width="10.7109375" style="96" customWidth="1"/>
    <col min="8722" max="8723" width="10.7109375" style="96" bestFit="1" customWidth="1"/>
    <col min="8724" max="8960" width="9.140625" style="96"/>
    <col min="8961" max="8961" width="14.140625" style="96" customWidth="1"/>
    <col min="8962" max="8962" width="66.28515625" style="96" bestFit="1" customWidth="1"/>
    <col min="8963" max="8963" width="10" style="96" bestFit="1" customWidth="1"/>
    <col min="8964" max="8965" width="8.5703125" style="96" bestFit="1" customWidth="1"/>
    <col min="8966" max="8966" width="17.42578125" style="96" bestFit="1" customWidth="1"/>
    <col min="8967" max="8967" width="17.28515625" style="96" bestFit="1" customWidth="1"/>
    <col min="8968" max="8969" width="10.7109375" style="96" customWidth="1"/>
    <col min="8970" max="8971" width="10.7109375" style="96" bestFit="1" customWidth="1"/>
    <col min="8972" max="8972" width="10.7109375" style="96" customWidth="1"/>
    <col min="8973" max="8975" width="10.7109375" style="96" bestFit="1" customWidth="1"/>
    <col min="8976" max="8977" width="10.7109375" style="96" customWidth="1"/>
    <col min="8978" max="8979" width="10.7109375" style="96" bestFit="1" customWidth="1"/>
    <col min="8980" max="9216" width="9.140625" style="96"/>
    <col min="9217" max="9217" width="14.140625" style="96" customWidth="1"/>
    <col min="9218" max="9218" width="66.28515625" style="96" bestFit="1" customWidth="1"/>
    <col min="9219" max="9219" width="10" style="96" bestFit="1" customWidth="1"/>
    <col min="9220" max="9221" width="8.5703125" style="96" bestFit="1" customWidth="1"/>
    <col min="9222" max="9222" width="17.42578125" style="96" bestFit="1" customWidth="1"/>
    <col min="9223" max="9223" width="17.28515625" style="96" bestFit="1" customWidth="1"/>
    <col min="9224" max="9225" width="10.7109375" style="96" customWidth="1"/>
    <col min="9226" max="9227" width="10.7109375" style="96" bestFit="1" customWidth="1"/>
    <col min="9228" max="9228" width="10.7109375" style="96" customWidth="1"/>
    <col min="9229" max="9231" width="10.7109375" style="96" bestFit="1" customWidth="1"/>
    <col min="9232" max="9233" width="10.7109375" style="96" customWidth="1"/>
    <col min="9234" max="9235" width="10.7109375" style="96" bestFit="1" customWidth="1"/>
    <col min="9236" max="9472" width="9.140625" style="96"/>
    <col min="9473" max="9473" width="14.140625" style="96" customWidth="1"/>
    <col min="9474" max="9474" width="66.28515625" style="96" bestFit="1" customWidth="1"/>
    <col min="9475" max="9475" width="10" style="96" bestFit="1" customWidth="1"/>
    <col min="9476" max="9477" width="8.5703125" style="96" bestFit="1" customWidth="1"/>
    <col min="9478" max="9478" width="17.42578125" style="96" bestFit="1" customWidth="1"/>
    <col min="9479" max="9479" width="17.28515625" style="96" bestFit="1" customWidth="1"/>
    <col min="9480" max="9481" width="10.7109375" style="96" customWidth="1"/>
    <col min="9482" max="9483" width="10.7109375" style="96" bestFit="1" customWidth="1"/>
    <col min="9484" max="9484" width="10.7109375" style="96" customWidth="1"/>
    <col min="9485" max="9487" width="10.7109375" style="96" bestFit="1" customWidth="1"/>
    <col min="9488" max="9489" width="10.7109375" style="96" customWidth="1"/>
    <col min="9490" max="9491" width="10.7109375" style="96" bestFit="1" customWidth="1"/>
    <col min="9492" max="9728" width="9.140625" style="96"/>
    <col min="9729" max="9729" width="14.140625" style="96" customWidth="1"/>
    <col min="9730" max="9730" width="66.28515625" style="96" bestFit="1" customWidth="1"/>
    <col min="9731" max="9731" width="10" style="96" bestFit="1" customWidth="1"/>
    <col min="9732" max="9733" width="8.5703125" style="96" bestFit="1" customWidth="1"/>
    <col min="9734" max="9734" width="17.42578125" style="96" bestFit="1" customWidth="1"/>
    <col min="9735" max="9735" width="17.28515625" style="96" bestFit="1" customWidth="1"/>
    <col min="9736" max="9737" width="10.7109375" style="96" customWidth="1"/>
    <col min="9738" max="9739" width="10.7109375" style="96" bestFit="1" customWidth="1"/>
    <col min="9740" max="9740" width="10.7109375" style="96" customWidth="1"/>
    <col min="9741" max="9743" width="10.7109375" style="96" bestFit="1" customWidth="1"/>
    <col min="9744" max="9745" width="10.7109375" style="96" customWidth="1"/>
    <col min="9746" max="9747" width="10.7109375" style="96" bestFit="1" customWidth="1"/>
    <col min="9748" max="9984" width="9.140625" style="96"/>
    <col min="9985" max="9985" width="14.140625" style="96" customWidth="1"/>
    <col min="9986" max="9986" width="66.28515625" style="96" bestFit="1" customWidth="1"/>
    <col min="9987" max="9987" width="10" style="96" bestFit="1" customWidth="1"/>
    <col min="9988" max="9989" width="8.5703125" style="96" bestFit="1" customWidth="1"/>
    <col min="9990" max="9990" width="17.42578125" style="96" bestFit="1" customWidth="1"/>
    <col min="9991" max="9991" width="17.28515625" style="96" bestFit="1" customWidth="1"/>
    <col min="9992" max="9993" width="10.7109375" style="96" customWidth="1"/>
    <col min="9994" max="9995" width="10.7109375" style="96" bestFit="1" customWidth="1"/>
    <col min="9996" max="9996" width="10.7109375" style="96" customWidth="1"/>
    <col min="9997" max="9999" width="10.7109375" style="96" bestFit="1" customWidth="1"/>
    <col min="10000" max="10001" width="10.7109375" style="96" customWidth="1"/>
    <col min="10002" max="10003" width="10.7109375" style="96" bestFit="1" customWidth="1"/>
    <col min="10004" max="10240" width="9.140625" style="96"/>
    <col min="10241" max="10241" width="14.140625" style="96" customWidth="1"/>
    <col min="10242" max="10242" width="66.28515625" style="96" bestFit="1" customWidth="1"/>
    <col min="10243" max="10243" width="10" style="96" bestFit="1" customWidth="1"/>
    <col min="10244" max="10245" width="8.5703125" style="96" bestFit="1" customWidth="1"/>
    <col min="10246" max="10246" width="17.42578125" style="96" bestFit="1" customWidth="1"/>
    <col min="10247" max="10247" width="17.28515625" style="96" bestFit="1" customWidth="1"/>
    <col min="10248" max="10249" width="10.7109375" style="96" customWidth="1"/>
    <col min="10250" max="10251" width="10.7109375" style="96" bestFit="1" customWidth="1"/>
    <col min="10252" max="10252" width="10.7109375" style="96" customWidth="1"/>
    <col min="10253" max="10255" width="10.7109375" style="96" bestFit="1" customWidth="1"/>
    <col min="10256" max="10257" width="10.7109375" style="96" customWidth="1"/>
    <col min="10258" max="10259" width="10.7109375" style="96" bestFit="1" customWidth="1"/>
    <col min="10260" max="10496" width="9.140625" style="96"/>
    <col min="10497" max="10497" width="14.140625" style="96" customWidth="1"/>
    <col min="10498" max="10498" width="66.28515625" style="96" bestFit="1" customWidth="1"/>
    <col min="10499" max="10499" width="10" style="96" bestFit="1" customWidth="1"/>
    <col min="10500" max="10501" width="8.5703125" style="96" bestFit="1" customWidth="1"/>
    <col min="10502" max="10502" width="17.42578125" style="96" bestFit="1" customWidth="1"/>
    <col min="10503" max="10503" width="17.28515625" style="96" bestFit="1" customWidth="1"/>
    <col min="10504" max="10505" width="10.7109375" style="96" customWidth="1"/>
    <col min="10506" max="10507" width="10.7109375" style="96" bestFit="1" customWidth="1"/>
    <col min="10508" max="10508" width="10.7109375" style="96" customWidth="1"/>
    <col min="10509" max="10511" width="10.7109375" style="96" bestFit="1" customWidth="1"/>
    <col min="10512" max="10513" width="10.7109375" style="96" customWidth="1"/>
    <col min="10514" max="10515" width="10.7109375" style="96" bestFit="1" customWidth="1"/>
    <col min="10516" max="10752" width="9.140625" style="96"/>
    <col min="10753" max="10753" width="14.140625" style="96" customWidth="1"/>
    <col min="10754" max="10754" width="66.28515625" style="96" bestFit="1" customWidth="1"/>
    <col min="10755" max="10755" width="10" style="96" bestFit="1" customWidth="1"/>
    <col min="10756" max="10757" width="8.5703125" style="96" bestFit="1" customWidth="1"/>
    <col min="10758" max="10758" width="17.42578125" style="96" bestFit="1" customWidth="1"/>
    <col min="10759" max="10759" width="17.28515625" style="96" bestFit="1" customWidth="1"/>
    <col min="10760" max="10761" width="10.7109375" style="96" customWidth="1"/>
    <col min="10762" max="10763" width="10.7109375" style="96" bestFit="1" customWidth="1"/>
    <col min="10764" max="10764" width="10.7109375" style="96" customWidth="1"/>
    <col min="10765" max="10767" width="10.7109375" style="96" bestFit="1" customWidth="1"/>
    <col min="10768" max="10769" width="10.7109375" style="96" customWidth="1"/>
    <col min="10770" max="10771" width="10.7109375" style="96" bestFit="1" customWidth="1"/>
    <col min="10772" max="11008" width="9.140625" style="96"/>
    <col min="11009" max="11009" width="14.140625" style="96" customWidth="1"/>
    <col min="11010" max="11010" width="66.28515625" style="96" bestFit="1" customWidth="1"/>
    <col min="11011" max="11011" width="10" style="96" bestFit="1" customWidth="1"/>
    <col min="11012" max="11013" width="8.5703125" style="96" bestFit="1" customWidth="1"/>
    <col min="11014" max="11014" width="17.42578125" style="96" bestFit="1" customWidth="1"/>
    <col min="11015" max="11015" width="17.28515625" style="96" bestFit="1" customWidth="1"/>
    <col min="11016" max="11017" width="10.7109375" style="96" customWidth="1"/>
    <col min="11018" max="11019" width="10.7109375" style="96" bestFit="1" customWidth="1"/>
    <col min="11020" max="11020" width="10.7109375" style="96" customWidth="1"/>
    <col min="11021" max="11023" width="10.7109375" style="96" bestFit="1" customWidth="1"/>
    <col min="11024" max="11025" width="10.7109375" style="96" customWidth="1"/>
    <col min="11026" max="11027" width="10.7109375" style="96" bestFit="1" customWidth="1"/>
    <col min="11028" max="11264" width="9.140625" style="96"/>
    <col min="11265" max="11265" width="14.140625" style="96" customWidth="1"/>
    <col min="11266" max="11266" width="66.28515625" style="96" bestFit="1" customWidth="1"/>
    <col min="11267" max="11267" width="10" style="96" bestFit="1" customWidth="1"/>
    <col min="11268" max="11269" width="8.5703125" style="96" bestFit="1" customWidth="1"/>
    <col min="11270" max="11270" width="17.42578125" style="96" bestFit="1" customWidth="1"/>
    <col min="11271" max="11271" width="17.28515625" style="96" bestFit="1" customWidth="1"/>
    <col min="11272" max="11273" width="10.7109375" style="96" customWidth="1"/>
    <col min="11274" max="11275" width="10.7109375" style="96" bestFit="1" customWidth="1"/>
    <col min="11276" max="11276" width="10.7109375" style="96" customWidth="1"/>
    <col min="11277" max="11279" width="10.7109375" style="96" bestFit="1" customWidth="1"/>
    <col min="11280" max="11281" width="10.7109375" style="96" customWidth="1"/>
    <col min="11282" max="11283" width="10.7109375" style="96" bestFit="1" customWidth="1"/>
    <col min="11284" max="11520" width="9.140625" style="96"/>
    <col min="11521" max="11521" width="14.140625" style="96" customWidth="1"/>
    <col min="11522" max="11522" width="66.28515625" style="96" bestFit="1" customWidth="1"/>
    <col min="11523" max="11523" width="10" style="96" bestFit="1" customWidth="1"/>
    <col min="11524" max="11525" width="8.5703125" style="96" bestFit="1" customWidth="1"/>
    <col min="11526" max="11526" width="17.42578125" style="96" bestFit="1" customWidth="1"/>
    <col min="11527" max="11527" width="17.28515625" style="96" bestFit="1" customWidth="1"/>
    <col min="11528" max="11529" width="10.7109375" style="96" customWidth="1"/>
    <col min="11530" max="11531" width="10.7109375" style="96" bestFit="1" customWidth="1"/>
    <col min="11532" max="11532" width="10.7109375" style="96" customWidth="1"/>
    <col min="11533" max="11535" width="10.7109375" style="96" bestFit="1" customWidth="1"/>
    <col min="11536" max="11537" width="10.7109375" style="96" customWidth="1"/>
    <col min="11538" max="11539" width="10.7109375" style="96" bestFit="1" customWidth="1"/>
    <col min="11540" max="11776" width="9.140625" style="96"/>
    <col min="11777" max="11777" width="14.140625" style="96" customWidth="1"/>
    <col min="11778" max="11778" width="66.28515625" style="96" bestFit="1" customWidth="1"/>
    <col min="11779" max="11779" width="10" style="96" bestFit="1" customWidth="1"/>
    <col min="11780" max="11781" width="8.5703125" style="96" bestFit="1" customWidth="1"/>
    <col min="11782" max="11782" width="17.42578125" style="96" bestFit="1" customWidth="1"/>
    <col min="11783" max="11783" width="17.28515625" style="96" bestFit="1" customWidth="1"/>
    <col min="11784" max="11785" width="10.7109375" style="96" customWidth="1"/>
    <col min="11786" max="11787" width="10.7109375" style="96" bestFit="1" customWidth="1"/>
    <col min="11788" max="11788" width="10.7109375" style="96" customWidth="1"/>
    <col min="11789" max="11791" width="10.7109375" style="96" bestFit="1" customWidth="1"/>
    <col min="11792" max="11793" width="10.7109375" style="96" customWidth="1"/>
    <col min="11794" max="11795" width="10.7109375" style="96" bestFit="1" customWidth="1"/>
    <col min="11796" max="12032" width="9.140625" style="96"/>
    <col min="12033" max="12033" width="14.140625" style="96" customWidth="1"/>
    <col min="12034" max="12034" width="66.28515625" style="96" bestFit="1" customWidth="1"/>
    <col min="12035" max="12035" width="10" style="96" bestFit="1" customWidth="1"/>
    <col min="12036" max="12037" width="8.5703125" style="96" bestFit="1" customWidth="1"/>
    <col min="12038" max="12038" width="17.42578125" style="96" bestFit="1" customWidth="1"/>
    <col min="12039" max="12039" width="17.28515625" style="96" bestFit="1" customWidth="1"/>
    <col min="12040" max="12041" width="10.7109375" style="96" customWidth="1"/>
    <col min="12042" max="12043" width="10.7109375" style="96" bestFit="1" customWidth="1"/>
    <col min="12044" max="12044" width="10.7109375" style="96" customWidth="1"/>
    <col min="12045" max="12047" width="10.7109375" style="96" bestFit="1" customWidth="1"/>
    <col min="12048" max="12049" width="10.7109375" style="96" customWidth="1"/>
    <col min="12050" max="12051" width="10.7109375" style="96" bestFit="1" customWidth="1"/>
    <col min="12052" max="12288" width="9.140625" style="96"/>
    <col min="12289" max="12289" width="14.140625" style="96" customWidth="1"/>
    <col min="12290" max="12290" width="66.28515625" style="96" bestFit="1" customWidth="1"/>
    <col min="12291" max="12291" width="10" style="96" bestFit="1" customWidth="1"/>
    <col min="12292" max="12293" width="8.5703125" style="96" bestFit="1" customWidth="1"/>
    <col min="12294" max="12294" width="17.42578125" style="96" bestFit="1" customWidth="1"/>
    <col min="12295" max="12295" width="17.28515625" style="96" bestFit="1" customWidth="1"/>
    <col min="12296" max="12297" width="10.7109375" style="96" customWidth="1"/>
    <col min="12298" max="12299" width="10.7109375" style="96" bestFit="1" customWidth="1"/>
    <col min="12300" max="12300" width="10.7109375" style="96" customWidth="1"/>
    <col min="12301" max="12303" width="10.7109375" style="96" bestFit="1" customWidth="1"/>
    <col min="12304" max="12305" width="10.7109375" style="96" customWidth="1"/>
    <col min="12306" max="12307" width="10.7109375" style="96" bestFit="1" customWidth="1"/>
    <col min="12308" max="12544" width="9.140625" style="96"/>
    <col min="12545" max="12545" width="14.140625" style="96" customWidth="1"/>
    <col min="12546" max="12546" width="66.28515625" style="96" bestFit="1" customWidth="1"/>
    <col min="12547" max="12547" width="10" style="96" bestFit="1" customWidth="1"/>
    <col min="12548" max="12549" width="8.5703125" style="96" bestFit="1" customWidth="1"/>
    <col min="12550" max="12550" width="17.42578125" style="96" bestFit="1" customWidth="1"/>
    <col min="12551" max="12551" width="17.28515625" style="96" bestFit="1" customWidth="1"/>
    <col min="12552" max="12553" width="10.7109375" style="96" customWidth="1"/>
    <col min="12554" max="12555" width="10.7109375" style="96" bestFit="1" customWidth="1"/>
    <col min="12556" max="12556" width="10.7109375" style="96" customWidth="1"/>
    <col min="12557" max="12559" width="10.7109375" style="96" bestFit="1" customWidth="1"/>
    <col min="12560" max="12561" width="10.7109375" style="96" customWidth="1"/>
    <col min="12562" max="12563" width="10.7109375" style="96" bestFit="1" customWidth="1"/>
    <col min="12564" max="12800" width="9.140625" style="96"/>
    <col min="12801" max="12801" width="14.140625" style="96" customWidth="1"/>
    <col min="12802" max="12802" width="66.28515625" style="96" bestFit="1" customWidth="1"/>
    <col min="12803" max="12803" width="10" style="96" bestFit="1" customWidth="1"/>
    <col min="12804" max="12805" width="8.5703125" style="96" bestFit="1" customWidth="1"/>
    <col min="12806" max="12806" width="17.42578125" style="96" bestFit="1" customWidth="1"/>
    <col min="12807" max="12807" width="17.28515625" style="96" bestFit="1" customWidth="1"/>
    <col min="12808" max="12809" width="10.7109375" style="96" customWidth="1"/>
    <col min="12810" max="12811" width="10.7109375" style="96" bestFit="1" customWidth="1"/>
    <col min="12812" max="12812" width="10.7109375" style="96" customWidth="1"/>
    <col min="12813" max="12815" width="10.7109375" style="96" bestFit="1" customWidth="1"/>
    <col min="12816" max="12817" width="10.7109375" style="96" customWidth="1"/>
    <col min="12818" max="12819" width="10.7109375" style="96" bestFit="1" customWidth="1"/>
    <col min="12820" max="13056" width="9.140625" style="96"/>
    <col min="13057" max="13057" width="14.140625" style="96" customWidth="1"/>
    <col min="13058" max="13058" width="66.28515625" style="96" bestFit="1" customWidth="1"/>
    <col min="13059" max="13059" width="10" style="96" bestFit="1" customWidth="1"/>
    <col min="13060" max="13061" width="8.5703125" style="96" bestFit="1" customWidth="1"/>
    <col min="13062" max="13062" width="17.42578125" style="96" bestFit="1" customWidth="1"/>
    <col min="13063" max="13063" width="17.28515625" style="96" bestFit="1" customWidth="1"/>
    <col min="13064" max="13065" width="10.7109375" style="96" customWidth="1"/>
    <col min="13066" max="13067" width="10.7109375" style="96" bestFit="1" customWidth="1"/>
    <col min="13068" max="13068" width="10.7109375" style="96" customWidth="1"/>
    <col min="13069" max="13071" width="10.7109375" style="96" bestFit="1" customWidth="1"/>
    <col min="13072" max="13073" width="10.7109375" style="96" customWidth="1"/>
    <col min="13074" max="13075" width="10.7109375" style="96" bestFit="1" customWidth="1"/>
    <col min="13076" max="13312" width="9.140625" style="96"/>
    <col min="13313" max="13313" width="14.140625" style="96" customWidth="1"/>
    <col min="13314" max="13314" width="66.28515625" style="96" bestFit="1" customWidth="1"/>
    <col min="13315" max="13315" width="10" style="96" bestFit="1" customWidth="1"/>
    <col min="13316" max="13317" width="8.5703125" style="96" bestFit="1" customWidth="1"/>
    <col min="13318" max="13318" width="17.42578125" style="96" bestFit="1" customWidth="1"/>
    <col min="13319" max="13319" width="17.28515625" style="96" bestFit="1" customWidth="1"/>
    <col min="13320" max="13321" width="10.7109375" style="96" customWidth="1"/>
    <col min="13322" max="13323" width="10.7109375" style="96" bestFit="1" customWidth="1"/>
    <col min="13324" max="13324" width="10.7109375" style="96" customWidth="1"/>
    <col min="13325" max="13327" width="10.7109375" style="96" bestFit="1" customWidth="1"/>
    <col min="13328" max="13329" width="10.7109375" style="96" customWidth="1"/>
    <col min="13330" max="13331" width="10.7109375" style="96" bestFit="1" customWidth="1"/>
    <col min="13332" max="13568" width="9.140625" style="96"/>
    <col min="13569" max="13569" width="14.140625" style="96" customWidth="1"/>
    <col min="13570" max="13570" width="66.28515625" style="96" bestFit="1" customWidth="1"/>
    <col min="13571" max="13571" width="10" style="96" bestFit="1" customWidth="1"/>
    <col min="13572" max="13573" width="8.5703125" style="96" bestFit="1" customWidth="1"/>
    <col min="13574" max="13574" width="17.42578125" style="96" bestFit="1" customWidth="1"/>
    <col min="13575" max="13575" width="17.28515625" style="96" bestFit="1" customWidth="1"/>
    <col min="13576" max="13577" width="10.7109375" style="96" customWidth="1"/>
    <col min="13578" max="13579" width="10.7109375" style="96" bestFit="1" customWidth="1"/>
    <col min="13580" max="13580" width="10.7109375" style="96" customWidth="1"/>
    <col min="13581" max="13583" width="10.7109375" style="96" bestFit="1" customWidth="1"/>
    <col min="13584" max="13585" width="10.7109375" style="96" customWidth="1"/>
    <col min="13586" max="13587" width="10.7109375" style="96" bestFit="1" customWidth="1"/>
    <col min="13588" max="13824" width="9.140625" style="96"/>
    <col min="13825" max="13825" width="14.140625" style="96" customWidth="1"/>
    <col min="13826" max="13826" width="66.28515625" style="96" bestFit="1" customWidth="1"/>
    <col min="13827" max="13827" width="10" style="96" bestFit="1" customWidth="1"/>
    <col min="13828" max="13829" width="8.5703125" style="96" bestFit="1" customWidth="1"/>
    <col min="13830" max="13830" width="17.42578125" style="96" bestFit="1" customWidth="1"/>
    <col min="13831" max="13831" width="17.28515625" style="96" bestFit="1" customWidth="1"/>
    <col min="13832" max="13833" width="10.7109375" style="96" customWidth="1"/>
    <col min="13834" max="13835" width="10.7109375" style="96" bestFit="1" customWidth="1"/>
    <col min="13836" max="13836" width="10.7109375" style="96" customWidth="1"/>
    <col min="13837" max="13839" width="10.7109375" style="96" bestFit="1" customWidth="1"/>
    <col min="13840" max="13841" width="10.7109375" style="96" customWidth="1"/>
    <col min="13842" max="13843" width="10.7109375" style="96" bestFit="1" customWidth="1"/>
    <col min="13844" max="14080" width="9.140625" style="96"/>
    <col min="14081" max="14081" width="14.140625" style="96" customWidth="1"/>
    <col min="14082" max="14082" width="66.28515625" style="96" bestFit="1" customWidth="1"/>
    <col min="14083" max="14083" width="10" style="96" bestFit="1" customWidth="1"/>
    <col min="14084" max="14085" width="8.5703125" style="96" bestFit="1" customWidth="1"/>
    <col min="14086" max="14086" width="17.42578125" style="96" bestFit="1" customWidth="1"/>
    <col min="14087" max="14087" width="17.28515625" style="96" bestFit="1" customWidth="1"/>
    <col min="14088" max="14089" width="10.7109375" style="96" customWidth="1"/>
    <col min="14090" max="14091" width="10.7109375" style="96" bestFit="1" customWidth="1"/>
    <col min="14092" max="14092" width="10.7109375" style="96" customWidth="1"/>
    <col min="14093" max="14095" width="10.7109375" style="96" bestFit="1" customWidth="1"/>
    <col min="14096" max="14097" width="10.7109375" style="96" customWidth="1"/>
    <col min="14098" max="14099" width="10.7109375" style="96" bestFit="1" customWidth="1"/>
    <col min="14100" max="14336" width="9.140625" style="96"/>
    <col min="14337" max="14337" width="14.140625" style="96" customWidth="1"/>
    <col min="14338" max="14338" width="66.28515625" style="96" bestFit="1" customWidth="1"/>
    <col min="14339" max="14339" width="10" style="96" bestFit="1" customWidth="1"/>
    <col min="14340" max="14341" width="8.5703125" style="96" bestFit="1" customWidth="1"/>
    <col min="14342" max="14342" width="17.42578125" style="96" bestFit="1" customWidth="1"/>
    <col min="14343" max="14343" width="17.28515625" style="96" bestFit="1" customWidth="1"/>
    <col min="14344" max="14345" width="10.7109375" style="96" customWidth="1"/>
    <col min="14346" max="14347" width="10.7109375" style="96" bestFit="1" customWidth="1"/>
    <col min="14348" max="14348" width="10.7109375" style="96" customWidth="1"/>
    <col min="14349" max="14351" width="10.7109375" style="96" bestFit="1" customWidth="1"/>
    <col min="14352" max="14353" width="10.7109375" style="96" customWidth="1"/>
    <col min="14354" max="14355" width="10.7109375" style="96" bestFit="1" customWidth="1"/>
    <col min="14356" max="14592" width="9.140625" style="96"/>
    <col min="14593" max="14593" width="14.140625" style="96" customWidth="1"/>
    <col min="14594" max="14594" width="66.28515625" style="96" bestFit="1" customWidth="1"/>
    <col min="14595" max="14595" width="10" style="96" bestFit="1" customWidth="1"/>
    <col min="14596" max="14597" width="8.5703125" style="96" bestFit="1" customWidth="1"/>
    <col min="14598" max="14598" width="17.42578125" style="96" bestFit="1" customWidth="1"/>
    <col min="14599" max="14599" width="17.28515625" style="96" bestFit="1" customWidth="1"/>
    <col min="14600" max="14601" width="10.7109375" style="96" customWidth="1"/>
    <col min="14602" max="14603" width="10.7109375" style="96" bestFit="1" customWidth="1"/>
    <col min="14604" max="14604" width="10.7109375" style="96" customWidth="1"/>
    <col min="14605" max="14607" width="10.7109375" style="96" bestFit="1" customWidth="1"/>
    <col min="14608" max="14609" width="10.7109375" style="96" customWidth="1"/>
    <col min="14610" max="14611" width="10.7109375" style="96" bestFit="1" customWidth="1"/>
    <col min="14612" max="14848" width="9.140625" style="96"/>
    <col min="14849" max="14849" width="14.140625" style="96" customWidth="1"/>
    <col min="14850" max="14850" width="66.28515625" style="96" bestFit="1" customWidth="1"/>
    <col min="14851" max="14851" width="10" style="96" bestFit="1" customWidth="1"/>
    <col min="14852" max="14853" width="8.5703125" style="96" bestFit="1" customWidth="1"/>
    <col min="14854" max="14854" width="17.42578125" style="96" bestFit="1" customWidth="1"/>
    <col min="14855" max="14855" width="17.28515625" style="96" bestFit="1" customWidth="1"/>
    <col min="14856" max="14857" width="10.7109375" style="96" customWidth="1"/>
    <col min="14858" max="14859" width="10.7109375" style="96" bestFit="1" customWidth="1"/>
    <col min="14860" max="14860" width="10.7109375" style="96" customWidth="1"/>
    <col min="14861" max="14863" width="10.7109375" style="96" bestFit="1" customWidth="1"/>
    <col min="14864" max="14865" width="10.7109375" style="96" customWidth="1"/>
    <col min="14866" max="14867" width="10.7109375" style="96" bestFit="1" customWidth="1"/>
    <col min="14868" max="15104" width="9.140625" style="96"/>
    <col min="15105" max="15105" width="14.140625" style="96" customWidth="1"/>
    <col min="15106" max="15106" width="66.28515625" style="96" bestFit="1" customWidth="1"/>
    <col min="15107" max="15107" width="10" style="96" bestFit="1" customWidth="1"/>
    <col min="15108" max="15109" width="8.5703125" style="96" bestFit="1" customWidth="1"/>
    <col min="15110" max="15110" width="17.42578125" style="96" bestFit="1" customWidth="1"/>
    <col min="15111" max="15111" width="17.28515625" style="96" bestFit="1" customWidth="1"/>
    <col min="15112" max="15113" width="10.7109375" style="96" customWidth="1"/>
    <col min="15114" max="15115" width="10.7109375" style="96" bestFit="1" customWidth="1"/>
    <col min="15116" max="15116" width="10.7109375" style="96" customWidth="1"/>
    <col min="15117" max="15119" width="10.7109375" style="96" bestFit="1" customWidth="1"/>
    <col min="15120" max="15121" width="10.7109375" style="96" customWidth="1"/>
    <col min="15122" max="15123" width="10.7109375" style="96" bestFit="1" customWidth="1"/>
    <col min="15124" max="15360" width="9.140625" style="96"/>
    <col min="15361" max="15361" width="14.140625" style="96" customWidth="1"/>
    <col min="15362" max="15362" width="66.28515625" style="96" bestFit="1" customWidth="1"/>
    <col min="15363" max="15363" width="10" style="96" bestFit="1" customWidth="1"/>
    <col min="15364" max="15365" width="8.5703125" style="96" bestFit="1" customWidth="1"/>
    <col min="15366" max="15366" width="17.42578125" style="96" bestFit="1" customWidth="1"/>
    <col min="15367" max="15367" width="17.28515625" style="96" bestFit="1" customWidth="1"/>
    <col min="15368" max="15369" width="10.7109375" style="96" customWidth="1"/>
    <col min="15370" max="15371" width="10.7109375" style="96" bestFit="1" customWidth="1"/>
    <col min="15372" max="15372" width="10.7109375" style="96" customWidth="1"/>
    <col min="15373" max="15375" width="10.7109375" style="96" bestFit="1" customWidth="1"/>
    <col min="15376" max="15377" width="10.7109375" style="96" customWidth="1"/>
    <col min="15378" max="15379" width="10.7109375" style="96" bestFit="1" customWidth="1"/>
    <col min="15380" max="15616" width="9.140625" style="96"/>
    <col min="15617" max="15617" width="14.140625" style="96" customWidth="1"/>
    <col min="15618" max="15618" width="66.28515625" style="96" bestFit="1" customWidth="1"/>
    <col min="15619" max="15619" width="10" style="96" bestFit="1" customWidth="1"/>
    <col min="15620" max="15621" width="8.5703125" style="96" bestFit="1" customWidth="1"/>
    <col min="15622" max="15622" width="17.42578125" style="96" bestFit="1" customWidth="1"/>
    <col min="15623" max="15623" width="17.28515625" style="96" bestFit="1" customWidth="1"/>
    <col min="15624" max="15625" width="10.7109375" style="96" customWidth="1"/>
    <col min="15626" max="15627" width="10.7109375" style="96" bestFit="1" customWidth="1"/>
    <col min="15628" max="15628" width="10.7109375" style="96" customWidth="1"/>
    <col min="15629" max="15631" width="10.7109375" style="96" bestFit="1" customWidth="1"/>
    <col min="15632" max="15633" width="10.7109375" style="96" customWidth="1"/>
    <col min="15634" max="15635" width="10.7109375" style="96" bestFit="1" customWidth="1"/>
    <col min="15636" max="15872" width="9.140625" style="96"/>
    <col min="15873" max="15873" width="14.140625" style="96" customWidth="1"/>
    <col min="15874" max="15874" width="66.28515625" style="96" bestFit="1" customWidth="1"/>
    <col min="15875" max="15875" width="10" style="96" bestFit="1" customWidth="1"/>
    <col min="15876" max="15877" width="8.5703125" style="96" bestFit="1" customWidth="1"/>
    <col min="15878" max="15878" width="17.42578125" style="96" bestFit="1" customWidth="1"/>
    <col min="15879" max="15879" width="17.28515625" style="96" bestFit="1" customWidth="1"/>
    <col min="15880" max="15881" width="10.7109375" style="96" customWidth="1"/>
    <col min="15882" max="15883" width="10.7109375" style="96" bestFit="1" customWidth="1"/>
    <col min="15884" max="15884" width="10.7109375" style="96" customWidth="1"/>
    <col min="15885" max="15887" width="10.7109375" style="96" bestFit="1" customWidth="1"/>
    <col min="15888" max="15889" width="10.7109375" style="96" customWidth="1"/>
    <col min="15890" max="15891" width="10.7109375" style="96" bestFit="1" customWidth="1"/>
    <col min="15892" max="16128" width="9.140625" style="96"/>
    <col min="16129" max="16129" width="14.140625" style="96" customWidth="1"/>
    <col min="16130" max="16130" width="66.28515625" style="96" bestFit="1" customWidth="1"/>
    <col min="16131" max="16131" width="10" style="96" bestFit="1" customWidth="1"/>
    <col min="16132" max="16133" width="8.5703125" style="96" bestFit="1" customWidth="1"/>
    <col min="16134" max="16134" width="17.42578125" style="96" bestFit="1" customWidth="1"/>
    <col min="16135" max="16135" width="17.28515625" style="96" bestFit="1" customWidth="1"/>
    <col min="16136" max="16137" width="10.7109375" style="96" customWidth="1"/>
    <col min="16138" max="16139" width="10.7109375" style="96" bestFit="1" customWidth="1"/>
    <col min="16140" max="16140" width="10.7109375" style="96" customWidth="1"/>
    <col min="16141" max="16143" width="10.7109375" style="96" bestFit="1" customWidth="1"/>
    <col min="16144" max="16145" width="10.7109375" style="96" customWidth="1"/>
    <col min="16146" max="16147" width="10.7109375" style="96" bestFit="1" customWidth="1"/>
    <col min="16148" max="16384" width="9.140625" style="96"/>
  </cols>
  <sheetData>
    <row r="1" spans="1:33"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546"/>
      <c r="AD1" s="546"/>
      <c r="AE1" s="546"/>
      <c r="AF1" s="546"/>
      <c r="AG1" s="546"/>
    </row>
    <row r="2" spans="1:33" s="223" customFormat="1" ht="24.95"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1428"/>
      <c r="AC2" s="1428"/>
      <c r="AD2" s="1428"/>
      <c r="AE2" s="1428"/>
      <c r="AF2" s="1428"/>
      <c r="AG2" s="1428"/>
    </row>
    <row r="3" spans="1:33"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1426"/>
      <c r="AC3" s="1426"/>
      <c r="AD3" s="1426"/>
      <c r="AE3" s="1426"/>
      <c r="AF3" s="1426"/>
      <c r="AG3" s="1426"/>
    </row>
    <row r="4" spans="1:33" s="165" customFormat="1" ht="24" customHeight="1">
      <c r="B4" s="10" t="s">
        <v>510</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row>
    <row r="5" spans="1:33">
      <c r="A5" s="409"/>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E5" s="1429"/>
      <c r="AF5" s="1429"/>
      <c r="AG5" s="1429"/>
    </row>
    <row r="6" spans="1:33">
      <c r="A6" s="798"/>
      <c r="B6" s="798"/>
      <c r="C6" s="798"/>
      <c r="D6" s="798"/>
      <c r="E6" s="798"/>
      <c r="F6" s="798"/>
      <c r="G6" s="798"/>
      <c r="H6" s="798"/>
      <c r="I6" s="798"/>
      <c r="J6" s="798"/>
      <c r="K6" s="798"/>
      <c r="L6" s="798"/>
      <c r="M6" s="798"/>
      <c r="N6" s="798"/>
      <c r="O6" s="798"/>
      <c r="P6" s="798"/>
      <c r="Q6" s="798"/>
      <c r="R6" s="798"/>
      <c r="S6" s="798"/>
      <c r="T6" s="798"/>
      <c r="U6" s="798"/>
      <c r="V6" s="798"/>
      <c r="W6" s="798"/>
      <c r="X6" s="798"/>
      <c r="Y6" s="798"/>
      <c r="Z6" s="798"/>
      <c r="AA6" s="798"/>
      <c r="AE6" s="1429"/>
      <c r="AF6" s="1429"/>
      <c r="AG6" s="1429"/>
    </row>
    <row r="7" spans="1:33" ht="21.75" customHeight="1">
      <c r="A7" s="798"/>
      <c r="B7" s="4130" t="s">
        <v>59</v>
      </c>
      <c r="C7" s="4130"/>
      <c r="D7" s="4130"/>
      <c r="E7" s="4130"/>
      <c r="F7" s="4130"/>
      <c r="G7" s="4130"/>
      <c r="H7" s="798"/>
      <c r="I7" s="798"/>
      <c r="J7" s="798"/>
      <c r="K7" s="798"/>
      <c r="L7" s="798"/>
      <c r="M7" s="798"/>
      <c r="N7" s="798"/>
      <c r="O7" s="798"/>
      <c r="P7" s="798"/>
      <c r="Q7" s="798"/>
      <c r="R7" s="798"/>
      <c r="S7" s="798"/>
      <c r="T7" s="798"/>
      <c r="U7" s="798"/>
      <c r="V7" s="798"/>
      <c r="W7" s="798"/>
      <c r="X7" s="798"/>
      <c r="Y7" s="798"/>
      <c r="Z7" s="798"/>
      <c r="AA7" s="798"/>
      <c r="AE7" s="96"/>
      <c r="AF7" s="96"/>
      <c r="AG7" s="96"/>
    </row>
    <row r="8" spans="1:33" ht="21.75" customHeight="1">
      <c r="A8" s="798"/>
      <c r="B8" s="4131" t="s">
        <v>244</v>
      </c>
      <c r="C8" s="4131"/>
      <c r="D8" s="4131"/>
      <c r="E8" s="4131"/>
      <c r="F8" s="4131"/>
      <c r="G8" s="4131"/>
      <c r="H8" s="798"/>
      <c r="I8" s="798"/>
      <c r="J8" s="798"/>
      <c r="K8" s="798"/>
      <c r="L8" s="798"/>
      <c r="M8" s="798"/>
      <c r="N8" s="798"/>
      <c r="O8" s="798"/>
      <c r="P8" s="798"/>
      <c r="Q8" s="798"/>
      <c r="R8" s="798"/>
      <c r="S8" s="798"/>
      <c r="T8" s="798"/>
      <c r="U8" s="798"/>
      <c r="V8" s="798"/>
      <c r="W8" s="798"/>
      <c r="X8" s="798"/>
      <c r="Y8" s="798"/>
      <c r="Z8" s="798"/>
      <c r="AA8" s="798"/>
      <c r="AE8" s="96"/>
      <c r="AF8" s="96"/>
      <c r="AG8" s="96"/>
    </row>
    <row r="9" spans="1:33" ht="21.75" customHeight="1">
      <c r="A9" s="798"/>
      <c r="B9" s="4131" t="s">
        <v>506</v>
      </c>
      <c r="C9" s="4131"/>
      <c r="D9" s="4131"/>
      <c r="E9" s="4131"/>
      <c r="F9" s="4131"/>
      <c r="G9" s="4131"/>
      <c r="H9" s="798"/>
      <c r="I9" s="798"/>
      <c r="J9" s="798"/>
      <c r="K9" s="798"/>
      <c r="L9" s="798"/>
      <c r="M9" s="798"/>
      <c r="N9" s="798"/>
      <c r="O9" s="798"/>
      <c r="P9" s="798"/>
      <c r="Q9" s="798"/>
      <c r="R9" s="798"/>
      <c r="S9" s="798"/>
      <c r="T9" s="798"/>
      <c r="U9" s="798"/>
      <c r="V9" s="798"/>
      <c r="W9" s="798"/>
      <c r="X9" s="798"/>
      <c r="Y9" s="798"/>
      <c r="Z9" s="798"/>
      <c r="AA9" s="798"/>
      <c r="AE9" s="96"/>
      <c r="AF9" s="96"/>
      <c r="AG9" s="96"/>
    </row>
    <row r="10" spans="1:33" ht="21.75" customHeight="1">
      <c r="A10" s="798"/>
      <c r="B10" s="4129" t="s">
        <v>416</v>
      </c>
      <c r="C10" s="4109"/>
      <c r="D10" s="4109"/>
      <c r="E10" s="4109"/>
      <c r="F10" s="4109"/>
      <c r="G10" s="4109"/>
      <c r="H10" s="798"/>
      <c r="I10" s="798"/>
      <c r="J10" s="798"/>
      <c r="K10" s="798"/>
      <c r="L10" s="798"/>
      <c r="M10" s="798"/>
      <c r="N10" s="798"/>
      <c r="O10" s="798"/>
      <c r="P10" s="798"/>
      <c r="Q10" s="798"/>
      <c r="R10" s="798"/>
      <c r="S10" s="798"/>
      <c r="T10" s="798"/>
      <c r="U10" s="798"/>
      <c r="V10" s="798"/>
      <c r="W10" s="798"/>
      <c r="X10" s="798"/>
      <c r="Y10" s="798"/>
      <c r="Z10" s="798"/>
      <c r="AA10" s="798"/>
      <c r="AE10" s="96"/>
      <c r="AF10" s="96"/>
      <c r="AG10" s="96"/>
    </row>
    <row r="11" spans="1:33">
      <c r="A11" s="308"/>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E11" s="308"/>
      <c r="AF11" s="308"/>
      <c r="AG11" s="308"/>
    </row>
    <row r="12" spans="1:33" ht="13.5" thickBot="1">
      <c r="A12" s="308"/>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E12" s="308"/>
      <c r="AF12" s="308"/>
      <c r="AG12" s="308"/>
    </row>
    <row r="13" spans="1:33">
      <c r="A13" s="308"/>
      <c r="B13" s="988" t="s">
        <v>270</v>
      </c>
      <c r="C13" s="308"/>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E13" s="308"/>
      <c r="AF13" s="308"/>
      <c r="AG13" s="308"/>
    </row>
    <row r="14" spans="1:33" ht="25.5" customHeight="1" thickBot="1">
      <c r="A14" s="308"/>
      <c r="B14" s="1035"/>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E14" s="308"/>
      <c r="AF14" s="308"/>
      <c r="AG14" s="308"/>
    </row>
    <row r="15" spans="1:33" ht="13.5" thickBot="1">
      <c r="A15" s="308"/>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E15" s="308"/>
      <c r="AF15" s="308"/>
      <c r="AG15" s="308"/>
    </row>
    <row r="16" spans="1:33">
      <c r="A16" s="308"/>
      <c r="B16" s="988" t="s">
        <v>271</v>
      </c>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E16" s="308"/>
      <c r="AF16" s="308"/>
      <c r="AG16" s="308"/>
    </row>
    <row r="17" spans="1:134" ht="25.5" customHeight="1" thickBot="1">
      <c r="A17" s="308"/>
      <c r="B17" s="1035"/>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E17" s="308"/>
      <c r="AF17" s="308"/>
      <c r="AG17" s="308"/>
    </row>
    <row r="18" spans="1:134" ht="50.25" customHeight="1" thickBot="1">
      <c r="A18" s="308"/>
      <c r="B18" s="30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E18" s="308"/>
      <c r="AF18" s="308"/>
      <c r="AG18" s="308"/>
    </row>
    <row r="19" spans="1:134" s="1427" customFormat="1" ht="34.5" customHeight="1" thickBot="1">
      <c r="A19" s="1429"/>
      <c r="B19" s="972" t="s">
        <v>513</v>
      </c>
      <c r="C19" s="989"/>
      <c r="D19" s="989"/>
      <c r="E19" s="989"/>
      <c r="F19" s="989"/>
      <c r="G19" s="989"/>
      <c r="H19" s="989"/>
      <c r="I19" s="989"/>
      <c r="J19" s="990"/>
      <c r="K19" s="990"/>
      <c r="L19" s="990"/>
      <c r="M19" s="990"/>
      <c r="N19" s="990"/>
      <c r="O19" s="990"/>
      <c r="P19" s="990"/>
      <c r="Q19" s="990"/>
      <c r="R19" s="990"/>
      <c r="S19" s="990"/>
      <c r="T19" s="990"/>
      <c r="U19" s="990"/>
      <c r="V19" s="990"/>
      <c r="W19" s="990"/>
      <c r="X19" s="990"/>
      <c r="Y19" s="990"/>
      <c r="Z19" s="990"/>
      <c r="AA19" s="990"/>
      <c r="AE19" s="856" t="s">
        <v>681</v>
      </c>
      <c r="AF19" s="989"/>
      <c r="AG19" s="990"/>
    </row>
    <row r="20" spans="1:134" s="94" customFormat="1" ht="24" customHeight="1" thickBot="1">
      <c r="A20" s="308"/>
      <c r="B20" s="858" t="s">
        <v>507</v>
      </c>
      <c r="C20" s="859"/>
      <c r="D20" s="859"/>
      <c r="E20" s="859"/>
      <c r="F20" s="859"/>
      <c r="G20" s="859"/>
      <c r="H20" s="859"/>
      <c r="I20" s="859"/>
      <c r="J20" s="859"/>
      <c r="K20" s="859"/>
      <c r="L20" s="859"/>
      <c r="M20" s="859"/>
      <c r="N20" s="859"/>
      <c r="O20" s="859"/>
      <c r="P20" s="859"/>
      <c r="Q20" s="859"/>
      <c r="R20" s="859"/>
      <c r="S20" s="859"/>
      <c r="T20" s="859"/>
      <c r="U20" s="859"/>
      <c r="V20" s="859"/>
      <c r="W20" s="859"/>
      <c r="X20" s="859"/>
      <c r="Y20" s="859"/>
      <c r="Z20" s="859"/>
      <c r="AA20" s="860"/>
      <c r="AB20" s="1427"/>
      <c r="AC20" s="1427"/>
      <c r="AD20" s="1427"/>
      <c r="AE20" s="858"/>
      <c r="AF20" s="859"/>
      <c r="AG20" s="860"/>
      <c r="AH20"/>
      <c r="AI20"/>
      <c r="AJ20"/>
      <c r="AK20"/>
      <c r="DE20" s="1427"/>
      <c r="DF20" s="1427"/>
      <c r="DG20" s="1427"/>
      <c r="DH20" s="1427"/>
      <c r="DI20" s="1427"/>
      <c r="DJ20" s="1427"/>
      <c r="DK20" s="1427"/>
      <c r="DL20" s="1427"/>
      <c r="DM20" s="1427"/>
      <c r="DN20" s="1427"/>
      <c r="DO20" s="1427"/>
      <c r="DP20" s="1427"/>
      <c r="DQ20" s="1427"/>
      <c r="DR20" s="1427"/>
      <c r="DS20" s="1427"/>
      <c r="DT20" s="1427"/>
      <c r="DU20" s="1427"/>
      <c r="DV20" s="1427"/>
      <c r="DW20" s="1427"/>
      <c r="DX20" s="1427"/>
      <c r="DY20" s="1427"/>
      <c r="DZ20" s="1427"/>
      <c r="EA20" s="1427"/>
      <c r="EB20" s="1427"/>
      <c r="EC20" s="1427"/>
      <c r="ED20" s="1427"/>
    </row>
    <row r="21" spans="1:134" ht="20.25" customHeight="1">
      <c r="A21" s="798"/>
      <c r="B21" s="4134"/>
      <c r="C21" s="4132" t="s">
        <v>37</v>
      </c>
      <c r="D21" s="4133"/>
      <c r="E21" s="4133"/>
      <c r="F21" s="4133"/>
      <c r="G21" s="4133"/>
      <c r="H21" s="4141" t="s">
        <v>73</v>
      </c>
      <c r="I21" s="4141"/>
      <c r="J21" s="4141"/>
      <c r="K21" s="4141"/>
      <c r="L21" s="4141"/>
      <c r="M21" s="4142" t="s">
        <v>272</v>
      </c>
      <c r="N21" s="4142"/>
      <c r="O21" s="4142"/>
      <c r="P21" s="4142"/>
      <c r="Q21" s="4142"/>
      <c r="R21" s="4142"/>
      <c r="S21" s="4142"/>
      <c r="T21" s="4142"/>
      <c r="U21" s="4142"/>
      <c r="V21" s="4142"/>
      <c r="W21" s="4142"/>
      <c r="X21" s="4142"/>
      <c r="Y21" s="4142"/>
      <c r="Z21" s="4142"/>
      <c r="AA21" s="4143"/>
      <c r="AE21" s="4126" t="s">
        <v>37</v>
      </c>
      <c r="AF21" s="4127"/>
      <c r="AG21" s="4128"/>
      <c r="AH21"/>
      <c r="AI21"/>
      <c r="AJ21"/>
      <c r="AK21"/>
    </row>
    <row r="22" spans="1:134" customFormat="1" ht="20.25" customHeight="1">
      <c r="B22" s="4135"/>
      <c r="C22" s="4123" t="s">
        <v>579</v>
      </c>
      <c r="D22" s="4124"/>
      <c r="E22" s="4137"/>
      <c r="F22" s="4138" t="str">
        <f>CONCATENATE("$0's, real ",dms_DollarReal)</f>
        <v>$0's, real December 2017</v>
      </c>
      <c r="G22" s="4139"/>
      <c r="H22" s="4139"/>
      <c r="I22" s="4139"/>
      <c r="J22" s="4139"/>
      <c r="K22" s="4139"/>
      <c r="L22" s="4139"/>
      <c r="M22" s="4139"/>
      <c r="N22" s="4139"/>
      <c r="O22" s="4139"/>
      <c r="P22" s="4139"/>
      <c r="Q22" s="4139"/>
      <c r="R22" s="4139"/>
      <c r="S22" s="4139"/>
      <c r="T22" s="4139"/>
      <c r="U22" s="4139"/>
      <c r="V22" s="4139"/>
      <c r="W22" s="4139"/>
      <c r="X22" s="4139"/>
      <c r="Y22" s="4139"/>
      <c r="Z22" s="4139"/>
      <c r="AA22" s="4140"/>
      <c r="AE22" s="4123" t="str">
        <f>CONCATENATE("$0's, real ",dms_DollarReal)</f>
        <v>$0's, real December 2017</v>
      </c>
      <c r="AF22" s="4124"/>
      <c r="AG22" s="4125"/>
    </row>
    <row r="23" spans="1:134" customFormat="1" ht="20.25" customHeight="1">
      <c r="B23" s="4135"/>
      <c r="C23" s="4123" t="s">
        <v>54</v>
      </c>
      <c r="D23" s="4124"/>
      <c r="E23" s="4137"/>
      <c r="F23" s="4138" t="s">
        <v>411</v>
      </c>
      <c r="G23" s="4139"/>
      <c r="H23" s="4139"/>
      <c r="I23" s="4139"/>
      <c r="J23" s="4139"/>
      <c r="K23" s="4139"/>
      <c r="L23" s="4139"/>
      <c r="M23" s="4139"/>
      <c r="N23" s="4139"/>
      <c r="O23" s="4139"/>
      <c r="P23" s="4139"/>
      <c r="Q23" s="4139"/>
      <c r="R23" s="4139"/>
      <c r="S23" s="4139"/>
      <c r="T23" s="4139"/>
      <c r="U23" s="4139"/>
      <c r="V23" s="4139"/>
      <c r="W23" s="4139"/>
      <c r="X23" s="4139"/>
      <c r="Y23" s="4139"/>
      <c r="Z23" s="4139"/>
      <c r="AA23" s="4140"/>
      <c r="AE23" s="4123" t="s">
        <v>54</v>
      </c>
      <c r="AF23" s="4124"/>
      <c r="AG23" s="4125"/>
    </row>
    <row r="24" spans="1:134" customFormat="1" ht="20.25" customHeight="1" thickBot="1">
      <c r="B24" s="4135"/>
      <c r="C24" s="985">
        <f>CRCP_y1</f>
        <v>2013</v>
      </c>
      <c r="D24" s="985">
        <f>CRCP_y2</f>
        <v>2014</v>
      </c>
      <c r="E24" s="985">
        <f>CRCP_y3</f>
        <v>2015</v>
      </c>
      <c r="F24" s="985">
        <f>CRCP_y4</f>
        <v>2016</v>
      </c>
      <c r="G24" s="985">
        <f>CRCP_y5</f>
        <v>2017</v>
      </c>
      <c r="H24" s="984" t="str">
        <f>CONCATENATE(IF(dms_RPT="Calendar",G24+1,(LEFT(G24,4)+1&amp;"-"&amp;IF(MID(G24,6,2)&lt;"09","0"&amp;RIGHT(G24,1)+1,RIGHT(G24,2)+1))))</f>
        <v>2018</v>
      </c>
      <c r="I24" s="984" t="str">
        <f t="shared" ref="I24:AA24" si="0">CONCATENATE(IF(dms_RPT="Calendar",H24+1,(LEFT(H24,4)+1&amp;"-"&amp;IF(MID(H24,6,2)&lt;"09","0"&amp;RIGHT(H24,1)+1,RIGHT(H24,2)+1))))</f>
        <v>2019</v>
      </c>
      <c r="J24" s="984" t="str">
        <f t="shared" si="0"/>
        <v>2020</v>
      </c>
      <c r="K24" s="984" t="str">
        <f t="shared" si="0"/>
        <v>2021</v>
      </c>
      <c r="L24" s="984" t="str">
        <f t="shared" si="0"/>
        <v>2022</v>
      </c>
      <c r="M24" s="985" t="str">
        <f t="shared" si="0"/>
        <v>2023</v>
      </c>
      <c r="N24" s="985" t="str">
        <f t="shared" si="0"/>
        <v>2024</v>
      </c>
      <c r="O24" s="985" t="str">
        <f t="shared" si="0"/>
        <v>2025</v>
      </c>
      <c r="P24" s="985" t="str">
        <f t="shared" si="0"/>
        <v>2026</v>
      </c>
      <c r="Q24" s="985" t="str">
        <f t="shared" si="0"/>
        <v>2027</v>
      </c>
      <c r="R24" s="985" t="str">
        <f t="shared" si="0"/>
        <v>2028</v>
      </c>
      <c r="S24" s="985" t="str">
        <f t="shared" si="0"/>
        <v>2029</v>
      </c>
      <c r="T24" s="985" t="str">
        <f t="shared" si="0"/>
        <v>2030</v>
      </c>
      <c r="U24" s="985" t="str">
        <f t="shared" si="0"/>
        <v>2031</v>
      </c>
      <c r="V24" s="985" t="str">
        <f t="shared" si="0"/>
        <v>2032</v>
      </c>
      <c r="W24" s="985" t="str">
        <f t="shared" si="0"/>
        <v>2033</v>
      </c>
      <c r="X24" s="985" t="str">
        <f t="shared" si="0"/>
        <v>2034</v>
      </c>
      <c r="Y24" s="985" t="str">
        <f t="shared" si="0"/>
        <v>2035</v>
      </c>
      <c r="Z24" s="985" t="str">
        <f t="shared" si="0"/>
        <v>2036</v>
      </c>
      <c r="AA24" s="985" t="str">
        <f t="shared" si="0"/>
        <v>2037</v>
      </c>
      <c r="AE24" s="2290">
        <f>CRCP_y1</f>
        <v>2013</v>
      </c>
      <c r="AF24" s="985">
        <f>CRCP_y2</f>
        <v>2014</v>
      </c>
      <c r="AG24" s="1470">
        <f>CRCP_y3</f>
        <v>2015</v>
      </c>
    </row>
    <row r="25" spans="1:134" s="1427" customFormat="1">
      <c r="A25" s="1429"/>
      <c r="B25" s="1945" t="e">
        <f>'27. Customer numbers'!#REF!</f>
        <v>#REF!</v>
      </c>
      <c r="C25" s="888"/>
      <c r="D25" s="882"/>
      <c r="E25" s="882"/>
      <c r="F25" s="882"/>
      <c r="G25" s="882"/>
      <c r="H25" s="1925"/>
      <c r="I25" s="882"/>
      <c r="J25" s="882"/>
      <c r="K25" s="882"/>
      <c r="L25" s="883"/>
      <c r="M25" s="1925"/>
      <c r="N25" s="882"/>
      <c r="O25" s="882"/>
      <c r="P25" s="882"/>
      <c r="Q25" s="882"/>
      <c r="R25" s="882"/>
      <c r="S25" s="882"/>
      <c r="T25" s="882"/>
      <c r="U25" s="882"/>
      <c r="V25" s="882"/>
      <c r="W25" s="882"/>
      <c r="X25" s="882"/>
      <c r="Y25" s="882"/>
      <c r="Z25" s="882"/>
      <c r="AA25" s="883"/>
      <c r="AE25" s="2214"/>
      <c r="AF25" s="2215"/>
      <c r="AG25" s="2216"/>
    </row>
    <row r="26" spans="1:134" s="1427" customFormat="1">
      <c r="A26" s="1429"/>
      <c r="B26" s="1946" t="e">
        <f>'27. Customer numbers'!#REF!</f>
        <v>#REF!</v>
      </c>
      <c r="C26" s="880"/>
      <c r="D26" s="780"/>
      <c r="E26" s="780"/>
      <c r="F26" s="780"/>
      <c r="G26" s="780"/>
      <c r="H26" s="823"/>
      <c r="I26" s="780"/>
      <c r="J26" s="780"/>
      <c r="K26" s="780"/>
      <c r="L26" s="884"/>
      <c r="M26" s="823"/>
      <c r="N26" s="780"/>
      <c r="O26" s="780"/>
      <c r="P26" s="780"/>
      <c r="Q26" s="780"/>
      <c r="R26" s="780"/>
      <c r="S26" s="780"/>
      <c r="T26" s="780"/>
      <c r="U26" s="780"/>
      <c r="V26" s="780"/>
      <c r="W26" s="780"/>
      <c r="X26" s="780"/>
      <c r="Y26" s="780"/>
      <c r="Z26" s="780"/>
      <c r="AA26" s="884"/>
      <c r="AE26" s="2217"/>
      <c r="AF26" s="2218"/>
      <c r="AG26" s="2219"/>
    </row>
    <row r="27" spans="1:134" s="1427" customFormat="1">
      <c r="A27" s="1429"/>
      <c r="B27" s="1946" t="e">
        <f>'27. Customer numbers'!#REF!</f>
        <v>#REF!</v>
      </c>
      <c r="C27" s="880"/>
      <c r="D27" s="780"/>
      <c r="E27" s="780"/>
      <c r="F27" s="780"/>
      <c r="G27" s="780"/>
      <c r="H27" s="823"/>
      <c r="I27" s="780"/>
      <c r="J27" s="780"/>
      <c r="K27" s="780"/>
      <c r="L27" s="884"/>
      <c r="M27" s="823"/>
      <c r="N27" s="780"/>
      <c r="O27" s="780"/>
      <c r="P27" s="780"/>
      <c r="Q27" s="780"/>
      <c r="R27" s="780"/>
      <c r="S27" s="780"/>
      <c r="T27" s="780"/>
      <c r="U27" s="780"/>
      <c r="V27" s="780"/>
      <c r="W27" s="780"/>
      <c r="X27" s="780"/>
      <c r="Y27" s="780"/>
      <c r="Z27" s="780"/>
      <c r="AA27" s="884"/>
      <c r="AE27" s="2217"/>
      <c r="AF27" s="2218"/>
      <c r="AG27" s="2219"/>
    </row>
    <row r="28" spans="1:134" s="1427" customFormat="1">
      <c r="A28" s="1429"/>
      <c r="B28" s="1948" t="e">
        <f>'27. Customer numbers'!#REF!</f>
        <v>#REF!</v>
      </c>
      <c r="C28" s="1931"/>
      <c r="D28" s="1929"/>
      <c r="E28" s="1929"/>
      <c r="F28" s="1929"/>
      <c r="G28" s="1929"/>
      <c r="H28" s="1928"/>
      <c r="I28" s="1929"/>
      <c r="J28" s="1929"/>
      <c r="K28" s="1929"/>
      <c r="L28" s="1930"/>
      <c r="M28" s="1928"/>
      <c r="N28" s="1929"/>
      <c r="O28" s="1929"/>
      <c r="P28" s="1929"/>
      <c r="Q28" s="1929"/>
      <c r="R28" s="1929"/>
      <c r="S28" s="1929"/>
      <c r="T28" s="1929"/>
      <c r="U28" s="1929"/>
      <c r="V28" s="1929"/>
      <c r="W28" s="1929"/>
      <c r="X28" s="1929"/>
      <c r="Y28" s="1929"/>
      <c r="Z28" s="1929"/>
      <c r="AA28" s="1930"/>
      <c r="AE28" s="2291"/>
      <c r="AF28" s="2292"/>
      <c r="AG28" s="2293"/>
    </row>
    <row r="29" spans="1:134">
      <c r="A29" s="798"/>
      <c r="B29" s="1949" t="e">
        <f>'27. Customer numbers'!#REF!</f>
        <v>#REF!</v>
      </c>
      <c r="C29" s="1950"/>
      <c r="D29" s="1951"/>
      <c r="E29" s="1951"/>
      <c r="F29" s="1951"/>
      <c r="G29" s="1951"/>
      <c r="H29" s="1952"/>
      <c r="I29" s="1951"/>
      <c r="J29" s="1951"/>
      <c r="K29" s="1951"/>
      <c r="L29" s="1953"/>
      <c r="M29" s="1952"/>
      <c r="N29" s="1951"/>
      <c r="O29" s="1951"/>
      <c r="P29" s="1951"/>
      <c r="Q29" s="1951"/>
      <c r="R29" s="1951"/>
      <c r="S29" s="1951"/>
      <c r="T29" s="1951"/>
      <c r="U29" s="1951"/>
      <c r="V29" s="1951"/>
      <c r="W29" s="1951"/>
      <c r="X29" s="1951"/>
      <c r="Y29" s="1951"/>
      <c r="Z29" s="1951"/>
      <c r="AA29" s="1953"/>
      <c r="AE29" s="2294"/>
      <c r="AF29" s="2295"/>
      <c r="AG29" s="2296"/>
    </row>
    <row r="30" spans="1:134">
      <c r="A30" s="798"/>
      <c r="B30" s="1946" t="e">
        <f>'27. Customer numbers'!#REF!</f>
        <v>#REF!</v>
      </c>
      <c r="C30" s="880"/>
      <c r="D30" s="780"/>
      <c r="E30" s="780"/>
      <c r="F30" s="780"/>
      <c r="G30" s="780"/>
      <c r="H30" s="823"/>
      <c r="I30" s="780"/>
      <c r="J30" s="780"/>
      <c r="K30" s="780"/>
      <c r="L30" s="884"/>
      <c r="M30" s="823"/>
      <c r="N30" s="780"/>
      <c r="O30" s="780"/>
      <c r="P30" s="780"/>
      <c r="Q30" s="780"/>
      <c r="R30" s="780"/>
      <c r="S30" s="780"/>
      <c r="T30" s="780"/>
      <c r="U30" s="780"/>
      <c r="V30" s="780"/>
      <c r="W30" s="780"/>
      <c r="X30" s="780"/>
      <c r="Y30" s="780"/>
      <c r="Z30" s="780"/>
      <c r="AA30" s="884"/>
      <c r="AE30" s="2217"/>
      <c r="AF30" s="2218"/>
      <c r="AG30" s="2219"/>
    </row>
    <row r="31" spans="1:134">
      <c r="A31" s="798"/>
      <c r="B31" s="1946" t="e">
        <f>'27. Customer numbers'!#REF!</f>
        <v>#REF!</v>
      </c>
      <c r="C31" s="880"/>
      <c r="D31" s="780"/>
      <c r="E31" s="780"/>
      <c r="F31" s="780"/>
      <c r="G31" s="780"/>
      <c r="H31" s="823"/>
      <c r="I31" s="780"/>
      <c r="J31" s="780"/>
      <c r="K31" s="780"/>
      <c r="L31" s="884"/>
      <c r="M31" s="823"/>
      <c r="N31" s="780"/>
      <c r="O31" s="780"/>
      <c r="P31" s="780"/>
      <c r="Q31" s="780"/>
      <c r="R31" s="780"/>
      <c r="S31" s="780"/>
      <c r="T31" s="780"/>
      <c r="U31" s="780"/>
      <c r="V31" s="780"/>
      <c r="W31" s="780"/>
      <c r="X31" s="780"/>
      <c r="Y31" s="780"/>
      <c r="Z31" s="780"/>
      <c r="AA31" s="884"/>
      <c r="AE31" s="2217"/>
      <c r="AF31" s="2218"/>
      <c r="AG31" s="2219"/>
    </row>
    <row r="32" spans="1:134" s="1427" customFormat="1">
      <c r="A32" s="1429"/>
      <c r="B32" s="1948" t="e">
        <f>'27. Customer numbers'!#REF!</f>
        <v>#REF!</v>
      </c>
      <c r="C32" s="1931"/>
      <c r="D32" s="1929"/>
      <c r="E32" s="1929"/>
      <c r="F32" s="1929"/>
      <c r="G32" s="1929"/>
      <c r="H32" s="1928"/>
      <c r="I32" s="1929"/>
      <c r="J32" s="1929"/>
      <c r="K32" s="1929"/>
      <c r="L32" s="1930"/>
      <c r="M32" s="1928"/>
      <c r="N32" s="1929"/>
      <c r="O32" s="1929"/>
      <c r="P32" s="1929"/>
      <c r="Q32" s="1929"/>
      <c r="R32" s="1929"/>
      <c r="S32" s="1929"/>
      <c r="T32" s="1929"/>
      <c r="U32" s="1929"/>
      <c r="V32" s="1929"/>
      <c r="W32" s="1929"/>
      <c r="X32" s="1929"/>
      <c r="Y32" s="1929"/>
      <c r="Z32" s="1929"/>
      <c r="AA32" s="1930"/>
      <c r="AE32" s="2291"/>
      <c r="AF32" s="2292"/>
      <c r="AG32" s="2293"/>
    </row>
    <row r="33" spans="1:134">
      <c r="A33" s="798"/>
      <c r="B33" s="1947" t="s">
        <v>670</v>
      </c>
      <c r="C33" s="1944"/>
      <c r="D33" s="1160"/>
      <c r="E33" s="1160"/>
      <c r="F33" s="1160"/>
      <c r="G33" s="1160"/>
      <c r="H33" s="1159"/>
      <c r="I33" s="1160"/>
      <c r="J33" s="1160"/>
      <c r="K33" s="1160"/>
      <c r="L33" s="1161"/>
      <c r="M33" s="1159"/>
      <c r="N33" s="1160"/>
      <c r="O33" s="1160"/>
      <c r="P33" s="1160"/>
      <c r="Q33" s="1160"/>
      <c r="R33" s="1160"/>
      <c r="S33" s="1160"/>
      <c r="T33" s="1160"/>
      <c r="U33" s="1160"/>
      <c r="V33" s="1160"/>
      <c r="W33" s="1160"/>
      <c r="X33" s="1160"/>
      <c r="Y33" s="1160"/>
      <c r="Z33" s="1160"/>
      <c r="AA33" s="1161"/>
      <c r="AE33" s="2297"/>
      <c r="AF33" s="2298"/>
      <c r="AG33" s="2299"/>
    </row>
    <row r="34" spans="1:134">
      <c r="A34" s="798"/>
      <c r="B34" s="1043" t="s">
        <v>217</v>
      </c>
      <c r="C34" s="1044">
        <f t="shared" ref="C34:AA34" si="1">SUM(C29:C33)</f>
        <v>0</v>
      </c>
      <c r="D34" s="1045">
        <f t="shared" si="1"/>
        <v>0</v>
      </c>
      <c r="E34" s="1045">
        <f t="shared" si="1"/>
        <v>0</v>
      </c>
      <c r="F34" s="1045">
        <f t="shared" si="1"/>
        <v>0</v>
      </c>
      <c r="G34" s="1045">
        <f t="shared" si="1"/>
        <v>0</v>
      </c>
      <c r="H34" s="1044">
        <f t="shared" si="1"/>
        <v>0</v>
      </c>
      <c r="I34" s="1045">
        <f t="shared" si="1"/>
        <v>0</v>
      </c>
      <c r="J34" s="1045">
        <f t="shared" si="1"/>
        <v>0</v>
      </c>
      <c r="K34" s="1045">
        <f t="shared" si="1"/>
        <v>0</v>
      </c>
      <c r="L34" s="1046">
        <f t="shared" si="1"/>
        <v>0</v>
      </c>
      <c r="M34" s="1044">
        <f t="shared" si="1"/>
        <v>0</v>
      </c>
      <c r="N34" s="1045">
        <f t="shared" si="1"/>
        <v>0</v>
      </c>
      <c r="O34" s="1045">
        <f t="shared" si="1"/>
        <v>0</v>
      </c>
      <c r="P34" s="1045">
        <f t="shared" si="1"/>
        <v>0</v>
      </c>
      <c r="Q34" s="1045">
        <f t="shared" si="1"/>
        <v>0</v>
      </c>
      <c r="R34" s="1045">
        <f t="shared" si="1"/>
        <v>0</v>
      </c>
      <c r="S34" s="1045">
        <f t="shared" si="1"/>
        <v>0</v>
      </c>
      <c r="T34" s="1045">
        <f t="shared" si="1"/>
        <v>0</v>
      </c>
      <c r="U34" s="1045">
        <f t="shared" si="1"/>
        <v>0</v>
      </c>
      <c r="V34" s="1045">
        <f t="shared" si="1"/>
        <v>0</v>
      </c>
      <c r="W34" s="1045">
        <f t="shared" si="1"/>
        <v>0</v>
      </c>
      <c r="X34" s="1045">
        <f t="shared" si="1"/>
        <v>0</v>
      </c>
      <c r="Y34" s="1045">
        <f t="shared" si="1"/>
        <v>0</v>
      </c>
      <c r="Z34" s="1045">
        <f t="shared" si="1"/>
        <v>0</v>
      </c>
      <c r="AA34" s="1046">
        <f t="shared" si="1"/>
        <v>0</v>
      </c>
      <c r="AE34" s="1044">
        <f t="shared" ref="AE34:AG34" si="2">SUM(AE29:AE33)</f>
        <v>0</v>
      </c>
      <c r="AF34" s="1045">
        <f t="shared" si="2"/>
        <v>0</v>
      </c>
      <c r="AG34" s="1046">
        <f t="shared" si="2"/>
        <v>0</v>
      </c>
    </row>
    <row r="35" spans="1:134" ht="18.75" customHeight="1" thickBot="1">
      <c r="A35" s="798"/>
      <c r="B35" s="1042" t="s">
        <v>218</v>
      </c>
      <c r="C35" s="1039"/>
      <c r="D35" s="1040"/>
      <c r="E35" s="1040"/>
      <c r="F35" s="1040"/>
      <c r="G35" s="1040"/>
      <c r="H35" s="1039"/>
      <c r="I35" s="1040"/>
      <c r="J35" s="1040"/>
      <c r="K35" s="1040"/>
      <c r="L35" s="1047"/>
      <c r="M35" s="1039"/>
      <c r="N35" s="1040"/>
      <c r="O35" s="1040"/>
      <c r="P35" s="1040"/>
      <c r="Q35" s="1040"/>
      <c r="R35" s="1040"/>
      <c r="S35" s="1040"/>
      <c r="T35" s="1040"/>
      <c r="U35" s="1040"/>
      <c r="V35" s="1040"/>
      <c r="W35" s="1040"/>
      <c r="X35" s="1040"/>
      <c r="Y35" s="1040"/>
      <c r="Z35" s="1040"/>
      <c r="AA35" s="1047"/>
      <c r="AE35" s="2300"/>
      <c r="AF35" s="2301"/>
      <c r="AG35" s="2302"/>
    </row>
    <row r="36" spans="1:134" ht="36" customHeight="1" thickBot="1">
      <c r="A36" s="798"/>
      <c r="B36" s="1723" t="s">
        <v>125</v>
      </c>
      <c r="C36" s="1054"/>
      <c r="D36" s="1031"/>
      <c r="E36" s="1031"/>
      <c r="F36" s="1031"/>
      <c r="G36" s="1031"/>
      <c r="H36" s="1031"/>
      <c r="I36" s="1031"/>
      <c r="J36" s="1031"/>
      <c r="K36" s="1031"/>
      <c r="L36" s="1031"/>
      <c r="M36" s="1031"/>
      <c r="N36" s="1031"/>
      <c r="O36" s="1031"/>
      <c r="P36" s="1031"/>
      <c r="Q36" s="1031"/>
      <c r="R36" s="1031"/>
      <c r="S36" s="1031"/>
      <c r="T36" s="1031"/>
      <c r="U36" s="1031"/>
      <c r="V36" s="1031"/>
      <c r="W36" s="1031"/>
      <c r="X36" s="1031"/>
      <c r="Y36" s="1031"/>
      <c r="Z36" s="1031"/>
      <c r="AA36" s="1032"/>
      <c r="AE36" s="2157"/>
      <c r="AF36" s="2158"/>
      <c r="AG36" s="2159"/>
    </row>
    <row r="37" spans="1:134" ht="45" customHeight="1" thickBot="1">
      <c r="A37" s="798"/>
      <c r="B37" s="545"/>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798"/>
      <c r="AA37" s="798"/>
      <c r="AE37" s="1429"/>
      <c r="AF37" s="1429"/>
      <c r="AG37" s="1429"/>
    </row>
    <row r="38" spans="1:134" s="94" customFormat="1" ht="18.75" customHeight="1" thickBot="1">
      <c r="A38" s="308"/>
      <c r="B38" s="858" t="s">
        <v>508</v>
      </c>
      <c r="C38" s="859"/>
      <c r="D38" s="859"/>
      <c r="E38" s="859"/>
      <c r="F38" s="859"/>
      <c r="G38" s="859"/>
      <c r="H38" s="859"/>
      <c r="I38" s="859"/>
      <c r="J38" s="859"/>
      <c r="K38" s="859"/>
      <c r="L38" s="859"/>
      <c r="M38" s="859"/>
      <c r="N38" s="859"/>
      <c r="O38" s="859"/>
      <c r="P38" s="859"/>
      <c r="Q38" s="859"/>
      <c r="R38" s="859"/>
      <c r="S38" s="859"/>
      <c r="T38" s="859"/>
      <c r="U38" s="859"/>
      <c r="V38" s="859"/>
      <c r="W38" s="859"/>
      <c r="X38" s="859"/>
      <c r="Y38" s="859"/>
      <c r="Z38" s="859"/>
      <c r="AA38" s="860"/>
      <c r="AB38" s="1427"/>
      <c r="AC38" s="1427"/>
      <c r="AD38" s="1427"/>
      <c r="AE38" s="858"/>
      <c r="AF38" s="859"/>
      <c r="AG38" s="860"/>
      <c r="DE38" s="1427"/>
      <c r="DF38" s="1427"/>
      <c r="DG38" s="1427"/>
      <c r="DH38" s="1427"/>
      <c r="DI38" s="1427"/>
      <c r="DJ38" s="1427"/>
      <c r="DK38" s="1427"/>
      <c r="DL38" s="1427"/>
      <c r="DM38" s="1427"/>
      <c r="DN38" s="1427"/>
      <c r="DO38" s="1427"/>
      <c r="DP38" s="1427"/>
      <c r="DQ38" s="1427"/>
      <c r="DR38" s="1427"/>
      <c r="DS38" s="1427"/>
      <c r="DT38" s="1427"/>
      <c r="DU38" s="1427"/>
      <c r="DV38" s="1427"/>
      <c r="DW38" s="1427"/>
      <c r="DX38" s="1427"/>
      <c r="DY38" s="1427"/>
      <c r="DZ38" s="1427"/>
      <c r="EA38" s="1427"/>
      <c r="EB38" s="1427"/>
      <c r="EC38" s="1427"/>
      <c r="ED38" s="1427"/>
    </row>
    <row r="39" spans="1:134" ht="20.25" customHeight="1">
      <c r="A39" s="798"/>
      <c r="B39" s="4134"/>
      <c r="C39" s="4132" t="s">
        <v>37</v>
      </c>
      <c r="D39" s="4133"/>
      <c r="E39" s="4133"/>
      <c r="F39" s="4133"/>
      <c r="G39" s="4133"/>
      <c r="H39" s="4141" t="s">
        <v>73</v>
      </c>
      <c r="I39" s="4141"/>
      <c r="J39" s="4141"/>
      <c r="K39" s="4141"/>
      <c r="L39" s="4141"/>
      <c r="M39" s="4142" t="s">
        <v>272</v>
      </c>
      <c r="N39" s="4142"/>
      <c r="O39" s="4142"/>
      <c r="P39" s="4142"/>
      <c r="Q39" s="4142"/>
      <c r="R39" s="4142"/>
      <c r="S39" s="4142"/>
      <c r="T39" s="4142"/>
      <c r="U39" s="4142"/>
      <c r="V39" s="4142"/>
      <c r="W39" s="4142"/>
      <c r="X39" s="4142"/>
      <c r="Y39" s="4142"/>
      <c r="Z39" s="4142"/>
      <c r="AA39" s="4143"/>
      <c r="AE39" s="4126" t="s">
        <v>37</v>
      </c>
      <c r="AF39" s="4127"/>
      <c r="AG39" s="4128"/>
    </row>
    <row r="40" spans="1:134" s="66" customFormat="1" ht="20.25" customHeight="1">
      <c r="B40" s="4135"/>
      <c r="C40" s="4123" t="s">
        <v>579</v>
      </c>
      <c r="D40" s="4124"/>
      <c r="E40" s="4137"/>
      <c r="F40" s="4138" t="str">
        <f>CONCATENATE("$0's, real ",dms_DollarReal)</f>
        <v>$0's, real December 2017</v>
      </c>
      <c r="G40" s="4139"/>
      <c r="H40" s="4139"/>
      <c r="I40" s="4139"/>
      <c r="J40" s="4139"/>
      <c r="K40" s="4139"/>
      <c r="L40" s="4139"/>
      <c r="M40" s="4139"/>
      <c r="N40" s="4139"/>
      <c r="O40" s="4139"/>
      <c r="P40" s="4139"/>
      <c r="Q40" s="4139"/>
      <c r="R40" s="4139"/>
      <c r="S40" s="4139"/>
      <c r="T40" s="4139"/>
      <c r="U40" s="4139"/>
      <c r="V40" s="4139"/>
      <c r="W40" s="4139"/>
      <c r="X40" s="4139"/>
      <c r="Y40" s="4139"/>
      <c r="Z40" s="4139"/>
      <c r="AA40" s="4140"/>
      <c r="AB40"/>
      <c r="AC40"/>
      <c r="AD40"/>
      <c r="AE40" s="4123" t="str">
        <f>CONCATENATE("$0's, real ",dms_DollarReal)</f>
        <v>$0's, real December 2017</v>
      </c>
      <c r="AF40" s="4124"/>
      <c r="AG40" s="4125"/>
    </row>
    <row r="41" spans="1:134" s="66" customFormat="1" ht="20.25" customHeight="1">
      <c r="B41" s="4135"/>
      <c r="C41" s="4123" t="s">
        <v>54</v>
      </c>
      <c r="D41" s="4124"/>
      <c r="E41" s="4137"/>
      <c r="F41" s="4138" t="s">
        <v>411</v>
      </c>
      <c r="G41" s="4139"/>
      <c r="H41" s="4139"/>
      <c r="I41" s="4139"/>
      <c r="J41" s="4139"/>
      <c r="K41" s="4139"/>
      <c r="L41" s="4139"/>
      <c r="M41" s="4139"/>
      <c r="N41" s="4139"/>
      <c r="O41" s="4139"/>
      <c r="P41" s="4139"/>
      <c r="Q41" s="4139"/>
      <c r="R41" s="4139"/>
      <c r="S41" s="4139"/>
      <c r="T41" s="4139"/>
      <c r="U41" s="4139"/>
      <c r="V41" s="4139"/>
      <c r="W41" s="4139"/>
      <c r="X41" s="4139"/>
      <c r="Y41" s="4139"/>
      <c r="Z41" s="4139"/>
      <c r="AA41" s="4140"/>
      <c r="AB41"/>
      <c r="AC41"/>
      <c r="AD41"/>
      <c r="AE41" s="4123" t="s">
        <v>54</v>
      </c>
      <c r="AF41" s="4124"/>
      <c r="AG41" s="4125"/>
    </row>
    <row r="42" spans="1:134" s="66" customFormat="1" ht="20.25" customHeight="1" thickBot="1">
      <c r="B42" s="4136"/>
      <c r="C42" s="985">
        <f>CRCP_y1</f>
        <v>2013</v>
      </c>
      <c r="D42" s="985">
        <f>CRCP_y2</f>
        <v>2014</v>
      </c>
      <c r="E42" s="985">
        <f>CRCP_y3</f>
        <v>2015</v>
      </c>
      <c r="F42" s="985">
        <f>CRCP_y4</f>
        <v>2016</v>
      </c>
      <c r="G42" s="985">
        <f>CRCP_y5</f>
        <v>2017</v>
      </c>
      <c r="H42" s="984" t="str">
        <f>CONCATENATE(IF(dms_RPT="Calendar",G42+1,(LEFT(G42,4)+1&amp;"-"&amp;IF(MID(G42,6,2)&lt;"09","0"&amp;RIGHT(G42,1)+1,RIGHT(G42,2)+1))))</f>
        <v>2018</v>
      </c>
      <c r="I42" s="984" t="str">
        <f t="shared" ref="I42" si="3">CONCATENATE(IF(dms_RPT="Calendar",H42+1,(LEFT(H42,4)+1&amp;"-"&amp;IF(MID(H42,6,2)&lt;"09","0"&amp;RIGHT(H42,1)+1,RIGHT(H42,2)+1))))</f>
        <v>2019</v>
      </c>
      <c r="J42" s="984" t="str">
        <f t="shared" ref="J42" si="4">CONCATENATE(IF(dms_RPT="Calendar",I42+1,(LEFT(I42,4)+1&amp;"-"&amp;IF(MID(I42,6,2)&lt;"09","0"&amp;RIGHT(I42,1)+1,RIGHT(I42,2)+1))))</f>
        <v>2020</v>
      </c>
      <c r="K42" s="984" t="str">
        <f t="shared" ref="K42" si="5">CONCATENATE(IF(dms_RPT="Calendar",J42+1,(LEFT(J42,4)+1&amp;"-"&amp;IF(MID(J42,6,2)&lt;"09","0"&amp;RIGHT(J42,1)+1,RIGHT(J42,2)+1))))</f>
        <v>2021</v>
      </c>
      <c r="L42" s="984" t="str">
        <f t="shared" ref="L42" si="6">CONCATENATE(IF(dms_RPT="Calendar",K42+1,(LEFT(K42,4)+1&amp;"-"&amp;IF(MID(K42,6,2)&lt;"09","0"&amp;RIGHT(K42,1)+1,RIGHT(K42,2)+1))))</f>
        <v>2022</v>
      </c>
      <c r="M42" s="985" t="str">
        <f t="shared" ref="M42" si="7">CONCATENATE(IF(dms_RPT="Calendar",L42+1,(LEFT(L42,4)+1&amp;"-"&amp;IF(MID(L42,6,2)&lt;"09","0"&amp;RIGHT(L42,1)+1,RIGHT(L42,2)+1))))</f>
        <v>2023</v>
      </c>
      <c r="N42" s="985" t="str">
        <f t="shared" ref="N42" si="8">CONCATENATE(IF(dms_RPT="Calendar",M42+1,(LEFT(M42,4)+1&amp;"-"&amp;IF(MID(M42,6,2)&lt;"09","0"&amp;RIGHT(M42,1)+1,RIGHT(M42,2)+1))))</f>
        <v>2024</v>
      </c>
      <c r="O42" s="985" t="str">
        <f t="shared" ref="O42" si="9">CONCATENATE(IF(dms_RPT="Calendar",N42+1,(LEFT(N42,4)+1&amp;"-"&amp;IF(MID(N42,6,2)&lt;"09","0"&amp;RIGHT(N42,1)+1,RIGHT(N42,2)+1))))</f>
        <v>2025</v>
      </c>
      <c r="P42" s="985" t="str">
        <f t="shared" ref="P42" si="10">CONCATENATE(IF(dms_RPT="Calendar",O42+1,(LEFT(O42,4)+1&amp;"-"&amp;IF(MID(O42,6,2)&lt;"09","0"&amp;RIGHT(O42,1)+1,RIGHT(O42,2)+1))))</f>
        <v>2026</v>
      </c>
      <c r="Q42" s="985" t="str">
        <f t="shared" ref="Q42" si="11">CONCATENATE(IF(dms_RPT="Calendar",P42+1,(LEFT(P42,4)+1&amp;"-"&amp;IF(MID(P42,6,2)&lt;"09","0"&amp;RIGHT(P42,1)+1,RIGHT(P42,2)+1))))</f>
        <v>2027</v>
      </c>
      <c r="R42" s="985" t="str">
        <f t="shared" ref="R42" si="12">CONCATENATE(IF(dms_RPT="Calendar",Q42+1,(LEFT(Q42,4)+1&amp;"-"&amp;IF(MID(Q42,6,2)&lt;"09","0"&amp;RIGHT(Q42,1)+1,RIGHT(Q42,2)+1))))</f>
        <v>2028</v>
      </c>
      <c r="S42" s="985" t="str">
        <f t="shared" ref="S42" si="13">CONCATENATE(IF(dms_RPT="Calendar",R42+1,(LEFT(R42,4)+1&amp;"-"&amp;IF(MID(R42,6,2)&lt;"09","0"&amp;RIGHT(R42,1)+1,RIGHT(R42,2)+1))))</f>
        <v>2029</v>
      </c>
      <c r="T42" s="985" t="str">
        <f t="shared" ref="T42" si="14">CONCATENATE(IF(dms_RPT="Calendar",S42+1,(LEFT(S42,4)+1&amp;"-"&amp;IF(MID(S42,6,2)&lt;"09","0"&amp;RIGHT(S42,1)+1,RIGHT(S42,2)+1))))</f>
        <v>2030</v>
      </c>
      <c r="U42" s="985" t="str">
        <f t="shared" ref="U42" si="15">CONCATENATE(IF(dms_RPT="Calendar",T42+1,(LEFT(T42,4)+1&amp;"-"&amp;IF(MID(T42,6,2)&lt;"09","0"&amp;RIGHT(T42,1)+1,RIGHT(T42,2)+1))))</f>
        <v>2031</v>
      </c>
      <c r="V42" s="985" t="str">
        <f t="shared" ref="V42" si="16">CONCATENATE(IF(dms_RPT="Calendar",U42+1,(LEFT(U42,4)+1&amp;"-"&amp;IF(MID(U42,6,2)&lt;"09","0"&amp;RIGHT(U42,1)+1,RIGHT(U42,2)+1))))</f>
        <v>2032</v>
      </c>
      <c r="W42" s="985" t="str">
        <f t="shared" ref="W42" si="17">CONCATENATE(IF(dms_RPT="Calendar",V42+1,(LEFT(V42,4)+1&amp;"-"&amp;IF(MID(V42,6,2)&lt;"09","0"&amp;RIGHT(V42,1)+1,RIGHT(V42,2)+1))))</f>
        <v>2033</v>
      </c>
      <c r="X42" s="985" t="str">
        <f t="shared" ref="X42" si="18">CONCATENATE(IF(dms_RPT="Calendar",W42+1,(LEFT(W42,4)+1&amp;"-"&amp;IF(MID(W42,6,2)&lt;"09","0"&amp;RIGHT(W42,1)+1,RIGHT(W42,2)+1))))</f>
        <v>2034</v>
      </c>
      <c r="Y42" s="985" t="str">
        <f t="shared" ref="Y42" si="19">CONCATENATE(IF(dms_RPT="Calendar",X42+1,(LEFT(X42,4)+1&amp;"-"&amp;IF(MID(X42,6,2)&lt;"09","0"&amp;RIGHT(X42,1)+1,RIGHT(X42,2)+1))))</f>
        <v>2035</v>
      </c>
      <c r="Z42" s="985" t="str">
        <f t="shared" ref="Z42" si="20">CONCATENATE(IF(dms_RPT="Calendar",Y42+1,(LEFT(Y42,4)+1&amp;"-"&amp;IF(MID(Y42,6,2)&lt;"09","0"&amp;RIGHT(Y42,1)+1,RIGHT(Y42,2)+1))))</f>
        <v>2036</v>
      </c>
      <c r="AA42" s="985" t="str">
        <f t="shared" ref="AA42" si="21">CONCATENATE(IF(dms_RPT="Calendar",Z42+1,(LEFT(Z42,4)+1&amp;"-"&amp;IF(MID(Z42,6,2)&lt;"09","0"&amp;RIGHT(Z42,1)+1,RIGHT(Z42,2)+1))))</f>
        <v>2037</v>
      </c>
      <c r="AB42"/>
      <c r="AC42"/>
      <c r="AD42"/>
      <c r="AE42" s="2290">
        <f>CRCP_y1</f>
        <v>2013</v>
      </c>
      <c r="AF42" s="985">
        <f>CRCP_y2</f>
        <v>2014</v>
      </c>
      <c r="AG42" s="1470">
        <f>CRCP_y3</f>
        <v>2015</v>
      </c>
    </row>
    <row r="43" spans="1:134" ht="18" customHeight="1">
      <c r="A43" s="798"/>
      <c r="B43" s="1055" t="s">
        <v>273</v>
      </c>
      <c r="C43" s="1036"/>
      <c r="D43" s="1037"/>
      <c r="E43" s="1037"/>
      <c r="F43" s="1037"/>
      <c r="G43" s="1037"/>
      <c r="H43" s="1036"/>
      <c r="I43" s="1037"/>
      <c r="J43" s="1037"/>
      <c r="K43" s="1037"/>
      <c r="L43" s="1057"/>
      <c r="M43" s="1036"/>
      <c r="N43" s="1037"/>
      <c r="O43" s="1037"/>
      <c r="P43" s="1037"/>
      <c r="Q43" s="1037"/>
      <c r="R43" s="1037"/>
      <c r="S43" s="1037"/>
      <c r="T43" s="1037"/>
      <c r="U43" s="1037"/>
      <c r="V43" s="1037"/>
      <c r="W43" s="1037"/>
      <c r="X43" s="1037"/>
      <c r="Y43" s="1037"/>
      <c r="Z43" s="1037"/>
      <c r="AA43" s="1038"/>
      <c r="AE43" s="2304"/>
      <c r="AF43" s="2305"/>
      <c r="AG43" s="2306"/>
    </row>
    <row r="44" spans="1:134" ht="18" customHeight="1" thickBot="1">
      <c r="A44" s="798"/>
      <c r="B44" s="1056" t="s">
        <v>274</v>
      </c>
      <c r="C44" s="1039"/>
      <c r="D44" s="1040"/>
      <c r="E44" s="1040"/>
      <c r="F44" s="1040"/>
      <c r="G44" s="1040"/>
      <c r="H44" s="1039"/>
      <c r="I44" s="1040"/>
      <c r="J44" s="1040"/>
      <c r="K44" s="1040"/>
      <c r="L44" s="1058"/>
      <c r="M44" s="1039"/>
      <c r="N44" s="1040"/>
      <c r="O44" s="1040"/>
      <c r="P44" s="1040"/>
      <c r="Q44" s="1040"/>
      <c r="R44" s="1040"/>
      <c r="S44" s="1040"/>
      <c r="T44" s="1040"/>
      <c r="U44" s="1040"/>
      <c r="V44" s="1040"/>
      <c r="W44" s="1040"/>
      <c r="X44" s="1040"/>
      <c r="Y44" s="1040"/>
      <c r="Z44" s="1040"/>
      <c r="AA44" s="1041"/>
      <c r="AE44" s="2300"/>
      <c r="AF44" s="2301"/>
      <c r="AG44" s="2302"/>
    </row>
    <row r="45" spans="1:134" ht="28.5" customHeight="1" thickBot="1">
      <c r="A45" s="798"/>
      <c r="B45" s="1723" t="s">
        <v>125</v>
      </c>
      <c r="C45" s="1054"/>
      <c r="D45" s="1031"/>
      <c r="E45" s="1031"/>
      <c r="F45" s="1031"/>
      <c r="G45" s="1031"/>
      <c r="H45" s="1031"/>
      <c r="I45" s="1031"/>
      <c r="J45" s="1031"/>
      <c r="K45" s="1031"/>
      <c r="L45" s="1031"/>
      <c r="M45" s="1031"/>
      <c r="N45" s="1031"/>
      <c r="O45" s="1031"/>
      <c r="P45" s="1031"/>
      <c r="Q45" s="1031"/>
      <c r="R45" s="1031"/>
      <c r="S45" s="1031"/>
      <c r="T45" s="1031"/>
      <c r="U45" s="1031"/>
      <c r="V45" s="1031"/>
      <c r="W45" s="1031"/>
      <c r="X45" s="1031"/>
      <c r="Y45" s="1031"/>
      <c r="Z45" s="1031"/>
      <c r="AA45" s="1032"/>
      <c r="AE45" s="2157"/>
      <c r="AF45" s="2158"/>
      <c r="AG45" s="2159"/>
    </row>
    <row r="46" spans="1:134" ht="30" customHeight="1" thickBot="1">
      <c r="A46" s="798"/>
      <c r="B46" s="545"/>
      <c r="C46" s="545"/>
      <c r="D46" s="545"/>
      <c r="E46" s="545"/>
      <c r="F46" s="545"/>
      <c r="G46" s="545"/>
      <c r="H46" s="545"/>
      <c r="I46" s="545"/>
      <c r="J46" s="545"/>
      <c r="K46" s="545"/>
      <c r="L46" s="545"/>
      <c r="M46" s="545"/>
      <c r="N46" s="545"/>
      <c r="O46" s="545"/>
      <c r="P46" s="545"/>
      <c r="Q46" s="545"/>
      <c r="R46" s="545"/>
      <c r="S46" s="545"/>
      <c r="T46" s="545"/>
      <c r="U46" s="545"/>
      <c r="V46" s="545"/>
      <c r="W46" s="545"/>
      <c r="X46" s="545"/>
      <c r="Y46" s="545"/>
      <c r="Z46" s="545"/>
      <c r="AA46" s="545"/>
      <c r="AE46" s="545"/>
      <c r="AF46" s="545"/>
      <c r="AG46" s="545"/>
    </row>
    <row r="47" spans="1:134" s="94" customFormat="1" ht="18.75" customHeight="1" thickBot="1">
      <c r="A47" s="308"/>
      <c r="B47" s="858" t="s">
        <v>509</v>
      </c>
      <c r="C47" s="859"/>
      <c r="D47" s="859"/>
      <c r="E47" s="859"/>
      <c r="F47" s="859"/>
      <c r="G47" s="859"/>
      <c r="H47" s="859"/>
      <c r="I47" s="859"/>
      <c r="J47" s="859"/>
      <c r="K47" s="859"/>
      <c r="L47" s="859"/>
      <c r="M47" s="859"/>
      <c r="N47" s="859"/>
      <c r="O47" s="859"/>
      <c r="P47" s="859"/>
      <c r="Q47" s="859"/>
      <c r="R47" s="859"/>
      <c r="S47" s="859"/>
      <c r="T47" s="859"/>
      <c r="U47" s="859"/>
      <c r="V47" s="859"/>
      <c r="W47" s="859"/>
      <c r="X47" s="859"/>
      <c r="Y47" s="859"/>
      <c r="Z47" s="859"/>
      <c r="AA47" s="860"/>
      <c r="AB47" s="1427"/>
      <c r="AC47" s="1427"/>
      <c r="AD47" s="1427"/>
      <c r="AE47" s="858"/>
      <c r="AF47" s="859"/>
      <c r="AG47" s="860"/>
      <c r="DE47" s="1427"/>
      <c r="DF47" s="1427"/>
      <c r="DG47" s="1427"/>
      <c r="DH47" s="1427"/>
      <c r="DI47" s="1427"/>
      <c r="DJ47" s="1427"/>
      <c r="DK47" s="1427"/>
      <c r="DL47" s="1427"/>
      <c r="DM47" s="1427"/>
      <c r="DN47" s="1427"/>
      <c r="DO47" s="1427"/>
      <c r="DP47" s="1427"/>
      <c r="DQ47" s="1427"/>
      <c r="DR47" s="1427"/>
      <c r="DS47" s="1427"/>
      <c r="DT47" s="1427"/>
      <c r="DU47" s="1427"/>
      <c r="DV47" s="1427"/>
      <c r="DW47" s="1427"/>
      <c r="DX47" s="1427"/>
      <c r="DY47" s="1427"/>
      <c r="DZ47" s="1427"/>
      <c r="EA47" s="1427"/>
      <c r="EB47" s="1427"/>
      <c r="EC47" s="1427"/>
      <c r="ED47" s="1427"/>
    </row>
    <row r="48" spans="1:134" ht="20.25" customHeight="1">
      <c r="A48" s="798"/>
      <c r="B48" s="4134"/>
      <c r="C48" s="4132" t="s">
        <v>37</v>
      </c>
      <c r="D48" s="4133"/>
      <c r="E48" s="4133"/>
      <c r="F48" s="4133"/>
      <c r="G48" s="4133"/>
      <c r="H48" s="4141" t="s">
        <v>73</v>
      </c>
      <c r="I48" s="4141"/>
      <c r="J48" s="4141"/>
      <c r="K48" s="4141"/>
      <c r="L48" s="4141"/>
      <c r="M48" s="4142" t="s">
        <v>272</v>
      </c>
      <c r="N48" s="4142"/>
      <c r="O48" s="4142"/>
      <c r="P48" s="4142"/>
      <c r="Q48" s="4142"/>
      <c r="R48" s="4142"/>
      <c r="S48" s="4142"/>
      <c r="T48" s="4142"/>
      <c r="U48" s="4142"/>
      <c r="V48" s="4142"/>
      <c r="W48" s="4142"/>
      <c r="X48" s="4142"/>
      <c r="Y48" s="4142"/>
      <c r="Z48" s="4142"/>
      <c r="AA48" s="4143"/>
      <c r="AE48" s="4126" t="s">
        <v>37</v>
      </c>
      <c r="AF48" s="4127"/>
      <c r="AG48" s="4128"/>
    </row>
    <row r="49" spans="1:33" s="66" customFormat="1" ht="20.25" customHeight="1">
      <c r="B49" s="4135"/>
      <c r="C49" s="4123" t="s">
        <v>579</v>
      </c>
      <c r="D49" s="4124"/>
      <c r="E49" s="4137"/>
      <c r="F49" s="4138" t="str">
        <f>CONCATENATE("$0's, real ",dms_DollarReal)</f>
        <v>$0's, real December 2017</v>
      </c>
      <c r="G49" s="4139"/>
      <c r="H49" s="4139"/>
      <c r="I49" s="4139"/>
      <c r="J49" s="4139"/>
      <c r="K49" s="4139"/>
      <c r="L49" s="4139"/>
      <c r="M49" s="4139"/>
      <c r="N49" s="4139"/>
      <c r="O49" s="4139"/>
      <c r="P49" s="4139"/>
      <c r="Q49" s="4139"/>
      <c r="R49" s="4139"/>
      <c r="S49" s="4139"/>
      <c r="T49" s="4139"/>
      <c r="U49" s="4139"/>
      <c r="V49" s="4139"/>
      <c r="W49" s="4139"/>
      <c r="X49" s="4139"/>
      <c r="Y49" s="4139"/>
      <c r="Z49" s="4139"/>
      <c r="AA49" s="4140"/>
      <c r="AB49"/>
      <c r="AC49"/>
      <c r="AD49"/>
      <c r="AE49" s="4123" t="str">
        <f>CONCATENATE("$0's, real ",dms_DollarReal)</f>
        <v>$0's, real December 2017</v>
      </c>
      <c r="AF49" s="4124"/>
      <c r="AG49" s="4125"/>
    </row>
    <row r="50" spans="1:33" s="66" customFormat="1" ht="20.25" customHeight="1">
      <c r="B50" s="4135"/>
      <c r="C50" s="4123" t="s">
        <v>54</v>
      </c>
      <c r="D50" s="4124"/>
      <c r="E50" s="4137"/>
      <c r="F50" s="4138" t="s">
        <v>411</v>
      </c>
      <c r="G50" s="4139"/>
      <c r="H50" s="4139"/>
      <c r="I50" s="4139"/>
      <c r="J50" s="4139"/>
      <c r="K50" s="4139"/>
      <c r="L50" s="4139"/>
      <c r="M50" s="4139"/>
      <c r="N50" s="4139"/>
      <c r="O50" s="4139"/>
      <c r="P50" s="4139"/>
      <c r="Q50" s="4139"/>
      <c r="R50" s="4139"/>
      <c r="S50" s="4139"/>
      <c r="T50" s="4139"/>
      <c r="U50" s="4139"/>
      <c r="V50" s="4139"/>
      <c r="W50" s="4139"/>
      <c r="X50" s="4139"/>
      <c r="Y50" s="4139"/>
      <c r="Z50" s="4139"/>
      <c r="AA50" s="4140"/>
      <c r="AB50"/>
      <c r="AC50"/>
      <c r="AD50"/>
      <c r="AE50" s="4123" t="s">
        <v>54</v>
      </c>
      <c r="AF50" s="4124"/>
      <c r="AG50" s="4125"/>
    </row>
    <row r="51" spans="1:33" s="66" customFormat="1" ht="20.25" customHeight="1" thickBot="1">
      <c r="B51" s="4136"/>
      <c r="C51" s="985">
        <f>CRCP_y1</f>
        <v>2013</v>
      </c>
      <c r="D51" s="985">
        <f>CRCP_y2</f>
        <v>2014</v>
      </c>
      <c r="E51" s="985">
        <f>CRCP_y3</f>
        <v>2015</v>
      </c>
      <c r="F51" s="985">
        <f>CRCP_y4</f>
        <v>2016</v>
      </c>
      <c r="G51" s="985">
        <f>CRCP_y5</f>
        <v>2017</v>
      </c>
      <c r="H51" s="984" t="str">
        <f>CONCATENATE(IF(dms_RPT="Calendar",G51+1,(LEFT(G51,4)+1&amp;"-"&amp;IF(MID(G51,6,2)&lt;"09","0"&amp;RIGHT(G51,1)+1,RIGHT(G51,2)+1))))</f>
        <v>2018</v>
      </c>
      <c r="I51" s="984" t="str">
        <f t="shared" ref="I51" si="22">CONCATENATE(IF(dms_RPT="Calendar",H51+1,(LEFT(H51,4)+1&amp;"-"&amp;IF(MID(H51,6,2)&lt;"09","0"&amp;RIGHT(H51,1)+1,RIGHT(H51,2)+1))))</f>
        <v>2019</v>
      </c>
      <c r="J51" s="984" t="str">
        <f t="shared" ref="J51" si="23">CONCATENATE(IF(dms_RPT="Calendar",I51+1,(LEFT(I51,4)+1&amp;"-"&amp;IF(MID(I51,6,2)&lt;"09","0"&amp;RIGHT(I51,1)+1,RIGHT(I51,2)+1))))</f>
        <v>2020</v>
      </c>
      <c r="K51" s="984" t="str">
        <f t="shared" ref="K51" si="24">CONCATENATE(IF(dms_RPT="Calendar",J51+1,(LEFT(J51,4)+1&amp;"-"&amp;IF(MID(J51,6,2)&lt;"09","0"&amp;RIGHT(J51,1)+1,RIGHT(J51,2)+1))))</f>
        <v>2021</v>
      </c>
      <c r="L51" s="984" t="str">
        <f t="shared" ref="L51" si="25">CONCATENATE(IF(dms_RPT="Calendar",K51+1,(LEFT(K51,4)+1&amp;"-"&amp;IF(MID(K51,6,2)&lt;"09","0"&amp;RIGHT(K51,1)+1,RIGHT(K51,2)+1))))</f>
        <v>2022</v>
      </c>
      <c r="M51" s="985" t="str">
        <f t="shared" ref="M51" si="26">CONCATENATE(IF(dms_RPT="Calendar",L51+1,(LEFT(L51,4)+1&amp;"-"&amp;IF(MID(L51,6,2)&lt;"09","0"&amp;RIGHT(L51,1)+1,RIGHT(L51,2)+1))))</f>
        <v>2023</v>
      </c>
      <c r="N51" s="985" t="str">
        <f t="shared" ref="N51" si="27">CONCATENATE(IF(dms_RPT="Calendar",M51+1,(LEFT(M51,4)+1&amp;"-"&amp;IF(MID(M51,6,2)&lt;"09","0"&amp;RIGHT(M51,1)+1,RIGHT(M51,2)+1))))</f>
        <v>2024</v>
      </c>
      <c r="O51" s="985" t="str">
        <f t="shared" ref="O51" si="28">CONCATENATE(IF(dms_RPT="Calendar",N51+1,(LEFT(N51,4)+1&amp;"-"&amp;IF(MID(N51,6,2)&lt;"09","0"&amp;RIGHT(N51,1)+1,RIGHT(N51,2)+1))))</f>
        <v>2025</v>
      </c>
      <c r="P51" s="985" t="str">
        <f t="shared" ref="P51" si="29">CONCATENATE(IF(dms_RPT="Calendar",O51+1,(LEFT(O51,4)+1&amp;"-"&amp;IF(MID(O51,6,2)&lt;"09","0"&amp;RIGHT(O51,1)+1,RIGHT(O51,2)+1))))</f>
        <v>2026</v>
      </c>
      <c r="Q51" s="985" t="str">
        <f t="shared" ref="Q51" si="30">CONCATENATE(IF(dms_RPT="Calendar",P51+1,(LEFT(P51,4)+1&amp;"-"&amp;IF(MID(P51,6,2)&lt;"09","0"&amp;RIGHT(P51,1)+1,RIGHT(P51,2)+1))))</f>
        <v>2027</v>
      </c>
      <c r="R51" s="985" t="str">
        <f t="shared" ref="R51" si="31">CONCATENATE(IF(dms_RPT="Calendar",Q51+1,(LEFT(Q51,4)+1&amp;"-"&amp;IF(MID(Q51,6,2)&lt;"09","0"&amp;RIGHT(Q51,1)+1,RIGHT(Q51,2)+1))))</f>
        <v>2028</v>
      </c>
      <c r="S51" s="985" t="str">
        <f t="shared" ref="S51" si="32">CONCATENATE(IF(dms_RPT="Calendar",R51+1,(LEFT(R51,4)+1&amp;"-"&amp;IF(MID(R51,6,2)&lt;"09","0"&amp;RIGHT(R51,1)+1,RIGHT(R51,2)+1))))</f>
        <v>2029</v>
      </c>
      <c r="T51" s="985" t="str">
        <f t="shared" ref="T51" si="33">CONCATENATE(IF(dms_RPT="Calendar",S51+1,(LEFT(S51,4)+1&amp;"-"&amp;IF(MID(S51,6,2)&lt;"09","0"&amp;RIGHT(S51,1)+1,RIGHT(S51,2)+1))))</f>
        <v>2030</v>
      </c>
      <c r="U51" s="985" t="str">
        <f t="shared" ref="U51" si="34">CONCATENATE(IF(dms_RPT="Calendar",T51+1,(LEFT(T51,4)+1&amp;"-"&amp;IF(MID(T51,6,2)&lt;"09","0"&amp;RIGHT(T51,1)+1,RIGHT(T51,2)+1))))</f>
        <v>2031</v>
      </c>
      <c r="V51" s="985" t="str">
        <f t="shared" ref="V51" si="35">CONCATENATE(IF(dms_RPT="Calendar",U51+1,(LEFT(U51,4)+1&amp;"-"&amp;IF(MID(U51,6,2)&lt;"09","0"&amp;RIGHT(U51,1)+1,RIGHT(U51,2)+1))))</f>
        <v>2032</v>
      </c>
      <c r="W51" s="985" t="str">
        <f t="shared" ref="W51" si="36">CONCATENATE(IF(dms_RPT="Calendar",V51+1,(LEFT(V51,4)+1&amp;"-"&amp;IF(MID(V51,6,2)&lt;"09","0"&amp;RIGHT(V51,1)+1,RIGHT(V51,2)+1))))</f>
        <v>2033</v>
      </c>
      <c r="X51" s="985" t="str">
        <f t="shared" ref="X51" si="37">CONCATENATE(IF(dms_RPT="Calendar",W51+1,(LEFT(W51,4)+1&amp;"-"&amp;IF(MID(W51,6,2)&lt;"09","0"&amp;RIGHT(W51,1)+1,RIGHT(W51,2)+1))))</f>
        <v>2034</v>
      </c>
      <c r="Y51" s="985" t="str">
        <f t="shared" ref="Y51" si="38">CONCATENATE(IF(dms_RPT="Calendar",X51+1,(LEFT(X51,4)+1&amp;"-"&amp;IF(MID(X51,6,2)&lt;"09","0"&amp;RIGHT(X51,1)+1,RIGHT(X51,2)+1))))</f>
        <v>2035</v>
      </c>
      <c r="Z51" s="985" t="str">
        <f t="shared" ref="Z51" si="39">CONCATENATE(IF(dms_RPT="Calendar",Y51+1,(LEFT(Y51,4)+1&amp;"-"&amp;IF(MID(Y51,6,2)&lt;"09","0"&amp;RIGHT(Y51,1)+1,RIGHT(Y51,2)+1))))</f>
        <v>2036</v>
      </c>
      <c r="AA51" s="985" t="str">
        <f t="shared" ref="AA51" si="40">CONCATENATE(IF(dms_RPT="Calendar",Z51+1,(LEFT(Z51,4)+1&amp;"-"&amp;IF(MID(Z51,6,2)&lt;"09","0"&amp;RIGHT(Z51,1)+1,RIGHT(Z51,2)+1))))</f>
        <v>2037</v>
      </c>
      <c r="AB51"/>
      <c r="AC51"/>
      <c r="AD51"/>
      <c r="AE51" s="2290">
        <f>CRCP_y1</f>
        <v>2013</v>
      </c>
      <c r="AF51" s="985">
        <f>CRCP_y2</f>
        <v>2014</v>
      </c>
      <c r="AG51" s="1470">
        <f>CRCP_y3</f>
        <v>2015</v>
      </c>
    </row>
    <row r="52" spans="1:33">
      <c r="A52" s="798"/>
      <c r="B52" s="850" t="s">
        <v>201</v>
      </c>
      <c r="C52" s="881"/>
      <c r="D52" s="882"/>
      <c r="E52" s="882"/>
      <c r="F52" s="882"/>
      <c r="G52" s="882"/>
      <c r="H52" s="881"/>
      <c r="I52" s="882"/>
      <c r="J52" s="882"/>
      <c r="K52" s="882"/>
      <c r="L52" s="883"/>
      <c r="M52" s="881"/>
      <c r="N52" s="882"/>
      <c r="O52" s="882"/>
      <c r="P52" s="882"/>
      <c r="Q52" s="882"/>
      <c r="R52" s="882"/>
      <c r="S52" s="882"/>
      <c r="T52" s="882"/>
      <c r="U52" s="882"/>
      <c r="V52" s="882"/>
      <c r="W52" s="882"/>
      <c r="X52" s="882"/>
      <c r="Y52" s="882"/>
      <c r="Z52" s="882"/>
      <c r="AA52" s="883"/>
      <c r="AE52" s="2214"/>
      <c r="AF52" s="2215"/>
      <c r="AG52" s="2216"/>
    </row>
    <row r="53" spans="1:33">
      <c r="A53" s="798"/>
      <c r="B53" s="769" t="s">
        <v>202</v>
      </c>
      <c r="C53" s="823"/>
      <c r="D53" s="780"/>
      <c r="E53" s="780"/>
      <c r="F53" s="780"/>
      <c r="G53" s="780"/>
      <c r="H53" s="823"/>
      <c r="I53" s="780"/>
      <c r="J53" s="780"/>
      <c r="K53" s="780"/>
      <c r="L53" s="884"/>
      <c r="M53" s="823"/>
      <c r="N53" s="780"/>
      <c r="O53" s="780"/>
      <c r="P53" s="780"/>
      <c r="Q53" s="780"/>
      <c r="R53" s="780"/>
      <c r="S53" s="780"/>
      <c r="T53" s="780"/>
      <c r="U53" s="780"/>
      <c r="V53" s="780"/>
      <c r="W53" s="780"/>
      <c r="X53" s="780"/>
      <c r="Y53" s="780"/>
      <c r="Z53" s="780"/>
      <c r="AA53" s="884"/>
      <c r="AE53" s="2217"/>
      <c r="AF53" s="2218"/>
      <c r="AG53" s="2219"/>
    </row>
    <row r="54" spans="1:33">
      <c r="A54" s="798"/>
      <c r="B54" s="769" t="s">
        <v>203</v>
      </c>
      <c r="C54" s="823"/>
      <c r="D54" s="780"/>
      <c r="E54" s="780"/>
      <c r="F54" s="780"/>
      <c r="G54" s="780"/>
      <c r="H54" s="823"/>
      <c r="I54" s="780"/>
      <c r="J54" s="780"/>
      <c r="K54" s="780"/>
      <c r="L54" s="884"/>
      <c r="M54" s="823"/>
      <c r="N54" s="780"/>
      <c r="O54" s="780"/>
      <c r="P54" s="780"/>
      <c r="Q54" s="780"/>
      <c r="R54" s="780"/>
      <c r="S54" s="780"/>
      <c r="T54" s="780"/>
      <c r="U54" s="780"/>
      <c r="V54" s="780"/>
      <c r="W54" s="780"/>
      <c r="X54" s="780"/>
      <c r="Y54" s="780"/>
      <c r="Z54" s="780"/>
      <c r="AA54" s="884"/>
      <c r="AE54" s="2217"/>
      <c r="AF54" s="2218"/>
      <c r="AG54" s="2219"/>
    </row>
    <row r="55" spans="1:33">
      <c r="A55" s="798"/>
      <c r="B55" s="769" t="s">
        <v>204</v>
      </c>
      <c r="C55" s="823"/>
      <c r="D55" s="780"/>
      <c r="E55" s="780"/>
      <c r="F55" s="780"/>
      <c r="G55" s="780"/>
      <c r="H55" s="823"/>
      <c r="I55" s="780"/>
      <c r="J55" s="780"/>
      <c r="K55" s="780"/>
      <c r="L55" s="884"/>
      <c r="M55" s="823"/>
      <c r="N55" s="780"/>
      <c r="O55" s="780"/>
      <c r="P55" s="780"/>
      <c r="Q55" s="780"/>
      <c r="R55" s="780"/>
      <c r="S55" s="780"/>
      <c r="T55" s="780"/>
      <c r="U55" s="780"/>
      <c r="V55" s="780"/>
      <c r="W55" s="780"/>
      <c r="X55" s="780"/>
      <c r="Y55" s="780"/>
      <c r="Z55" s="780"/>
      <c r="AA55" s="884"/>
      <c r="AE55" s="2217"/>
      <c r="AF55" s="2218"/>
      <c r="AG55" s="2219"/>
    </row>
    <row r="56" spans="1:33">
      <c r="A56" s="798"/>
      <c r="B56" s="769" t="s">
        <v>279</v>
      </c>
      <c r="C56" s="823"/>
      <c r="D56" s="780"/>
      <c r="E56" s="780"/>
      <c r="F56" s="780"/>
      <c r="G56" s="780"/>
      <c r="H56" s="823"/>
      <c r="I56" s="780"/>
      <c r="J56" s="780"/>
      <c r="K56" s="780"/>
      <c r="L56" s="884"/>
      <c r="M56" s="823"/>
      <c r="N56" s="780"/>
      <c r="O56" s="780"/>
      <c r="P56" s="780"/>
      <c r="Q56" s="780"/>
      <c r="R56" s="780"/>
      <c r="S56" s="780"/>
      <c r="T56" s="780"/>
      <c r="U56" s="780"/>
      <c r="V56" s="780"/>
      <c r="W56" s="780"/>
      <c r="X56" s="780"/>
      <c r="Y56" s="780"/>
      <c r="Z56" s="780"/>
      <c r="AA56" s="884"/>
      <c r="AE56" s="2217"/>
      <c r="AF56" s="2218"/>
      <c r="AG56" s="2219"/>
    </row>
    <row r="57" spans="1:33">
      <c r="A57" s="798"/>
      <c r="B57" s="769" t="s">
        <v>200</v>
      </c>
      <c r="C57" s="823"/>
      <c r="D57" s="780"/>
      <c r="E57" s="780"/>
      <c r="F57" s="780"/>
      <c r="G57" s="780"/>
      <c r="H57" s="823"/>
      <c r="I57" s="780"/>
      <c r="J57" s="780"/>
      <c r="K57" s="780"/>
      <c r="L57" s="884"/>
      <c r="M57" s="823"/>
      <c r="N57" s="780"/>
      <c r="O57" s="780"/>
      <c r="P57" s="780"/>
      <c r="Q57" s="780"/>
      <c r="R57" s="780"/>
      <c r="S57" s="780"/>
      <c r="T57" s="780"/>
      <c r="U57" s="780"/>
      <c r="V57" s="780"/>
      <c r="W57" s="780"/>
      <c r="X57" s="780"/>
      <c r="Y57" s="780"/>
      <c r="Z57" s="780"/>
      <c r="AA57" s="884"/>
      <c r="AE57" s="2217"/>
      <c r="AF57" s="2218"/>
      <c r="AG57" s="2219"/>
    </row>
    <row r="58" spans="1:33">
      <c r="A58" s="798"/>
      <c r="B58" s="769" t="s">
        <v>205</v>
      </c>
      <c r="C58" s="823"/>
      <c r="D58" s="780"/>
      <c r="E58" s="780"/>
      <c r="F58" s="780"/>
      <c r="G58" s="780"/>
      <c r="H58" s="823"/>
      <c r="I58" s="780"/>
      <c r="J58" s="780"/>
      <c r="K58" s="780"/>
      <c r="L58" s="884"/>
      <c r="M58" s="823"/>
      <c r="N58" s="780"/>
      <c r="O58" s="780"/>
      <c r="P58" s="780"/>
      <c r="Q58" s="780"/>
      <c r="R58" s="780"/>
      <c r="S58" s="780"/>
      <c r="T58" s="780"/>
      <c r="U58" s="780"/>
      <c r="V58" s="780"/>
      <c r="W58" s="780"/>
      <c r="X58" s="780"/>
      <c r="Y58" s="780"/>
      <c r="Z58" s="780"/>
      <c r="AA58" s="884"/>
      <c r="AE58" s="2217"/>
      <c r="AF58" s="2218"/>
      <c r="AG58" s="2219"/>
    </row>
    <row r="59" spans="1:33">
      <c r="A59" s="798"/>
      <c r="B59" s="769" t="s">
        <v>280</v>
      </c>
      <c r="C59" s="823"/>
      <c r="D59" s="780"/>
      <c r="E59" s="780"/>
      <c r="F59" s="780"/>
      <c r="G59" s="780"/>
      <c r="H59" s="823"/>
      <c r="I59" s="780"/>
      <c r="J59" s="780"/>
      <c r="K59" s="780"/>
      <c r="L59" s="884"/>
      <c r="M59" s="823"/>
      <c r="N59" s="780"/>
      <c r="O59" s="780"/>
      <c r="P59" s="780"/>
      <c r="Q59" s="780"/>
      <c r="R59" s="780"/>
      <c r="S59" s="780"/>
      <c r="T59" s="780"/>
      <c r="U59" s="780"/>
      <c r="V59" s="780"/>
      <c r="W59" s="780"/>
      <c r="X59" s="780"/>
      <c r="Y59" s="780"/>
      <c r="Z59" s="780"/>
      <c r="AA59" s="884"/>
      <c r="AE59" s="2217"/>
      <c r="AF59" s="2218"/>
      <c r="AG59" s="2219"/>
    </row>
    <row r="60" spans="1:33">
      <c r="A60" s="798"/>
      <c r="B60" s="769" t="s">
        <v>288</v>
      </c>
      <c r="C60" s="823"/>
      <c r="D60" s="780"/>
      <c r="E60" s="780"/>
      <c r="F60" s="780"/>
      <c r="G60" s="780"/>
      <c r="H60" s="823"/>
      <c r="I60" s="780"/>
      <c r="J60" s="780"/>
      <c r="K60" s="780"/>
      <c r="L60" s="884"/>
      <c r="M60" s="823"/>
      <c r="N60" s="780"/>
      <c r="O60" s="780"/>
      <c r="P60" s="780"/>
      <c r="Q60" s="780"/>
      <c r="R60" s="780"/>
      <c r="S60" s="780"/>
      <c r="T60" s="780"/>
      <c r="U60" s="780"/>
      <c r="V60" s="780"/>
      <c r="W60" s="780"/>
      <c r="X60" s="780"/>
      <c r="Y60" s="780"/>
      <c r="Z60" s="780"/>
      <c r="AA60" s="884"/>
      <c r="AE60" s="2217"/>
      <c r="AF60" s="2218"/>
      <c r="AG60" s="2219"/>
    </row>
    <row r="61" spans="1:33">
      <c r="A61" s="798"/>
      <c r="B61" s="769" t="s">
        <v>135</v>
      </c>
      <c r="C61" s="823"/>
      <c r="D61" s="780"/>
      <c r="E61" s="780"/>
      <c r="F61" s="780"/>
      <c r="G61" s="780"/>
      <c r="H61" s="823"/>
      <c r="I61" s="780"/>
      <c r="J61" s="780"/>
      <c r="K61" s="780"/>
      <c r="L61" s="884"/>
      <c r="M61" s="823"/>
      <c r="N61" s="780"/>
      <c r="O61" s="780"/>
      <c r="P61" s="780"/>
      <c r="Q61" s="780"/>
      <c r="R61" s="780"/>
      <c r="S61" s="780"/>
      <c r="T61" s="780"/>
      <c r="U61" s="780"/>
      <c r="V61" s="780"/>
      <c r="W61" s="780"/>
      <c r="X61" s="780"/>
      <c r="Y61" s="780"/>
      <c r="Z61" s="780"/>
      <c r="AA61" s="884"/>
      <c r="AE61" s="2217"/>
      <c r="AF61" s="2218"/>
      <c r="AG61" s="2219"/>
    </row>
    <row r="62" spans="1:33">
      <c r="A62" s="798"/>
      <c r="B62" s="1049" t="s">
        <v>671</v>
      </c>
      <c r="C62" s="1052">
        <f t="shared" ref="C62:AA62" si="41">SUM(C52:C61)</f>
        <v>0</v>
      </c>
      <c r="D62" s="1048">
        <f t="shared" si="41"/>
        <v>0</v>
      </c>
      <c r="E62" s="1048">
        <f t="shared" si="41"/>
        <v>0</v>
      </c>
      <c r="F62" s="1048">
        <f t="shared" si="41"/>
        <v>0</v>
      </c>
      <c r="G62" s="1048">
        <f t="shared" si="41"/>
        <v>0</v>
      </c>
      <c r="H62" s="1052">
        <f t="shared" si="41"/>
        <v>0</v>
      </c>
      <c r="I62" s="1048">
        <f t="shared" si="41"/>
        <v>0</v>
      </c>
      <c r="J62" s="1048">
        <f t="shared" si="41"/>
        <v>0</v>
      </c>
      <c r="K62" s="1048">
        <f t="shared" si="41"/>
        <v>0</v>
      </c>
      <c r="L62" s="1053">
        <f t="shared" si="41"/>
        <v>0</v>
      </c>
      <c r="M62" s="1052">
        <f t="shared" si="41"/>
        <v>0</v>
      </c>
      <c r="N62" s="1048">
        <f t="shared" si="41"/>
        <v>0</v>
      </c>
      <c r="O62" s="1048">
        <f t="shared" si="41"/>
        <v>0</v>
      </c>
      <c r="P62" s="1048">
        <f t="shared" si="41"/>
        <v>0</v>
      </c>
      <c r="Q62" s="1048">
        <f t="shared" si="41"/>
        <v>0</v>
      </c>
      <c r="R62" s="1048">
        <f t="shared" si="41"/>
        <v>0</v>
      </c>
      <c r="S62" s="1048">
        <f t="shared" si="41"/>
        <v>0</v>
      </c>
      <c r="T62" s="1048">
        <f t="shared" si="41"/>
        <v>0</v>
      </c>
      <c r="U62" s="1048">
        <f t="shared" si="41"/>
        <v>0</v>
      </c>
      <c r="V62" s="1048">
        <f t="shared" si="41"/>
        <v>0</v>
      </c>
      <c r="W62" s="1048">
        <f t="shared" si="41"/>
        <v>0</v>
      </c>
      <c r="X62" s="1048">
        <f t="shared" si="41"/>
        <v>0</v>
      </c>
      <c r="Y62" s="1048">
        <f t="shared" si="41"/>
        <v>0</v>
      </c>
      <c r="Z62" s="1048">
        <f t="shared" si="41"/>
        <v>0</v>
      </c>
      <c r="AA62" s="1053">
        <f t="shared" si="41"/>
        <v>0</v>
      </c>
      <c r="AE62" s="1052">
        <f t="shared" ref="AE62:AG62" si="42">SUM(AE52:AE61)</f>
        <v>0</v>
      </c>
      <c r="AF62" s="1048">
        <f t="shared" si="42"/>
        <v>0</v>
      </c>
      <c r="AG62" s="1053">
        <f t="shared" si="42"/>
        <v>0</v>
      </c>
    </row>
    <row r="63" spans="1:33">
      <c r="A63" s="798"/>
      <c r="B63" s="1050" t="s">
        <v>219</v>
      </c>
      <c r="C63" s="823"/>
      <c r="D63" s="780"/>
      <c r="E63" s="780"/>
      <c r="F63" s="780"/>
      <c r="G63" s="780"/>
      <c r="H63" s="823"/>
      <c r="I63" s="780"/>
      <c r="J63" s="780"/>
      <c r="K63" s="780"/>
      <c r="L63" s="884"/>
      <c r="M63" s="823"/>
      <c r="N63" s="780"/>
      <c r="O63" s="780"/>
      <c r="P63" s="780"/>
      <c r="Q63" s="780"/>
      <c r="R63" s="780"/>
      <c r="S63" s="780"/>
      <c r="T63" s="780"/>
      <c r="U63" s="780"/>
      <c r="V63" s="780"/>
      <c r="W63" s="780"/>
      <c r="X63" s="780"/>
      <c r="Y63" s="780"/>
      <c r="Z63" s="780"/>
      <c r="AA63" s="884"/>
      <c r="AE63" s="2217"/>
      <c r="AF63" s="2218"/>
      <c r="AG63" s="2219"/>
    </row>
    <row r="64" spans="1:33">
      <c r="A64" s="798"/>
      <c r="B64" s="1050" t="s">
        <v>220</v>
      </c>
      <c r="C64" s="823"/>
      <c r="D64" s="780"/>
      <c r="E64" s="780"/>
      <c r="F64" s="780"/>
      <c r="G64" s="780"/>
      <c r="H64" s="823"/>
      <c r="I64" s="780"/>
      <c r="J64" s="780"/>
      <c r="K64" s="780"/>
      <c r="L64" s="884"/>
      <c r="M64" s="823"/>
      <c r="N64" s="780"/>
      <c r="O64" s="780"/>
      <c r="P64" s="780"/>
      <c r="Q64" s="780"/>
      <c r="R64" s="780"/>
      <c r="S64" s="780"/>
      <c r="T64" s="780"/>
      <c r="U64" s="780"/>
      <c r="V64" s="780"/>
      <c r="W64" s="780"/>
      <c r="X64" s="780"/>
      <c r="Y64" s="780"/>
      <c r="Z64" s="780"/>
      <c r="AA64" s="884"/>
      <c r="AE64" s="2217"/>
      <c r="AF64" s="2218"/>
      <c r="AG64" s="2219"/>
    </row>
    <row r="65" spans="1:33">
      <c r="A65" s="798"/>
      <c r="B65" s="1049" t="s">
        <v>53</v>
      </c>
      <c r="C65" s="1052">
        <f>SUM(C63:C64)</f>
        <v>0</v>
      </c>
      <c r="D65" s="1048">
        <f t="shared" ref="D65:AA65" si="43">SUM(D63:D64)</f>
        <v>0</v>
      </c>
      <c r="E65" s="1048">
        <f t="shared" si="43"/>
        <v>0</v>
      </c>
      <c r="F65" s="1048">
        <f t="shared" ref="F65" si="44">SUM(F63:F64)</f>
        <v>0</v>
      </c>
      <c r="G65" s="1048">
        <f t="shared" si="43"/>
        <v>0</v>
      </c>
      <c r="H65" s="1052">
        <f t="shared" si="43"/>
        <v>0</v>
      </c>
      <c r="I65" s="1048">
        <f t="shared" si="43"/>
        <v>0</v>
      </c>
      <c r="J65" s="1048">
        <f t="shared" si="43"/>
        <v>0</v>
      </c>
      <c r="K65" s="1048">
        <f t="shared" si="43"/>
        <v>0</v>
      </c>
      <c r="L65" s="1053">
        <f t="shared" si="43"/>
        <v>0</v>
      </c>
      <c r="M65" s="1052">
        <f t="shared" si="43"/>
        <v>0</v>
      </c>
      <c r="N65" s="1048">
        <f t="shared" si="43"/>
        <v>0</v>
      </c>
      <c r="O65" s="1048">
        <f t="shared" si="43"/>
        <v>0</v>
      </c>
      <c r="P65" s="1048">
        <f t="shared" si="43"/>
        <v>0</v>
      </c>
      <c r="Q65" s="1048">
        <f t="shared" si="43"/>
        <v>0</v>
      </c>
      <c r="R65" s="1048">
        <f t="shared" si="43"/>
        <v>0</v>
      </c>
      <c r="S65" s="1048">
        <f t="shared" si="43"/>
        <v>0</v>
      </c>
      <c r="T65" s="1048">
        <f t="shared" si="43"/>
        <v>0</v>
      </c>
      <c r="U65" s="1048">
        <f t="shared" si="43"/>
        <v>0</v>
      </c>
      <c r="V65" s="1048">
        <f t="shared" si="43"/>
        <v>0</v>
      </c>
      <c r="W65" s="1048">
        <f t="shared" si="43"/>
        <v>0</v>
      </c>
      <c r="X65" s="1048">
        <f t="shared" si="43"/>
        <v>0</v>
      </c>
      <c r="Y65" s="1048">
        <f t="shared" si="43"/>
        <v>0</v>
      </c>
      <c r="Z65" s="1048">
        <f t="shared" si="43"/>
        <v>0</v>
      </c>
      <c r="AA65" s="1053">
        <f t="shared" si="43"/>
        <v>0</v>
      </c>
      <c r="AE65" s="1052">
        <f>SUM(AE63:AE64)</f>
        <v>0</v>
      </c>
      <c r="AF65" s="1048">
        <f t="shared" ref="AF65:AG65" si="45">SUM(AF63:AF64)</f>
        <v>0</v>
      </c>
      <c r="AG65" s="1053">
        <f t="shared" si="45"/>
        <v>0</v>
      </c>
    </row>
    <row r="66" spans="1:33" s="798" customFormat="1" ht="13.5" thickBot="1">
      <c r="B66" s="1051" t="s">
        <v>672</v>
      </c>
      <c r="C66" s="998">
        <f t="shared" ref="C66:AA66" si="46">C62-C65</f>
        <v>0</v>
      </c>
      <c r="D66" s="999">
        <f t="shared" si="46"/>
        <v>0</v>
      </c>
      <c r="E66" s="999">
        <f t="shared" si="46"/>
        <v>0</v>
      </c>
      <c r="F66" s="999">
        <f t="shared" si="46"/>
        <v>0</v>
      </c>
      <c r="G66" s="999">
        <f t="shared" si="46"/>
        <v>0</v>
      </c>
      <c r="H66" s="998">
        <f t="shared" si="46"/>
        <v>0</v>
      </c>
      <c r="I66" s="999">
        <f t="shared" si="46"/>
        <v>0</v>
      </c>
      <c r="J66" s="999">
        <f t="shared" si="46"/>
        <v>0</v>
      </c>
      <c r="K66" s="999">
        <f t="shared" si="46"/>
        <v>0</v>
      </c>
      <c r="L66" s="1000">
        <f t="shared" si="46"/>
        <v>0</v>
      </c>
      <c r="M66" s="998">
        <f t="shared" si="46"/>
        <v>0</v>
      </c>
      <c r="N66" s="999">
        <f t="shared" si="46"/>
        <v>0</v>
      </c>
      <c r="O66" s="999">
        <f t="shared" si="46"/>
        <v>0</v>
      </c>
      <c r="P66" s="999">
        <f t="shared" si="46"/>
        <v>0</v>
      </c>
      <c r="Q66" s="999">
        <f t="shared" si="46"/>
        <v>0</v>
      </c>
      <c r="R66" s="999">
        <f t="shared" si="46"/>
        <v>0</v>
      </c>
      <c r="S66" s="999">
        <f t="shared" si="46"/>
        <v>0</v>
      </c>
      <c r="T66" s="999">
        <f t="shared" si="46"/>
        <v>0</v>
      </c>
      <c r="U66" s="999">
        <f t="shared" si="46"/>
        <v>0</v>
      </c>
      <c r="V66" s="999">
        <f t="shared" si="46"/>
        <v>0</v>
      </c>
      <c r="W66" s="999">
        <f t="shared" si="46"/>
        <v>0</v>
      </c>
      <c r="X66" s="999">
        <f t="shared" si="46"/>
        <v>0</v>
      </c>
      <c r="Y66" s="999">
        <f t="shared" si="46"/>
        <v>0</v>
      </c>
      <c r="Z66" s="999">
        <f t="shared" si="46"/>
        <v>0</v>
      </c>
      <c r="AA66" s="1000">
        <f t="shared" si="46"/>
        <v>0</v>
      </c>
      <c r="AB66"/>
      <c r="AC66"/>
      <c r="AD66"/>
      <c r="AE66" s="2303">
        <f t="shared" ref="AE66:AG66" si="47">AE62-AE65</f>
        <v>0</v>
      </c>
      <c r="AF66" s="999">
        <f t="shared" si="47"/>
        <v>0</v>
      </c>
      <c r="AG66" s="1000">
        <f t="shared" si="47"/>
        <v>0</v>
      </c>
    </row>
    <row r="67" spans="1:33" ht="29.25" customHeight="1" thickBot="1">
      <c r="A67" s="798"/>
      <c r="B67" s="1723" t="s">
        <v>125</v>
      </c>
      <c r="C67" s="1054"/>
      <c r="D67" s="1031"/>
      <c r="E67" s="1031"/>
      <c r="F67" s="1031"/>
      <c r="G67" s="1031"/>
      <c r="H67" s="1031"/>
      <c r="I67" s="1031"/>
      <c r="J67" s="1031"/>
      <c r="K67" s="1031"/>
      <c r="L67" s="1031"/>
      <c r="M67" s="1031"/>
      <c r="N67" s="1031"/>
      <c r="O67" s="1031"/>
      <c r="P67" s="1031"/>
      <c r="Q67" s="1031"/>
      <c r="R67" s="1031"/>
      <c r="S67" s="1031"/>
      <c r="T67" s="1031"/>
      <c r="U67" s="1031"/>
      <c r="V67" s="1031"/>
      <c r="W67" s="1031"/>
      <c r="X67" s="1031"/>
      <c r="Y67" s="1031"/>
      <c r="Z67" s="1031"/>
      <c r="AA67" s="1032"/>
      <c r="AE67" s="2157"/>
      <c r="AF67" s="2158"/>
      <c r="AG67" s="2159"/>
    </row>
    <row r="68" spans="1:33">
      <c r="A68" s="798"/>
    </row>
    <row r="69" spans="1:33">
      <c r="A69" s="798"/>
    </row>
  </sheetData>
  <mergeCells count="37">
    <mergeCell ref="C49:E49"/>
    <mergeCell ref="F49:AA49"/>
    <mergeCell ref="C50:E50"/>
    <mergeCell ref="F50:AA50"/>
    <mergeCell ref="H48:L48"/>
    <mergeCell ref="M48:AA48"/>
    <mergeCell ref="H39:L39"/>
    <mergeCell ref="M39:AA39"/>
    <mergeCell ref="C22:E22"/>
    <mergeCell ref="C23:E23"/>
    <mergeCell ref="F22:AA22"/>
    <mergeCell ref="F23:AA23"/>
    <mergeCell ref="B10:G10"/>
    <mergeCell ref="B7:G7"/>
    <mergeCell ref="B8:G8"/>
    <mergeCell ref="B9:G9"/>
    <mergeCell ref="C48:G48"/>
    <mergeCell ref="B39:B42"/>
    <mergeCell ref="B48:B51"/>
    <mergeCell ref="B21:B24"/>
    <mergeCell ref="C21:G21"/>
    <mergeCell ref="C40:E40"/>
    <mergeCell ref="F40:AA40"/>
    <mergeCell ref="C41:E41"/>
    <mergeCell ref="F41:AA41"/>
    <mergeCell ref="H21:L21"/>
    <mergeCell ref="M21:AA21"/>
    <mergeCell ref="C39:G39"/>
    <mergeCell ref="AE50:AG50"/>
    <mergeCell ref="AE21:AG21"/>
    <mergeCell ref="AE39:AG39"/>
    <mergeCell ref="AE48:AG48"/>
    <mergeCell ref="AE22:AG22"/>
    <mergeCell ref="AE23:AG23"/>
    <mergeCell ref="AE40:AG40"/>
    <mergeCell ref="AE41:AG41"/>
    <mergeCell ref="AE49:AG49"/>
  </mergeCells>
  <pageMargins left="0.75" right="0.75" top="1" bottom="1" header="0.5" footer="0.5"/>
  <pageSetup paperSize="9" orientation="portrait" r:id="rId1"/>
  <headerFooter alignWithMargins="0"/>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tabColor indexed="26"/>
    <pageSetUpPr autoPageBreaks="0"/>
  </sheetPr>
  <dimension ref="A1:EE51"/>
  <sheetViews>
    <sheetView showGridLines="0" zoomScale="70" zoomScaleNormal="70" workbookViewId="0">
      <selection activeCell="C29" sqref="C29"/>
    </sheetView>
  </sheetViews>
  <sheetFormatPr defaultRowHeight="12.75"/>
  <cols>
    <col min="1" max="1" width="14.140625" style="96" customWidth="1"/>
    <col min="2" max="2" width="54.5703125" style="96" customWidth="1"/>
    <col min="3" max="3" width="57.7109375" style="96" customWidth="1"/>
    <col min="4" max="27" width="12.7109375" style="96" customWidth="1"/>
    <col min="32" max="256" width="9.140625" style="96"/>
    <col min="257" max="257" width="14.140625" style="96" customWidth="1"/>
    <col min="258" max="258" width="66.28515625" style="96" bestFit="1" customWidth="1"/>
    <col min="259" max="259" width="10" style="96" bestFit="1" customWidth="1"/>
    <col min="260" max="261" width="8.5703125" style="96" bestFit="1" customWidth="1"/>
    <col min="262" max="262" width="17.42578125" style="96" bestFit="1" customWidth="1"/>
    <col min="263" max="263" width="17.28515625" style="96" bestFit="1" customWidth="1"/>
    <col min="264" max="265" width="10.7109375" style="96" customWidth="1"/>
    <col min="266" max="267" width="10.7109375" style="96" bestFit="1" customWidth="1"/>
    <col min="268" max="268" width="10.7109375" style="96" customWidth="1"/>
    <col min="269" max="271" width="10.7109375" style="96" bestFit="1" customWidth="1"/>
    <col min="272" max="273" width="10.7109375" style="96" customWidth="1"/>
    <col min="274" max="275" width="10.7109375" style="96" bestFit="1" customWidth="1"/>
    <col min="276" max="512" width="9.140625" style="96"/>
    <col min="513" max="513" width="14.140625" style="96" customWidth="1"/>
    <col min="514" max="514" width="66.28515625" style="96" bestFit="1" customWidth="1"/>
    <col min="515" max="515" width="10" style="96" bestFit="1" customWidth="1"/>
    <col min="516" max="517" width="8.5703125" style="96" bestFit="1" customWidth="1"/>
    <col min="518" max="518" width="17.42578125" style="96" bestFit="1" customWidth="1"/>
    <col min="519" max="519" width="17.28515625" style="96" bestFit="1" customWidth="1"/>
    <col min="520" max="521" width="10.7109375" style="96" customWidth="1"/>
    <col min="522" max="523" width="10.7109375" style="96" bestFit="1" customWidth="1"/>
    <col min="524" max="524" width="10.7109375" style="96" customWidth="1"/>
    <col min="525" max="527" width="10.7109375" style="96" bestFit="1" customWidth="1"/>
    <col min="528" max="529" width="10.7109375" style="96" customWidth="1"/>
    <col min="530" max="531" width="10.7109375" style="96" bestFit="1" customWidth="1"/>
    <col min="532" max="768" width="9.140625" style="96"/>
    <col min="769" max="769" width="14.140625" style="96" customWidth="1"/>
    <col min="770" max="770" width="66.28515625" style="96" bestFit="1" customWidth="1"/>
    <col min="771" max="771" width="10" style="96" bestFit="1" customWidth="1"/>
    <col min="772" max="773" width="8.5703125" style="96" bestFit="1" customWidth="1"/>
    <col min="774" max="774" width="17.42578125" style="96" bestFit="1" customWidth="1"/>
    <col min="775" max="775" width="17.28515625" style="96" bestFit="1" customWidth="1"/>
    <col min="776" max="777" width="10.7109375" style="96" customWidth="1"/>
    <col min="778" max="779" width="10.7109375" style="96" bestFit="1" customWidth="1"/>
    <col min="780" max="780" width="10.7109375" style="96" customWidth="1"/>
    <col min="781" max="783" width="10.7109375" style="96" bestFit="1" customWidth="1"/>
    <col min="784" max="785" width="10.7109375" style="96" customWidth="1"/>
    <col min="786" max="787" width="10.7109375" style="96" bestFit="1" customWidth="1"/>
    <col min="788" max="1024" width="9.140625" style="96"/>
    <col min="1025" max="1025" width="14.140625" style="96" customWidth="1"/>
    <col min="1026" max="1026" width="66.28515625" style="96" bestFit="1" customWidth="1"/>
    <col min="1027" max="1027" width="10" style="96" bestFit="1" customWidth="1"/>
    <col min="1028" max="1029" width="8.5703125" style="96" bestFit="1" customWidth="1"/>
    <col min="1030" max="1030" width="17.42578125" style="96" bestFit="1" customWidth="1"/>
    <col min="1031" max="1031" width="17.28515625" style="96" bestFit="1" customWidth="1"/>
    <col min="1032" max="1033" width="10.7109375" style="96" customWidth="1"/>
    <col min="1034" max="1035" width="10.7109375" style="96" bestFit="1" customWidth="1"/>
    <col min="1036" max="1036" width="10.7109375" style="96" customWidth="1"/>
    <col min="1037" max="1039" width="10.7109375" style="96" bestFit="1" customWidth="1"/>
    <col min="1040" max="1041" width="10.7109375" style="96" customWidth="1"/>
    <col min="1042" max="1043" width="10.7109375" style="96" bestFit="1" customWidth="1"/>
    <col min="1044" max="1280" width="9.140625" style="96"/>
    <col min="1281" max="1281" width="14.140625" style="96" customWidth="1"/>
    <col min="1282" max="1282" width="66.28515625" style="96" bestFit="1" customWidth="1"/>
    <col min="1283" max="1283" width="10" style="96" bestFit="1" customWidth="1"/>
    <col min="1284" max="1285" width="8.5703125" style="96" bestFit="1" customWidth="1"/>
    <col min="1286" max="1286" width="17.42578125" style="96" bestFit="1" customWidth="1"/>
    <col min="1287" max="1287" width="17.28515625" style="96" bestFit="1" customWidth="1"/>
    <col min="1288" max="1289" width="10.7109375" style="96" customWidth="1"/>
    <col min="1290" max="1291" width="10.7109375" style="96" bestFit="1" customWidth="1"/>
    <col min="1292" max="1292" width="10.7109375" style="96" customWidth="1"/>
    <col min="1293" max="1295" width="10.7109375" style="96" bestFit="1" customWidth="1"/>
    <col min="1296" max="1297" width="10.7109375" style="96" customWidth="1"/>
    <col min="1298" max="1299" width="10.7109375" style="96" bestFit="1" customWidth="1"/>
    <col min="1300" max="1536" width="9.140625" style="96"/>
    <col min="1537" max="1537" width="14.140625" style="96" customWidth="1"/>
    <col min="1538" max="1538" width="66.28515625" style="96" bestFit="1" customWidth="1"/>
    <col min="1539" max="1539" width="10" style="96" bestFit="1" customWidth="1"/>
    <col min="1540" max="1541" width="8.5703125" style="96" bestFit="1" customWidth="1"/>
    <col min="1542" max="1542" width="17.42578125" style="96" bestFit="1" customWidth="1"/>
    <col min="1543" max="1543" width="17.28515625" style="96" bestFit="1" customWidth="1"/>
    <col min="1544" max="1545" width="10.7109375" style="96" customWidth="1"/>
    <col min="1546" max="1547" width="10.7109375" style="96" bestFit="1" customWidth="1"/>
    <col min="1548" max="1548" width="10.7109375" style="96" customWidth="1"/>
    <col min="1549" max="1551" width="10.7109375" style="96" bestFit="1" customWidth="1"/>
    <col min="1552" max="1553" width="10.7109375" style="96" customWidth="1"/>
    <col min="1554" max="1555" width="10.7109375" style="96" bestFit="1" customWidth="1"/>
    <col min="1556" max="1792" width="9.140625" style="96"/>
    <col min="1793" max="1793" width="14.140625" style="96" customWidth="1"/>
    <col min="1794" max="1794" width="66.28515625" style="96" bestFit="1" customWidth="1"/>
    <col min="1795" max="1795" width="10" style="96" bestFit="1" customWidth="1"/>
    <col min="1796" max="1797" width="8.5703125" style="96" bestFit="1" customWidth="1"/>
    <col min="1798" max="1798" width="17.42578125" style="96" bestFit="1" customWidth="1"/>
    <col min="1799" max="1799" width="17.28515625" style="96" bestFit="1" customWidth="1"/>
    <col min="1800" max="1801" width="10.7109375" style="96" customWidth="1"/>
    <col min="1802" max="1803" width="10.7109375" style="96" bestFit="1" customWidth="1"/>
    <col min="1804" max="1804" width="10.7109375" style="96" customWidth="1"/>
    <col min="1805" max="1807" width="10.7109375" style="96" bestFit="1" customWidth="1"/>
    <col min="1808" max="1809" width="10.7109375" style="96" customWidth="1"/>
    <col min="1810" max="1811" width="10.7109375" style="96" bestFit="1" customWidth="1"/>
    <col min="1812" max="2048" width="9.140625" style="96"/>
    <col min="2049" max="2049" width="14.140625" style="96" customWidth="1"/>
    <col min="2050" max="2050" width="66.28515625" style="96" bestFit="1" customWidth="1"/>
    <col min="2051" max="2051" width="10" style="96" bestFit="1" customWidth="1"/>
    <col min="2052" max="2053" width="8.5703125" style="96" bestFit="1" customWidth="1"/>
    <col min="2054" max="2054" width="17.42578125" style="96" bestFit="1" customWidth="1"/>
    <col min="2055" max="2055" width="17.28515625" style="96" bestFit="1" customWidth="1"/>
    <col min="2056" max="2057" width="10.7109375" style="96" customWidth="1"/>
    <col min="2058" max="2059" width="10.7109375" style="96" bestFit="1" customWidth="1"/>
    <col min="2060" max="2060" width="10.7109375" style="96" customWidth="1"/>
    <col min="2061" max="2063" width="10.7109375" style="96" bestFit="1" customWidth="1"/>
    <col min="2064" max="2065" width="10.7109375" style="96" customWidth="1"/>
    <col min="2066" max="2067" width="10.7109375" style="96" bestFit="1" customWidth="1"/>
    <col min="2068" max="2304" width="9.140625" style="96"/>
    <col min="2305" max="2305" width="14.140625" style="96" customWidth="1"/>
    <col min="2306" max="2306" width="66.28515625" style="96" bestFit="1" customWidth="1"/>
    <col min="2307" max="2307" width="10" style="96" bestFit="1" customWidth="1"/>
    <col min="2308" max="2309" width="8.5703125" style="96" bestFit="1" customWidth="1"/>
    <col min="2310" max="2310" width="17.42578125" style="96" bestFit="1" customWidth="1"/>
    <col min="2311" max="2311" width="17.28515625" style="96" bestFit="1" customWidth="1"/>
    <col min="2312" max="2313" width="10.7109375" style="96" customWidth="1"/>
    <col min="2314" max="2315" width="10.7109375" style="96" bestFit="1" customWidth="1"/>
    <col min="2316" max="2316" width="10.7109375" style="96" customWidth="1"/>
    <col min="2317" max="2319" width="10.7109375" style="96" bestFit="1" customWidth="1"/>
    <col min="2320" max="2321" width="10.7109375" style="96" customWidth="1"/>
    <col min="2322" max="2323" width="10.7109375" style="96" bestFit="1" customWidth="1"/>
    <col min="2324" max="2560" width="9.140625" style="96"/>
    <col min="2561" max="2561" width="14.140625" style="96" customWidth="1"/>
    <col min="2562" max="2562" width="66.28515625" style="96" bestFit="1" customWidth="1"/>
    <col min="2563" max="2563" width="10" style="96" bestFit="1" customWidth="1"/>
    <col min="2564" max="2565" width="8.5703125" style="96" bestFit="1" customWidth="1"/>
    <col min="2566" max="2566" width="17.42578125" style="96" bestFit="1" customWidth="1"/>
    <col min="2567" max="2567" width="17.28515625" style="96" bestFit="1" customWidth="1"/>
    <col min="2568" max="2569" width="10.7109375" style="96" customWidth="1"/>
    <col min="2570" max="2571" width="10.7109375" style="96" bestFit="1" customWidth="1"/>
    <col min="2572" max="2572" width="10.7109375" style="96" customWidth="1"/>
    <col min="2573" max="2575" width="10.7109375" style="96" bestFit="1" customWidth="1"/>
    <col min="2576" max="2577" width="10.7109375" style="96" customWidth="1"/>
    <col min="2578" max="2579" width="10.7109375" style="96" bestFit="1" customWidth="1"/>
    <col min="2580" max="2816" width="9.140625" style="96"/>
    <col min="2817" max="2817" width="14.140625" style="96" customWidth="1"/>
    <col min="2818" max="2818" width="66.28515625" style="96" bestFit="1" customWidth="1"/>
    <col min="2819" max="2819" width="10" style="96" bestFit="1" customWidth="1"/>
    <col min="2820" max="2821" width="8.5703125" style="96" bestFit="1" customWidth="1"/>
    <col min="2822" max="2822" width="17.42578125" style="96" bestFit="1" customWidth="1"/>
    <col min="2823" max="2823" width="17.28515625" style="96" bestFit="1" customWidth="1"/>
    <col min="2824" max="2825" width="10.7109375" style="96" customWidth="1"/>
    <col min="2826" max="2827" width="10.7109375" style="96" bestFit="1" customWidth="1"/>
    <col min="2828" max="2828" width="10.7109375" style="96" customWidth="1"/>
    <col min="2829" max="2831" width="10.7109375" style="96" bestFit="1" customWidth="1"/>
    <col min="2832" max="2833" width="10.7109375" style="96" customWidth="1"/>
    <col min="2834" max="2835" width="10.7109375" style="96" bestFit="1" customWidth="1"/>
    <col min="2836" max="3072" width="9.140625" style="96"/>
    <col min="3073" max="3073" width="14.140625" style="96" customWidth="1"/>
    <col min="3074" max="3074" width="66.28515625" style="96" bestFit="1" customWidth="1"/>
    <col min="3075" max="3075" width="10" style="96" bestFit="1" customWidth="1"/>
    <col min="3076" max="3077" width="8.5703125" style="96" bestFit="1" customWidth="1"/>
    <col min="3078" max="3078" width="17.42578125" style="96" bestFit="1" customWidth="1"/>
    <col min="3079" max="3079" width="17.28515625" style="96" bestFit="1" customWidth="1"/>
    <col min="3080" max="3081" width="10.7109375" style="96" customWidth="1"/>
    <col min="3082" max="3083" width="10.7109375" style="96" bestFit="1" customWidth="1"/>
    <col min="3084" max="3084" width="10.7109375" style="96" customWidth="1"/>
    <col min="3085" max="3087" width="10.7109375" style="96" bestFit="1" customWidth="1"/>
    <col min="3088" max="3089" width="10.7109375" style="96" customWidth="1"/>
    <col min="3090" max="3091" width="10.7109375" style="96" bestFit="1" customWidth="1"/>
    <col min="3092" max="3328" width="9.140625" style="96"/>
    <col min="3329" max="3329" width="14.140625" style="96" customWidth="1"/>
    <col min="3330" max="3330" width="66.28515625" style="96" bestFit="1" customWidth="1"/>
    <col min="3331" max="3331" width="10" style="96" bestFit="1" customWidth="1"/>
    <col min="3332" max="3333" width="8.5703125" style="96" bestFit="1" customWidth="1"/>
    <col min="3334" max="3334" width="17.42578125" style="96" bestFit="1" customWidth="1"/>
    <col min="3335" max="3335" width="17.28515625" style="96" bestFit="1" customWidth="1"/>
    <col min="3336" max="3337" width="10.7109375" style="96" customWidth="1"/>
    <col min="3338" max="3339" width="10.7109375" style="96" bestFit="1" customWidth="1"/>
    <col min="3340" max="3340" width="10.7109375" style="96" customWidth="1"/>
    <col min="3341" max="3343" width="10.7109375" style="96" bestFit="1" customWidth="1"/>
    <col min="3344" max="3345" width="10.7109375" style="96" customWidth="1"/>
    <col min="3346" max="3347" width="10.7109375" style="96" bestFit="1" customWidth="1"/>
    <col min="3348" max="3584" width="9.140625" style="96"/>
    <col min="3585" max="3585" width="14.140625" style="96" customWidth="1"/>
    <col min="3586" max="3586" width="66.28515625" style="96" bestFit="1" customWidth="1"/>
    <col min="3587" max="3587" width="10" style="96" bestFit="1" customWidth="1"/>
    <col min="3588" max="3589" width="8.5703125" style="96" bestFit="1" customWidth="1"/>
    <col min="3590" max="3590" width="17.42578125" style="96" bestFit="1" customWidth="1"/>
    <col min="3591" max="3591" width="17.28515625" style="96" bestFit="1" customWidth="1"/>
    <col min="3592" max="3593" width="10.7109375" style="96" customWidth="1"/>
    <col min="3594" max="3595" width="10.7109375" style="96" bestFit="1" customWidth="1"/>
    <col min="3596" max="3596" width="10.7109375" style="96" customWidth="1"/>
    <col min="3597" max="3599" width="10.7109375" style="96" bestFit="1" customWidth="1"/>
    <col min="3600" max="3601" width="10.7109375" style="96" customWidth="1"/>
    <col min="3602" max="3603" width="10.7109375" style="96" bestFit="1" customWidth="1"/>
    <col min="3604" max="3840" width="9.140625" style="96"/>
    <col min="3841" max="3841" width="14.140625" style="96" customWidth="1"/>
    <col min="3842" max="3842" width="66.28515625" style="96" bestFit="1" customWidth="1"/>
    <col min="3843" max="3843" width="10" style="96" bestFit="1" customWidth="1"/>
    <col min="3844" max="3845" width="8.5703125" style="96" bestFit="1" customWidth="1"/>
    <col min="3846" max="3846" width="17.42578125" style="96" bestFit="1" customWidth="1"/>
    <col min="3847" max="3847" width="17.28515625" style="96" bestFit="1" customWidth="1"/>
    <col min="3848" max="3849" width="10.7109375" style="96" customWidth="1"/>
    <col min="3850" max="3851" width="10.7109375" style="96" bestFit="1" customWidth="1"/>
    <col min="3852" max="3852" width="10.7109375" style="96" customWidth="1"/>
    <col min="3853" max="3855" width="10.7109375" style="96" bestFit="1" customWidth="1"/>
    <col min="3856" max="3857" width="10.7109375" style="96" customWidth="1"/>
    <col min="3858" max="3859" width="10.7109375" style="96" bestFit="1" customWidth="1"/>
    <col min="3860" max="4096" width="9.140625" style="96"/>
    <col min="4097" max="4097" width="14.140625" style="96" customWidth="1"/>
    <col min="4098" max="4098" width="66.28515625" style="96" bestFit="1" customWidth="1"/>
    <col min="4099" max="4099" width="10" style="96" bestFit="1" customWidth="1"/>
    <col min="4100" max="4101" width="8.5703125" style="96" bestFit="1" customWidth="1"/>
    <col min="4102" max="4102" width="17.42578125" style="96" bestFit="1" customWidth="1"/>
    <col min="4103" max="4103" width="17.28515625" style="96" bestFit="1" customWidth="1"/>
    <col min="4104" max="4105" width="10.7109375" style="96" customWidth="1"/>
    <col min="4106" max="4107" width="10.7109375" style="96" bestFit="1" customWidth="1"/>
    <col min="4108" max="4108" width="10.7109375" style="96" customWidth="1"/>
    <col min="4109" max="4111" width="10.7109375" style="96" bestFit="1" customWidth="1"/>
    <col min="4112" max="4113" width="10.7109375" style="96" customWidth="1"/>
    <col min="4114" max="4115" width="10.7109375" style="96" bestFit="1" customWidth="1"/>
    <col min="4116" max="4352" width="9.140625" style="96"/>
    <col min="4353" max="4353" width="14.140625" style="96" customWidth="1"/>
    <col min="4354" max="4354" width="66.28515625" style="96" bestFit="1" customWidth="1"/>
    <col min="4355" max="4355" width="10" style="96" bestFit="1" customWidth="1"/>
    <col min="4356" max="4357" width="8.5703125" style="96" bestFit="1" customWidth="1"/>
    <col min="4358" max="4358" width="17.42578125" style="96" bestFit="1" customWidth="1"/>
    <col min="4359" max="4359" width="17.28515625" style="96" bestFit="1" customWidth="1"/>
    <col min="4360" max="4361" width="10.7109375" style="96" customWidth="1"/>
    <col min="4362" max="4363" width="10.7109375" style="96" bestFit="1" customWidth="1"/>
    <col min="4364" max="4364" width="10.7109375" style="96" customWidth="1"/>
    <col min="4365" max="4367" width="10.7109375" style="96" bestFit="1" customWidth="1"/>
    <col min="4368" max="4369" width="10.7109375" style="96" customWidth="1"/>
    <col min="4370" max="4371" width="10.7109375" style="96" bestFit="1" customWidth="1"/>
    <col min="4372" max="4608" width="9.140625" style="96"/>
    <col min="4609" max="4609" width="14.140625" style="96" customWidth="1"/>
    <col min="4610" max="4610" width="66.28515625" style="96" bestFit="1" customWidth="1"/>
    <col min="4611" max="4611" width="10" style="96" bestFit="1" customWidth="1"/>
    <col min="4612" max="4613" width="8.5703125" style="96" bestFit="1" customWidth="1"/>
    <col min="4614" max="4614" width="17.42578125" style="96" bestFit="1" customWidth="1"/>
    <col min="4615" max="4615" width="17.28515625" style="96" bestFit="1" customWidth="1"/>
    <col min="4616" max="4617" width="10.7109375" style="96" customWidth="1"/>
    <col min="4618" max="4619" width="10.7109375" style="96" bestFit="1" customWidth="1"/>
    <col min="4620" max="4620" width="10.7109375" style="96" customWidth="1"/>
    <col min="4621" max="4623" width="10.7109375" style="96" bestFit="1" customWidth="1"/>
    <col min="4624" max="4625" width="10.7109375" style="96" customWidth="1"/>
    <col min="4626" max="4627" width="10.7109375" style="96" bestFit="1" customWidth="1"/>
    <col min="4628" max="4864" width="9.140625" style="96"/>
    <col min="4865" max="4865" width="14.140625" style="96" customWidth="1"/>
    <col min="4866" max="4866" width="66.28515625" style="96" bestFit="1" customWidth="1"/>
    <col min="4867" max="4867" width="10" style="96" bestFit="1" customWidth="1"/>
    <col min="4868" max="4869" width="8.5703125" style="96" bestFit="1" customWidth="1"/>
    <col min="4870" max="4870" width="17.42578125" style="96" bestFit="1" customWidth="1"/>
    <col min="4871" max="4871" width="17.28515625" style="96" bestFit="1" customWidth="1"/>
    <col min="4872" max="4873" width="10.7109375" style="96" customWidth="1"/>
    <col min="4874" max="4875" width="10.7109375" style="96" bestFit="1" customWidth="1"/>
    <col min="4876" max="4876" width="10.7109375" style="96" customWidth="1"/>
    <col min="4877" max="4879" width="10.7109375" style="96" bestFit="1" customWidth="1"/>
    <col min="4880" max="4881" width="10.7109375" style="96" customWidth="1"/>
    <col min="4882" max="4883" width="10.7109375" style="96" bestFit="1" customWidth="1"/>
    <col min="4884" max="5120" width="9.140625" style="96"/>
    <col min="5121" max="5121" width="14.140625" style="96" customWidth="1"/>
    <col min="5122" max="5122" width="66.28515625" style="96" bestFit="1" customWidth="1"/>
    <col min="5123" max="5123" width="10" style="96" bestFit="1" customWidth="1"/>
    <col min="5124" max="5125" width="8.5703125" style="96" bestFit="1" customWidth="1"/>
    <col min="5126" max="5126" width="17.42578125" style="96" bestFit="1" customWidth="1"/>
    <col min="5127" max="5127" width="17.28515625" style="96" bestFit="1" customWidth="1"/>
    <col min="5128" max="5129" width="10.7109375" style="96" customWidth="1"/>
    <col min="5130" max="5131" width="10.7109375" style="96" bestFit="1" customWidth="1"/>
    <col min="5132" max="5132" width="10.7109375" style="96" customWidth="1"/>
    <col min="5133" max="5135" width="10.7109375" style="96" bestFit="1" customWidth="1"/>
    <col min="5136" max="5137" width="10.7109375" style="96" customWidth="1"/>
    <col min="5138" max="5139" width="10.7109375" style="96" bestFit="1" customWidth="1"/>
    <col min="5140" max="5376" width="9.140625" style="96"/>
    <col min="5377" max="5377" width="14.140625" style="96" customWidth="1"/>
    <col min="5378" max="5378" width="66.28515625" style="96" bestFit="1" customWidth="1"/>
    <col min="5379" max="5379" width="10" style="96" bestFit="1" customWidth="1"/>
    <col min="5380" max="5381" width="8.5703125" style="96" bestFit="1" customWidth="1"/>
    <col min="5382" max="5382" width="17.42578125" style="96" bestFit="1" customWidth="1"/>
    <col min="5383" max="5383" width="17.28515625" style="96" bestFit="1" customWidth="1"/>
    <col min="5384" max="5385" width="10.7109375" style="96" customWidth="1"/>
    <col min="5386" max="5387" width="10.7109375" style="96" bestFit="1" customWidth="1"/>
    <col min="5388" max="5388" width="10.7109375" style="96" customWidth="1"/>
    <col min="5389" max="5391" width="10.7109375" style="96" bestFit="1" customWidth="1"/>
    <col min="5392" max="5393" width="10.7109375" style="96" customWidth="1"/>
    <col min="5394" max="5395" width="10.7109375" style="96" bestFit="1" customWidth="1"/>
    <col min="5396" max="5632" width="9.140625" style="96"/>
    <col min="5633" max="5633" width="14.140625" style="96" customWidth="1"/>
    <col min="5634" max="5634" width="66.28515625" style="96" bestFit="1" customWidth="1"/>
    <col min="5635" max="5635" width="10" style="96" bestFit="1" customWidth="1"/>
    <col min="5636" max="5637" width="8.5703125" style="96" bestFit="1" customWidth="1"/>
    <col min="5638" max="5638" width="17.42578125" style="96" bestFit="1" customWidth="1"/>
    <col min="5639" max="5639" width="17.28515625" style="96" bestFit="1" customWidth="1"/>
    <col min="5640" max="5641" width="10.7109375" style="96" customWidth="1"/>
    <col min="5642" max="5643" width="10.7109375" style="96" bestFit="1" customWidth="1"/>
    <col min="5644" max="5644" width="10.7109375" style="96" customWidth="1"/>
    <col min="5645" max="5647" width="10.7109375" style="96" bestFit="1" customWidth="1"/>
    <col min="5648" max="5649" width="10.7109375" style="96" customWidth="1"/>
    <col min="5650" max="5651" width="10.7109375" style="96" bestFit="1" customWidth="1"/>
    <col min="5652" max="5888" width="9.140625" style="96"/>
    <col min="5889" max="5889" width="14.140625" style="96" customWidth="1"/>
    <col min="5890" max="5890" width="66.28515625" style="96" bestFit="1" customWidth="1"/>
    <col min="5891" max="5891" width="10" style="96" bestFit="1" customWidth="1"/>
    <col min="5892" max="5893" width="8.5703125" style="96" bestFit="1" customWidth="1"/>
    <col min="5894" max="5894" width="17.42578125" style="96" bestFit="1" customWidth="1"/>
    <col min="5895" max="5895" width="17.28515625" style="96" bestFit="1" customWidth="1"/>
    <col min="5896" max="5897" width="10.7109375" style="96" customWidth="1"/>
    <col min="5898" max="5899" width="10.7109375" style="96" bestFit="1" customWidth="1"/>
    <col min="5900" max="5900" width="10.7109375" style="96" customWidth="1"/>
    <col min="5901" max="5903" width="10.7109375" style="96" bestFit="1" customWidth="1"/>
    <col min="5904" max="5905" width="10.7109375" style="96" customWidth="1"/>
    <col min="5906" max="5907" width="10.7109375" style="96" bestFit="1" customWidth="1"/>
    <col min="5908" max="6144" width="9.140625" style="96"/>
    <col min="6145" max="6145" width="14.140625" style="96" customWidth="1"/>
    <col min="6146" max="6146" width="66.28515625" style="96" bestFit="1" customWidth="1"/>
    <col min="6147" max="6147" width="10" style="96" bestFit="1" customWidth="1"/>
    <col min="6148" max="6149" width="8.5703125" style="96" bestFit="1" customWidth="1"/>
    <col min="6150" max="6150" width="17.42578125" style="96" bestFit="1" customWidth="1"/>
    <col min="6151" max="6151" width="17.28515625" style="96" bestFit="1" customWidth="1"/>
    <col min="6152" max="6153" width="10.7109375" style="96" customWidth="1"/>
    <col min="6154" max="6155" width="10.7109375" style="96" bestFit="1" customWidth="1"/>
    <col min="6156" max="6156" width="10.7109375" style="96" customWidth="1"/>
    <col min="6157" max="6159" width="10.7109375" style="96" bestFit="1" customWidth="1"/>
    <col min="6160" max="6161" width="10.7109375" style="96" customWidth="1"/>
    <col min="6162" max="6163" width="10.7109375" style="96" bestFit="1" customWidth="1"/>
    <col min="6164" max="6400" width="9.140625" style="96"/>
    <col min="6401" max="6401" width="14.140625" style="96" customWidth="1"/>
    <col min="6402" max="6402" width="66.28515625" style="96" bestFit="1" customWidth="1"/>
    <col min="6403" max="6403" width="10" style="96" bestFit="1" customWidth="1"/>
    <col min="6404" max="6405" width="8.5703125" style="96" bestFit="1" customWidth="1"/>
    <col min="6406" max="6406" width="17.42578125" style="96" bestFit="1" customWidth="1"/>
    <col min="6407" max="6407" width="17.28515625" style="96" bestFit="1" customWidth="1"/>
    <col min="6408" max="6409" width="10.7109375" style="96" customWidth="1"/>
    <col min="6410" max="6411" width="10.7109375" style="96" bestFit="1" customWidth="1"/>
    <col min="6412" max="6412" width="10.7109375" style="96" customWidth="1"/>
    <col min="6413" max="6415" width="10.7109375" style="96" bestFit="1" customWidth="1"/>
    <col min="6416" max="6417" width="10.7109375" style="96" customWidth="1"/>
    <col min="6418" max="6419" width="10.7109375" style="96" bestFit="1" customWidth="1"/>
    <col min="6420" max="6656" width="9.140625" style="96"/>
    <col min="6657" max="6657" width="14.140625" style="96" customWidth="1"/>
    <col min="6658" max="6658" width="66.28515625" style="96" bestFit="1" customWidth="1"/>
    <col min="6659" max="6659" width="10" style="96" bestFit="1" customWidth="1"/>
    <col min="6660" max="6661" width="8.5703125" style="96" bestFit="1" customWidth="1"/>
    <col min="6662" max="6662" width="17.42578125" style="96" bestFit="1" customWidth="1"/>
    <col min="6663" max="6663" width="17.28515625" style="96" bestFit="1" customWidth="1"/>
    <col min="6664" max="6665" width="10.7109375" style="96" customWidth="1"/>
    <col min="6666" max="6667" width="10.7109375" style="96" bestFit="1" customWidth="1"/>
    <col min="6668" max="6668" width="10.7109375" style="96" customWidth="1"/>
    <col min="6669" max="6671" width="10.7109375" style="96" bestFit="1" customWidth="1"/>
    <col min="6672" max="6673" width="10.7109375" style="96" customWidth="1"/>
    <col min="6674" max="6675" width="10.7109375" style="96" bestFit="1" customWidth="1"/>
    <col min="6676" max="6912" width="9.140625" style="96"/>
    <col min="6913" max="6913" width="14.140625" style="96" customWidth="1"/>
    <col min="6914" max="6914" width="66.28515625" style="96" bestFit="1" customWidth="1"/>
    <col min="6915" max="6915" width="10" style="96" bestFit="1" customWidth="1"/>
    <col min="6916" max="6917" width="8.5703125" style="96" bestFit="1" customWidth="1"/>
    <col min="6918" max="6918" width="17.42578125" style="96" bestFit="1" customWidth="1"/>
    <col min="6919" max="6919" width="17.28515625" style="96" bestFit="1" customWidth="1"/>
    <col min="6920" max="6921" width="10.7109375" style="96" customWidth="1"/>
    <col min="6922" max="6923" width="10.7109375" style="96" bestFit="1" customWidth="1"/>
    <col min="6924" max="6924" width="10.7109375" style="96" customWidth="1"/>
    <col min="6925" max="6927" width="10.7109375" style="96" bestFit="1" customWidth="1"/>
    <col min="6928" max="6929" width="10.7109375" style="96" customWidth="1"/>
    <col min="6930" max="6931" width="10.7109375" style="96" bestFit="1" customWidth="1"/>
    <col min="6932" max="7168" width="9.140625" style="96"/>
    <col min="7169" max="7169" width="14.140625" style="96" customWidth="1"/>
    <col min="7170" max="7170" width="66.28515625" style="96" bestFit="1" customWidth="1"/>
    <col min="7171" max="7171" width="10" style="96" bestFit="1" customWidth="1"/>
    <col min="7172" max="7173" width="8.5703125" style="96" bestFit="1" customWidth="1"/>
    <col min="7174" max="7174" width="17.42578125" style="96" bestFit="1" customWidth="1"/>
    <col min="7175" max="7175" width="17.28515625" style="96" bestFit="1" customWidth="1"/>
    <col min="7176" max="7177" width="10.7109375" style="96" customWidth="1"/>
    <col min="7178" max="7179" width="10.7109375" style="96" bestFit="1" customWidth="1"/>
    <col min="7180" max="7180" width="10.7109375" style="96" customWidth="1"/>
    <col min="7181" max="7183" width="10.7109375" style="96" bestFit="1" customWidth="1"/>
    <col min="7184" max="7185" width="10.7109375" style="96" customWidth="1"/>
    <col min="7186" max="7187" width="10.7109375" style="96" bestFit="1" customWidth="1"/>
    <col min="7188" max="7424" width="9.140625" style="96"/>
    <col min="7425" max="7425" width="14.140625" style="96" customWidth="1"/>
    <col min="7426" max="7426" width="66.28515625" style="96" bestFit="1" customWidth="1"/>
    <col min="7427" max="7427" width="10" style="96" bestFit="1" customWidth="1"/>
    <col min="7428" max="7429" width="8.5703125" style="96" bestFit="1" customWidth="1"/>
    <col min="7430" max="7430" width="17.42578125" style="96" bestFit="1" customWidth="1"/>
    <col min="7431" max="7431" width="17.28515625" style="96" bestFit="1" customWidth="1"/>
    <col min="7432" max="7433" width="10.7109375" style="96" customWidth="1"/>
    <col min="7434" max="7435" width="10.7109375" style="96" bestFit="1" customWidth="1"/>
    <col min="7436" max="7436" width="10.7109375" style="96" customWidth="1"/>
    <col min="7437" max="7439" width="10.7109375" style="96" bestFit="1" customWidth="1"/>
    <col min="7440" max="7441" width="10.7109375" style="96" customWidth="1"/>
    <col min="7442" max="7443" width="10.7109375" style="96" bestFit="1" customWidth="1"/>
    <col min="7444" max="7680" width="9.140625" style="96"/>
    <col min="7681" max="7681" width="14.140625" style="96" customWidth="1"/>
    <col min="7682" max="7682" width="66.28515625" style="96" bestFit="1" customWidth="1"/>
    <col min="7683" max="7683" width="10" style="96" bestFit="1" customWidth="1"/>
    <col min="7684" max="7685" width="8.5703125" style="96" bestFit="1" customWidth="1"/>
    <col min="7686" max="7686" width="17.42578125" style="96" bestFit="1" customWidth="1"/>
    <col min="7687" max="7687" width="17.28515625" style="96" bestFit="1" customWidth="1"/>
    <col min="7688" max="7689" width="10.7109375" style="96" customWidth="1"/>
    <col min="7690" max="7691" width="10.7109375" style="96" bestFit="1" customWidth="1"/>
    <col min="7692" max="7692" width="10.7109375" style="96" customWidth="1"/>
    <col min="7693" max="7695" width="10.7109375" style="96" bestFit="1" customWidth="1"/>
    <col min="7696" max="7697" width="10.7109375" style="96" customWidth="1"/>
    <col min="7698" max="7699" width="10.7109375" style="96" bestFit="1" customWidth="1"/>
    <col min="7700" max="7936" width="9.140625" style="96"/>
    <col min="7937" max="7937" width="14.140625" style="96" customWidth="1"/>
    <col min="7938" max="7938" width="66.28515625" style="96" bestFit="1" customWidth="1"/>
    <col min="7939" max="7939" width="10" style="96" bestFit="1" customWidth="1"/>
    <col min="7940" max="7941" width="8.5703125" style="96" bestFit="1" customWidth="1"/>
    <col min="7942" max="7942" width="17.42578125" style="96" bestFit="1" customWidth="1"/>
    <col min="7943" max="7943" width="17.28515625" style="96" bestFit="1" customWidth="1"/>
    <col min="7944" max="7945" width="10.7109375" style="96" customWidth="1"/>
    <col min="7946" max="7947" width="10.7109375" style="96" bestFit="1" customWidth="1"/>
    <col min="7948" max="7948" width="10.7109375" style="96" customWidth="1"/>
    <col min="7949" max="7951" width="10.7109375" style="96" bestFit="1" customWidth="1"/>
    <col min="7952" max="7953" width="10.7109375" style="96" customWidth="1"/>
    <col min="7954" max="7955" width="10.7109375" style="96" bestFit="1" customWidth="1"/>
    <col min="7956" max="8192" width="9.140625" style="96"/>
    <col min="8193" max="8193" width="14.140625" style="96" customWidth="1"/>
    <col min="8194" max="8194" width="66.28515625" style="96" bestFit="1" customWidth="1"/>
    <col min="8195" max="8195" width="10" style="96" bestFit="1" customWidth="1"/>
    <col min="8196" max="8197" width="8.5703125" style="96" bestFit="1" customWidth="1"/>
    <col min="8198" max="8198" width="17.42578125" style="96" bestFit="1" customWidth="1"/>
    <col min="8199" max="8199" width="17.28515625" style="96" bestFit="1" customWidth="1"/>
    <col min="8200" max="8201" width="10.7109375" style="96" customWidth="1"/>
    <col min="8202" max="8203" width="10.7109375" style="96" bestFit="1" customWidth="1"/>
    <col min="8204" max="8204" width="10.7109375" style="96" customWidth="1"/>
    <col min="8205" max="8207" width="10.7109375" style="96" bestFit="1" customWidth="1"/>
    <col min="8208" max="8209" width="10.7109375" style="96" customWidth="1"/>
    <col min="8210" max="8211" width="10.7109375" style="96" bestFit="1" customWidth="1"/>
    <col min="8212" max="8448" width="9.140625" style="96"/>
    <col min="8449" max="8449" width="14.140625" style="96" customWidth="1"/>
    <col min="8450" max="8450" width="66.28515625" style="96" bestFit="1" customWidth="1"/>
    <col min="8451" max="8451" width="10" style="96" bestFit="1" customWidth="1"/>
    <col min="8452" max="8453" width="8.5703125" style="96" bestFit="1" customWidth="1"/>
    <col min="8454" max="8454" width="17.42578125" style="96" bestFit="1" customWidth="1"/>
    <col min="8455" max="8455" width="17.28515625" style="96" bestFit="1" customWidth="1"/>
    <col min="8456" max="8457" width="10.7109375" style="96" customWidth="1"/>
    <col min="8458" max="8459" width="10.7109375" style="96" bestFit="1" customWidth="1"/>
    <col min="8460" max="8460" width="10.7109375" style="96" customWidth="1"/>
    <col min="8461" max="8463" width="10.7109375" style="96" bestFit="1" customWidth="1"/>
    <col min="8464" max="8465" width="10.7109375" style="96" customWidth="1"/>
    <col min="8466" max="8467" width="10.7109375" style="96" bestFit="1" customWidth="1"/>
    <col min="8468" max="8704" width="9.140625" style="96"/>
    <col min="8705" max="8705" width="14.140625" style="96" customWidth="1"/>
    <col min="8706" max="8706" width="66.28515625" style="96" bestFit="1" customWidth="1"/>
    <col min="8707" max="8707" width="10" style="96" bestFit="1" customWidth="1"/>
    <col min="8708" max="8709" width="8.5703125" style="96" bestFit="1" customWidth="1"/>
    <col min="8710" max="8710" width="17.42578125" style="96" bestFit="1" customWidth="1"/>
    <col min="8711" max="8711" width="17.28515625" style="96" bestFit="1" customWidth="1"/>
    <col min="8712" max="8713" width="10.7109375" style="96" customWidth="1"/>
    <col min="8714" max="8715" width="10.7109375" style="96" bestFit="1" customWidth="1"/>
    <col min="8716" max="8716" width="10.7109375" style="96" customWidth="1"/>
    <col min="8717" max="8719" width="10.7109375" style="96" bestFit="1" customWidth="1"/>
    <col min="8720" max="8721" width="10.7109375" style="96" customWidth="1"/>
    <col min="8722" max="8723" width="10.7109375" style="96" bestFit="1" customWidth="1"/>
    <col min="8724" max="8960" width="9.140625" style="96"/>
    <col min="8961" max="8961" width="14.140625" style="96" customWidth="1"/>
    <col min="8962" max="8962" width="66.28515625" style="96" bestFit="1" customWidth="1"/>
    <col min="8963" max="8963" width="10" style="96" bestFit="1" customWidth="1"/>
    <col min="8964" max="8965" width="8.5703125" style="96" bestFit="1" customWidth="1"/>
    <col min="8966" max="8966" width="17.42578125" style="96" bestFit="1" customWidth="1"/>
    <col min="8967" max="8967" width="17.28515625" style="96" bestFit="1" customWidth="1"/>
    <col min="8968" max="8969" width="10.7109375" style="96" customWidth="1"/>
    <col min="8970" max="8971" width="10.7109375" style="96" bestFit="1" customWidth="1"/>
    <col min="8972" max="8972" width="10.7109375" style="96" customWidth="1"/>
    <col min="8973" max="8975" width="10.7109375" style="96" bestFit="1" customWidth="1"/>
    <col min="8976" max="8977" width="10.7109375" style="96" customWidth="1"/>
    <col min="8978" max="8979" width="10.7109375" style="96" bestFit="1" customWidth="1"/>
    <col min="8980" max="9216" width="9.140625" style="96"/>
    <col min="9217" max="9217" width="14.140625" style="96" customWidth="1"/>
    <col min="9218" max="9218" width="66.28515625" style="96" bestFit="1" customWidth="1"/>
    <col min="9219" max="9219" width="10" style="96" bestFit="1" customWidth="1"/>
    <col min="9220" max="9221" width="8.5703125" style="96" bestFit="1" customWidth="1"/>
    <col min="9222" max="9222" width="17.42578125" style="96" bestFit="1" customWidth="1"/>
    <col min="9223" max="9223" width="17.28515625" style="96" bestFit="1" customWidth="1"/>
    <col min="9224" max="9225" width="10.7109375" style="96" customWidth="1"/>
    <col min="9226" max="9227" width="10.7109375" style="96" bestFit="1" customWidth="1"/>
    <col min="9228" max="9228" width="10.7109375" style="96" customWidth="1"/>
    <col min="9229" max="9231" width="10.7109375" style="96" bestFit="1" customWidth="1"/>
    <col min="9232" max="9233" width="10.7109375" style="96" customWidth="1"/>
    <col min="9234" max="9235" width="10.7109375" style="96" bestFit="1" customWidth="1"/>
    <col min="9236" max="9472" width="9.140625" style="96"/>
    <col min="9473" max="9473" width="14.140625" style="96" customWidth="1"/>
    <col min="9474" max="9474" width="66.28515625" style="96" bestFit="1" customWidth="1"/>
    <col min="9475" max="9475" width="10" style="96" bestFit="1" customWidth="1"/>
    <col min="9476" max="9477" width="8.5703125" style="96" bestFit="1" customWidth="1"/>
    <col min="9478" max="9478" width="17.42578125" style="96" bestFit="1" customWidth="1"/>
    <col min="9479" max="9479" width="17.28515625" style="96" bestFit="1" customWidth="1"/>
    <col min="9480" max="9481" width="10.7109375" style="96" customWidth="1"/>
    <col min="9482" max="9483" width="10.7109375" style="96" bestFit="1" customWidth="1"/>
    <col min="9484" max="9484" width="10.7109375" style="96" customWidth="1"/>
    <col min="9485" max="9487" width="10.7109375" style="96" bestFit="1" customWidth="1"/>
    <col min="9488" max="9489" width="10.7109375" style="96" customWidth="1"/>
    <col min="9490" max="9491" width="10.7109375" style="96" bestFit="1" customWidth="1"/>
    <col min="9492" max="9728" width="9.140625" style="96"/>
    <col min="9729" max="9729" width="14.140625" style="96" customWidth="1"/>
    <col min="9730" max="9730" width="66.28515625" style="96" bestFit="1" customWidth="1"/>
    <col min="9731" max="9731" width="10" style="96" bestFit="1" customWidth="1"/>
    <col min="9732" max="9733" width="8.5703125" style="96" bestFit="1" customWidth="1"/>
    <col min="9734" max="9734" width="17.42578125" style="96" bestFit="1" customWidth="1"/>
    <col min="9735" max="9735" width="17.28515625" style="96" bestFit="1" customWidth="1"/>
    <col min="9736" max="9737" width="10.7109375" style="96" customWidth="1"/>
    <col min="9738" max="9739" width="10.7109375" style="96" bestFit="1" customWidth="1"/>
    <col min="9740" max="9740" width="10.7109375" style="96" customWidth="1"/>
    <col min="9741" max="9743" width="10.7109375" style="96" bestFit="1" customWidth="1"/>
    <col min="9744" max="9745" width="10.7109375" style="96" customWidth="1"/>
    <col min="9746" max="9747" width="10.7109375" style="96" bestFit="1" customWidth="1"/>
    <col min="9748" max="9984" width="9.140625" style="96"/>
    <col min="9985" max="9985" width="14.140625" style="96" customWidth="1"/>
    <col min="9986" max="9986" width="66.28515625" style="96" bestFit="1" customWidth="1"/>
    <col min="9987" max="9987" width="10" style="96" bestFit="1" customWidth="1"/>
    <col min="9988" max="9989" width="8.5703125" style="96" bestFit="1" customWidth="1"/>
    <col min="9990" max="9990" width="17.42578125" style="96" bestFit="1" customWidth="1"/>
    <col min="9991" max="9991" width="17.28515625" style="96" bestFit="1" customWidth="1"/>
    <col min="9992" max="9993" width="10.7109375" style="96" customWidth="1"/>
    <col min="9994" max="9995" width="10.7109375" style="96" bestFit="1" customWidth="1"/>
    <col min="9996" max="9996" width="10.7109375" style="96" customWidth="1"/>
    <col min="9997" max="9999" width="10.7109375" style="96" bestFit="1" customWidth="1"/>
    <col min="10000" max="10001" width="10.7109375" style="96" customWidth="1"/>
    <col min="10002" max="10003" width="10.7109375" style="96" bestFit="1" customWidth="1"/>
    <col min="10004" max="10240" width="9.140625" style="96"/>
    <col min="10241" max="10241" width="14.140625" style="96" customWidth="1"/>
    <col min="10242" max="10242" width="66.28515625" style="96" bestFit="1" customWidth="1"/>
    <col min="10243" max="10243" width="10" style="96" bestFit="1" customWidth="1"/>
    <col min="10244" max="10245" width="8.5703125" style="96" bestFit="1" customWidth="1"/>
    <col min="10246" max="10246" width="17.42578125" style="96" bestFit="1" customWidth="1"/>
    <col min="10247" max="10247" width="17.28515625" style="96" bestFit="1" customWidth="1"/>
    <col min="10248" max="10249" width="10.7109375" style="96" customWidth="1"/>
    <col min="10250" max="10251" width="10.7109375" style="96" bestFit="1" customWidth="1"/>
    <col min="10252" max="10252" width="10.7109375" style="96" customWidth="1"/>
    <col min="10253" max="10255" width="10.7109375" style="96" bestFit="1" customWidth="1"/>
    <col min="10256" max="10257" width="10.7109375" style="96" customWidth="1"/>
    <col min="10258" max="10259" width="10.7109375" style="96" bestFit="1" customWidth="1"/>
    <col min="10260" max="10496" width="9.140625" style="96"/>
    <col min="10497" max="10497" width="14.140625" style="96" customWidth="1"/>
    <col min="10498" max="10498" width="66.28515625" style="96" bestFit="1" customWidth="1"/>
    <col min="10499" max="10499" width="10" style="96" bestFit="1" customWidth="1"/>
    <col min="10500" max="10501" width="8.5703125" style="96" bestFit="1" customWidth="1"/>
    <col min="10502" max="10502" width="17.42578125" style="96" bestFit="1" customWidth="1"/>
    <col min="10503" max="10503" width="17.28515625" style="96" bestFit="1" customWidth="1"/>
    <col min="10504" max="10505" width="10.7109375" style="96" customWidth="1"/>
    <col min="10506" max="10507" width="10.7109375" style="96" bestFit="1" customWidth="1"/>
    <col min="10508" max="10508" width="10.7109375" style="96" customWidth="1"/>
    <col min="10509" max="10511" width="10.7109375" style="96" bestFit="1" customWidth="1"/>
    <col min="10512" max="10513" width="10.7109375" style="96" customWidth="1"/>
    <col min="10514" max="10515" width="10.7109375" style="96" bestFit="1" customWidth="1"/>
    <col min="10516" max="10752" width="9.140625" style="96"/>
    <col min="10753" max="10753" width="14.140625" style="96" customWidth="1"/>
    <col min="10754" max="10754" width="66.28515625" style="96" bestFit="1" customWidth="1"/>
    <col min="10755" max="10755" width="10" style="96" bestFit="1" customWidth="1"/>
    <col min="10756" max="10757" width="8.5703125" style="96" bestFit="1" customWidth="1"/>
    <col min="10758" max="10758" width="17.42578125" style="96" bestFit="1" customWidth="1"/>
    <col min="10759" max="10759" width="17.28515625" style="96" bestFit="1" customWidth="1"/>
    <col min="10760" max="10761" width="10.7109375" style="96" customWidth="1"/>
    <col min="10762" max="10763" width="10.7109375" style="96" bestFit="1" customWidth="1"/>
    <col min="10764" max="10764" width="10.7109375" style="96" customWidth="1"/>
    <col min="10765" max="10767" width="10.7109375" style="96" bestFit="1" customWidth="1"/>
    <col min="10768" max="10769" width="10.7109375" style="96" customWidth="1"/>
    <col min="10770" max="10771" width="10.7109375" style="96" bestFit="1" customWidth="1"/>
    <col min="10772" max="11008" width="9.140625" style="96"/>
    <col min="11009" max="11009" width="14.140625" style="96" customWidth="1"/>
    <col min="11010" max="11010" width="66.28515625" style="96" bestFit="1" customWidth="1"/>
    <col min="11011" max="11011" width="10" style="96" bestFit="1" customWidth="1"/>
    <col min="11012" max="11013" width="8.5703125" style="96" bestFit="1" customWidth="1"/>
    <col min="11014" max="11014" width="17.42578125" style="96" bestFit="1" customWidth="1"/>
    <col min="11015" max="11015" width="17.28515625" style="96" bestFit="1" customWidth="1"/>
    <col min="11016" max="11017" width="10.7109375" style="96" customWidth="1"/>
    <col min="11018" max="11019" width="10.7109375" style="96" bestFit="1" customWidth="1"/>
    <col min="11020" max="11020" width="10.7109375" style="96" customWidth="1"/>
    <col min="11021" max="11023" width="10.7109375" style="96" bestFit="1" customWidth="1"/>
    <col min="11024" max="11025" width="10.7109375" style="96" customWidth="1"/>
    <col min="11026" max="11027" width="10.7109375" style="96" bestFit="1" customWidth="1"/>
    <col min="11028" max="11264" width="9.140625" style="96"/>
    <col min="11265" max="11265" width="14.140625" style="96" customWidth="1"/>
    <col min="11266" max="11266" width="66.28515625" style="96" bestFit="1" customWidth="1"/>
    <col min="11267" max="11267" width="10" style="96" bestFit="1" customWidth="1"/>
    <col min="11268" max="11269" width="8.5703125" style="96" bestFit="1" customWidth="1"/>
    <col min="11270" max="11270" width="17.42578125" style="96" bestFit="1" customWidth="1"/>
    <col min="11271" max="11271" width="17.28515625" style="96" bestFit="1" customWidth="1"/>
    <col min="11272" max="11273" width="10.7109375" style="96" customWidth="1"/>
    <col min="11274" max="11275" width="10.7109375" style="96" bestFit="1" customWidth="1"/>
    <col min="11276" max="11276" width="10.7109375" style="96" customWidth="1"/>
    <col min="11277" max="11279" width="10.7109375" style="96" bestFit="1" customWidth="1"/>
    <col min="11280" max="11281" width="10.7109375" style="96" customWidth="1"/>
    <col min="11282" max="11283" width="10.7109375" style="96" bestFit="1" customWidth="1"/>
    <col min="11284" max="11520" width="9.140625" style="96"/>
    <col min="11521" max="11521" width="14.140625" style="96" customWidth="1"/>
    <col min="11522" max="11522" width="66.28515625" style="96" bestFit="1" customWidth="1"/>
    <col min="11523" max="11523" width="10" style="96" bestFit="1" customWidth="1"/>
    <col min="11524" max="11525" width="8.5703125" style="96" bestFit="1" customWidth="1"/>
    <col min="11526" max="11526" width="17.42578125" style="96" bestFit="1" customWidth="1"/>
    <col min="11527" max="11527" width="17.28515625" style="96" bestFit="1" customWidth="1"/>
    <col min="11528" max="11529" width="10.7109375" style="96" customWidth="1"/>
    <col min="11530" max="11531" width="10.7109375" style="96" bestFit="1" customWidth="1"/>
    <col min="11532" max="11532" width="10.7109375" style="96" customWidth="1"/>
    <col min="11533" max="11535" width="10.7109375" style="96" bestFit="1" customWidth="1"/>
    <col min="11536" max="11537" width="10.7109375" style="96" customWidth="1"/>
    <col min="11538" max="11539" width="10.7109375" style="96" bestFit="1" customWidth="1"/>
    <col min="11540" max="11776" width="9.140625" style="96"/>
    <col min="11777" max="11777" width="14.140625" style="96" customWidth="1"/>
    <col min="11778" max="11778" width="66.28515625" style="96" bestFit="1" customWidth="1"/>
    <col min="11779" max="11779" width="10" style="96" bestFit="1" customWidth="1"/>
    <col min="11780" max="11781" width="8.5703125" style="96" bestFit="1" customWidth="1"/>
    <col min="11782" max="11782" width="17.42578125" style="96" bestFit="1" customWidth="1"/>
    <col min="11783" max="11783" width="17.28515625" style="96" bestFit="1" customWidth="1"/>
    <col min="11784" max="11785" width="10.7109375" style="96" customWidth="1"/>
    <col min="11786" max="11787" width="10.7109375" style="96" bestFit="1" customWidth="1"/>
    <col min="11788" max="11788" width="10.7109375" style="96" customWidth="1"/>
    <col min="11789" max="11791" width="10.7109375" style="96" bestFit="1" customWidth="1"/>
    <col min="11792" max="11793" width="10.7109375" style="96" customWidth="1"/>
    <col min="11794" max="11795" width="10.7109375" style="96" bestFit="1" customWidth="1"/>
    <col min="11796" max="12032" width="9.140625" style="96"/>
    <col min="12033" max="12033" width="14.140625" style="96" customWidth="1"/>
    <col min="12034" max="12034" width="66.28515625" style="96" bestFit="1" customWidth="1"/>
    <col min="12035" max="12035" width="10" style="96" bestFit="1" customWidth="1"/>
    <col min="12036" max="12037" width="8.5703125" style="96" bestFit="1" customWidth="1"/>
    <col min="12038" max="12038" width="17.42578125" style="96" bestFit="1" customWidth="1"/>
    <col min="12039" max="12039" width="17.28515625" style="96" bestFit="1" customWidth="1"/>
    <col min="12040" max="12041" width="10.7109375" style="96" customWidth="1"/>
    <col min="12042" max="12043" width="10.7109375" style="96" bestFit="1" customWidth="1"/>
    <col min="12044" max="12044" width="10.7109375" style="96" customWidth="1"/>
    <col min="12045" max="12047" width="10.7109375" style="96" bestFit="1" customWidth="1"/>
    <col min="12048" max="12049" width="10.7109375" style="96" customWidth="1"/>
    <col min="12050" max="12051" width="10.7109375" style="96" bestFit="1" customWidth="1"/>
    <col min="12052" max="12288" width="9.140625" style="96"/>
    <col min="12289" max="12289" width="14.140625" style="96" customWidth="1"/>
    <col min="12290" max="12290" width="66.28515625" style="96" bestFit="1" customWidth="1"/>
    <col min="12291" max="12291" width="10" style="96" bestFit="1" customWidth="1"/>
    <col min="12292" max="12293" width="8.5703125" style="96" bestFit="1" customWidth="1"/>
    <col min="12294" max="12294" width="17.42578125" style="96" bestFit="1" customWidth="1"/>
    <col min="12295" max="12295" width="17.28515625" style="96" bestFit="1" customWidth="1"/>
    <col min="12296" max="12297" width="10.7109375" style="96" customWidth="1"/>
    <col min="12298" max="12299" width="10.7109375" style="96" bestFit="1" customWidth="1"/>
    <col min="12300" max="12300" width="10.7109375" style="96" customWidth="1"/>
    <col min="12301" max="12303" width="10.7109375" style="96" bestFit="1" customWidth="1"/>
    <col min="12304" max="12305" width="10.7109375" style="96" customWidth="1"/>
    <col min="12306" max="12307" width="10.7109375" style="96" bestFit="1" customWidth="1"/>
    <col min="12308" max="12544" width="9.140625" style="96"/>
    <col min="12545" max="12545" width="14.140625" style="96" customWidth="1"/>
    <col min="12546" max="12546" width="66.28515625" style="96" bestFit="1" customWidth="1"/>
    <col min="12547" max="12547" width="10" style="96" bestFit="1" customWidth="1"/>
    <col min="12548" max="12549" width="8.5703125" style="96" bestFit="1" customWidth="1"/>
    <col min="12550" max="12550" width="17.42578125" style="96" bestFit="1" customWidth="1"/>
    <col min="12551" max="12551" width="17.28515625" style="96" bestFit="1" customWidth="1"/>
    <col min="12552" max="12553" width="10.7109375" style="96" customWidth="1"/>
    <col min="12554" max="12555" width="10.7109375" style="96" bestFit="1" customWidth="1"/>
    <col min="12556" max="12556" width="10.7109375" style="96" customWidth="1"/>
    <col min="12557" max="12559" width="10.7109375" style="96" bestFit="1" customWidth="1"/>
    <col min="12560" max="12561" width="10.7109375" style="96" customWidth="1"/>
    <col min="12562" max="12563" width="10.7109375" style="96" bestFit="1" customWidth="1"/>
    <col min="12564" max="12800" width="9.140625" style="96"/>
    <col min="12801" max="12801" width="14.140625" style="96" customWidth="1"/>
    <col min="12802" max="12802" width="66.28515625" style="96" bestFit="1" customWidth="1"/>
    <col min="12803" max="12803" width="10" style="96" bestFit="1" customWidth="1"/>
    <col min="12804" max="12805" width="8.5703125" style="96" bestFit="1" customWidth="1"/>
    <col min="12806" max="12806" width="17.42578125" style="96" bestFit="1" customWidth="1"/>
    <col min="12807" max="12807" width="17.28515625" style="96" bestFit="1" customWidth="1"/>
    <col min="12808" max="12809" width="10.7109375" style="96" customWidth="1"/>
    <col min="12810" max="12811" width="10.7109375" style="96" bestFit="1" customWidth="1"/>
    <col min="12812" max="12812" width="10.7109375" style="96" customWidth="1"/>
    <col min="12813" max="12815" width="10.7109375" style="96" bestFit="1" customWidth="1"/>
    <col min="12816" max="12817" width="10.7109375" style="96" customWidth="1"/>
    <col min="12818" max="12819" width="10.7109375" style="96" bestFit="1" customWidth="1"/>
    <col min="12820" max="13056" width="9.140625" style="96"/>
    <col min="13057" max="13057" width="14.140625" style="96" customWidth="1"/>
    <col min="13058" max="13058" width="66.28515625" style="96" bestFit="1" customWidth="1"/>
    <col min="13059" max="13059" width="10" style="96" bestFit="1" customWidth="1"/>
    <col min="13060" max="13061" width="8.5703125" style="96" bestFit="1" customWidth="1"/>
    <col min="13062" max="13062" width="17.42578125" style="96" bestFit="1" customWidth="1"/>
    <col min="13063" max="13063" width="17.28515625" style="96" bestFit="1" customWidth="1"/>
    <col min="13064" max="13065" width="10.7109375" style="96" customWidth="1"/>
    <col min="13066" max="13067" width="10.7109375" style="96" bestFit="1" customWidth="1"/>
    <col min="13068" max="13068" width="10.7109375" style="96" customWidth="1"/>
    <col min="13069" max="13071" width="10.7109375" style="96" bestFit="1" customWidth="1"/>
    <col min="13072" max="13073" width="10.7109375" style="96" customWidth="1"/>
    <col min="13074" max="13075" width="10.7109375" style="96" bestFit="1" customWidth="1"/>
    <col min="13076" max="13312" width="9.140625" style="96"/>
    <col min="13313" max="13313" width="14.140625" style="96" customWidth="1"/>
    <col min="13314" max="13314" width="66.28515625" style="96" bestFit="1" customWidth="1"/>
    <col min="13315" max="13315" width="10" style="96" bestFit="1" customWidth="1"/>
    <col min="13316" max="13317" width="8.5703125" style="96" bestFit="1" customWidth="1"/>
    <col min="13318" max="13318" width="17.42578125" style="96" bestFit="1" customWidth="1"/>
    <col min="13319" max="13319" width="17.28515625" style="96" bestFit="1" customWidth="1"/>
    <col min="13320" max="13321" width="10.7109375" style="96" customWidth="1"/>
    <col min="13322" max="13323" width="10.7109375" style="96" bestFit="1" customWidth="1"/>
    <col min="13324" max="13324" width="10.7109375" style="96" customWidth="1"/>
    <col min="13325" max="13327" width="10.7109375" style="96" bestFit="1" customWidth="1"/>
    <col min="13328" max="13329" width="10.7109375" style="96" customWidth="1"/>
    <col min="13330" max="13331" width="10.7109375" style="96" bestFit="1" customWidth="1"/>
    <col min="13332" max="13568" width="9.140625" style="96"/>
    <col min="13569" max="13569" width="14.140625" style="96" customWidth="1"/>
    <col min="13570" max="13570" width="66.28515625" style="96" bestFit="1" customWidth="1"/>
    <col min="13571" max="13571" width="10" style="96" bestFit="1" customWidth="1"/>
    <col min="13572" max="13573" width="8.5703125" style="96" bestFit="1" customWidth="1"/>
    <col min="13574" max="13574" width="17.42578125" style="96" bestFit="1" customWidth="1"/>
    <col min="13575" max="13575" width="17.28515625" style="96" bestFit="1" customWidth="1"/>
    <col min="13576" max="13577" width="10.7109375" style="96" customWidth="1"/>
    <col min="13578" max="13579" width="10.7109375" style="96" bestFit="1" customWidth="1"/>
    <col min="13580" max="13580" width="10.7109375" style="96" customWidth="1"/>
    <col min="13581" max="13583" width="10.7109375" style="96" bestFit="1" customWidth="1"/>
    <col min="13584" max="13585" width="10.7109375" style="96" customWidth="1"/>
    <col min="13586" max="13587" width="10.7109375" style="96" bestFit="1" customWidth="1"/>
    <col min="13588" max="13824" width="9.140625" style="96"/>
    <col min="13825" max="13825" width="14.140625" style="96" customWidth="1"/>
    <col min="13826" max="13826" width="66.28515625" style="96" bestFit="1" customWidth="1"/>
    <col min="13827" max="13827" width="10" style="96" bestFit="1" customWidth="1"/>
    <col min="13828" max="13829" width="8.5703125" style="96" bestFit="1" customWidth="1"/>
    <col min="13830" max="13830" width="17.42578125" style="96" bestFit="1" customWidth="1"/>
    <col min="13831" max="13831" width="17.28515625" style="96" bestFit="1" customWidth="1"/>
    <col min="13832" max="13833" width="10.7109375" style="96" customWidth="1"/>
    <col min="13834" max="13835" width="10.7109375" style="96" bestFit="1" customWidth="1"/>
    <col min="13836" max="13836" width="10.7109375" style="96" customWidth="1"/>
    <col min="13837" max="13839" width="10.7109375" style="96" bestFit="1" customWidth="1"/>
    <col min="13840" max="13841" width="10.7109375" style="96" customWidth="1"/>
    <col min="13842" max="13843" width="10.7109375" style="96" bestFit="1" customWidth="1"/>
    <col min="13844" max="14080" width="9.140625" style="96"/>
    <col min="14081" max="14081" width="14.140625" style="96" customWidth="1"/>
    <col min="14082" max="14082" width="66.28515625" style="96" bestFit="1" customWidth="1"/>
    <col min="14083" max="14083" width="10" style="96" bestFit="1" customWidth="1"/>
    <col min="14084" max="14085" width="8.5703125" style="96" bestFit="1" customWidth="1"/>
    <col min="14086" max="14086" width="17.42578125" style="96" bestFit="1" customWidth="1"/>
    <col min="14087" max="14087" width="17.28515625" style="96" bestFit="1" customWidth="1"/>
    <col min="14088" max="14089" width="10.7109375" style="96" customWidth="1"/>
    <col min="14090" max="14091" width="10.7109375" style="96" bestFit="1" customWidth="1"/>
    <col min="14092" max="14092" width="10.7109375" style="96" customWidth="1"/>
    <col min="14093" max="14095" width="10.7109375" style="96" bestFit="1" customWidth="1"/>
    <col min="14096" max="14097" width="10.7109375" style="96" customWidth="1"/>
    <col min="14098" max="14099" width="10.7109375" style="96" bestFit="1" customWidth="1"/>
    <col min="14100" max="14336" width="9.140625" style="96"/>
    <col min="14337" max="14337" width="14.140625" style="96" customWidth="1"/>
    <col min="14338" max="14338" width="66.28515625" style="96" bestFit="1" customWidth="1"/>
    <col min="14339" max="14339" width="10" style="96" bestFit="1" customWidth="1"/>
    <col min="14340" max="14341" width="8.5703125" style="96" bestFit="1" customWidth="1"/>
    <col min="14342" max="14342" width="17.42578125" style="96" bestFit="1" customWidth="1"/>
    <col min="14343" max="14343" width="17.28515625" style="96" bestFit="1" customWidth="1"/>
    <col min="14344" max="14345" width="10.7109375" style="96" customWidth="1"/>
    <col min="14346" max="14347" width="10.7109375" style="96" bestFit="1" customWidth="1"/>
    <col min="14348" max="14348" width="10.7109375" style="96" customWidth="1"/>
    <col min="14349" max="14351" width="10.7109375" style="96" bestFit="1" customWidth="1"/>
    <col min="14352" max="14353" width="10.7109375" style="96" customWidth="1"/>
    <col min="14354" max="14355" width="10.7109375" style="96" bestFit="1" customWidth="1"/>
    <col min="14356" max="14592" width="9.140625" style="96"/>
    <col min="14593" max="14593" width="14.140625" style="96" customWidth="1"/>
    <col min="14594" max="14594" width="66.28515625" style="96" bestFit="1" customWidth="1"/>
    <col min="14595" max="14595" width="10" style="96" bestFit="1" customWidth="1"/>
    <col min="14596" max="14597" width="8.5703125" style="96" bestFit="1" customWidth="1"/>
    <col min="14598" max="14598" width="17.42578125" style="96" bestFit="1" customWidth="1"/>
    <col min="14599" max="14599" width="17.28515625" style="96" bestFit="1" customWidth="1"/>
    <col min="14600" max="14601" width="10.7109375" style="96" customWidth="1"/>
    <col min="14602" max="14603" width="10.7109375" style="96" bestFit="1" customWidth="1"/>
    <col min="14604" max="14604" width="10.7109375" style="96" customWidth="1"/>
    <col min="14605" max="14607" width="10.7109375" style="96" bestFit="1" customWidth="1"/>
    <col min="14608" max="14609" width="10.7109375" style="96" customWidth="1"/>
    <col min="14610" max="14611" width="10.7109375" style="96" bestFit="1" customWidth="1"/>
    <col min="14612" max="14848" width="9.140625" style="96"/>
    <col min="14849" max="14849" width="14.140625" style="96" customWidth="1"/>
    <col min="14850" max="14850" width="66.28515625" style="96" bestFit="1" customWidth="1"/>
    <col min="14851" max="14851" width="10" style="96" bestFit="1" customWidth="1"/>
    <col min="14852" max="14853" width="8.5703125" style="96" bestFit="1" customWidth="1"/>
    <col min="14854" max="14854" width="17.42578125" style="96" bestFit="1" customWidth="1"/>
    <col min="14855" max="14855" width="17.28515625" style="96" bestFit="1" customWidth="1"/>
    <col min="14856" max="14857" width="10.7109375" style="96" customWidth="1"/>
    <col min="14858" max="14859" width="10.7109375" style="96" bestFit="1" customWidth="1"/>
    <col min="14860" max="14860" width="10.7109375" style="96" customWidth="1"/>
    <col min="14861" max="14863" width="10.7109375" style="96" bestFit="1" customWidth="1"/>
    <col min="14864" max="14865" width="10.7109375" style="96" customWidth="1"/>
    <col min="14866" max="14867" width="10.7109375" style="96" bestFit="1" customWidth="1"/>
    <col min="14868" max="15104" width="9.140625" style="96"/>
    <col min="15105" max="15105" width="14.140625" style="96" customWidth="1"/>
    <col min="15106" max="15106" width="66.28515625" style="96" bestFit="1" customWidth="1"/>
    <col min="15107" max="15107" width="10" style="96" bestFit="1" customWidth="1"/>
    <col min="15108" max="15109" width="8.5703125" style="96" bestFit="1" customWidth="1"/>
    <col min="15110" max="15110" width="17.42578125" style="96" bestFit="1" customWidth="1"/>
    <col min="15111" max="15111" width="17.28515625" style="96" bestFit="1" customWidth="1"/>
    <col min="15112" max="15113" width="10.7109375" style="96" customWidth="1"/>
    <col min="15114" max="15115" width="10.7109375" style="96" bestFit="1" customWidth="1"/>
    <col min="15116" max="15116" width="10.7109375" style="96" customWidth="1"/>
    <col min="15117" max="15119" width="10.7109375" style="96" bestFit="1" customWidth="1"/>
    <col min="15120" max="15121" width="10.7109375" style="96" customWidth="1"/>
    <col min="15122" max="15123" width="10.7109375" style="96" bestFit="1" customWidth="1"/>
    <col min="15124" max="15360" width="9.140625" style="96"/>
    <col min="15361" max="15361" width="14.140625" style="96" customWidth="1"/>
    <col min="15362" max="15362" width="66.28515625" style="96" bestFit="1" customWidth="1"/>
    <col min="15363" max="15363" width="10" style="96" bestFit="1" customWidth="1"/>
    <col min="15364" max="15365" width="8.5703125" style="96" bestFit="1" customWidth="1"/>
    <col min="15366" max="15366" width="17.42578125" style="96" bestFit="1" customWidth="1"/>
    <col min="15367" max="15367" width="17.28515625" style="96" bestFit="1" customWidth="1"/>
    <col min="15368" max="15369" width="10.7109375" style="96" customWidth="1"/>
    <col min="15370" max="15371" width="10.7109375" style="96" bestFit="1" customWidth="1"/>
    <col min="15372" max="15372" width="10.7109375" style="96" customWidth="1"/>
    <col min="15373" max="15375" width="10.7109375" style="96" bestFit="1" customWidth="1"/>
    <col min="15376" max="15377" width="10.7109375" style="96" customWidth="1"/>
    <col min="15378" max="15379" width="10.7109375" style="96" bestFit="1" customWidth="1"/>
    <col min="15380" max="15616" width="9.140625" style="96"/>
    <col min="15617" max="15617" width="14.140625" style="96" customWidth="1"/>
    <col min="15618" max="15618" width="66.28515625" style="96" bestFit="1" customWidth="1"/>
    <col min="15619" max="15619" width="10" style="96" bestFit="1" customWidth="1"/>
    <col min="15620" max="15621" width="8.5703125" style="96" bestFit="1" customWidth="1"/>
    <col min="15622" max="15622" width="17.42578125" style="96" bestFit="1" customWidth="1"/>
    <col min="15623" max="15623" width="17.28515625" style="96" bestFit="1" customWidth="1"/>
    <col min="15624" max="15625" width="10.7109375" style="96" customWidth="1"/>
    <col min="15626" max="15627" width="10.7109375" style="96" bestFit="1" customWidth="1"/>
    <col min="15628" max="15628" width="10.7109375" style="96" customWidth="1"/>
    <col min="15629" max="15631" width="10.7109375" style="96" bestFit="1" customWidth="1"/>
    <col min="15632" max="15633" width="10.7109375" style="96" customWidth="1"/>
    <col min="15634" max="15635" width="10.7109375" style="96" bestFit="1" customWidth="1"/>
    <col min="15636" max="15872" width="9.140625" style="96"/>
    <col min="15873" max="15873" width="14.140625" style="96" customWidth="1"/>
    <col min="15874" max="15874" width="66.28515625" style="96" bestFit="1" customWidth="1"/>
    <col min="15875" max="15875" width="10" style="96" bestFit="1" customWidth="1"/>
    <col min="15876" max="15877" width="8.5703125" style="96" bestFit="1" customWidth="1"/>
    <col min="15878" max="15878" width="17.42578125" style="96" bestFit="1" customWidth="1"/>
    <col min="15879" max="15879" width="17.28515625" style="96" bestFit="1" customWidth="1"/>
    <col min="15880" max="15881" width="10.7109375" style="96" customWidth="1"/>
    <col min="15882" max="15883" width="10.7109375" style="96" bestFit="1" customWidth="1"/>
    <col min="15884" max="15884" width="10.7109375" style="96" customWidth="1"/>
    <col min="15885" max="15887" width="10.7109375" style="96" bestFit="1" customWidth="1"/>
    <col min="15888" max="15889" width="10.7109375" style="96" customWidth="1"/>
    <col min="15890" max="15891" width="10.7109375" style="96" bestFit="1" customWidth="1"/>
    <col min="15892" max="16128" width="9.140625" style="96"/>
    <col min="16129" max="16129" width="14.140625" style="96" customWidth="1"/>
    <col min="16130" max="16130" width="66.28515625" style="96" bestFit="1" customWidth="1"/>
    <col min="16131" max="16131" width="10" style="96" bestFit="1" customWidth="1"/>
    <col min="16132" max="16133" width="8.5703125" style="96" bestFit="1" customWidth="1"/>
    <col min="16134" max="16134" width="17.42578125" style="96" bestFit="1" customWidth="1"/>
    <col min="16135" max="16135" width="17.28515625" style="96" bestFit="1" customWidth="1"/>
    <col min="16136" max="16137" width="10.7109375" style="96" customWidth="1"/>
    <col min="16138" max="16139" width="10.7109375" style="96" bestFit="1" customWidth="1"/>
    <col min="16140" max="16140" width="10.7109375" style="96" customWidth="1"/>
    <col min="16141" max="16143" width="10.7109375" style="96" bestFit="1" customWidth="1"/>
    <col min="16144" max="16145" width="10.7109375" style="96" customWidth="1"/>
    <col min="16146" max="16147" width="10.7109375" style="96" bestFit="1" customWidth="1"/>
    <col min="16148" max="16384" width="9.140625" style="96"/>
  </cols>
  <sheetData>
    <row r="1" spans="1:135"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c r="AC1"/>
      <c r="AD1"/>
      <c r="AE1"/>
    </row>
    <row r="2" spans="1:135" s="223" customFormat="1" ht="24.95"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c r="AC2"/>
      <c r="AD2"/>
      <c r="AE2"/>
    </row>
    <row r="3" spans="1:135"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c r="AC3"/>
      <c r="AD3"/>
      <c r="AE3"/>
    </row>
    <row r="4" spans="1:135" s="165" customFormat="1" ht="24" customHeight="1">
      <c r="B4" s="10" t="s">
        <v>1503</v>
      </c>
      <c r="C4" s="12"/>
      <c r="D4" s="12"/>
      <c r="E4" s="12"/>
      <c r="F4" s="12"/>
      <c r="G4" s="12"/>
      <c r="H4" s="12"/>
      <c r="I4" s="12"/>
      <c r="J4" s="12"/>
      <c r="K4" s="12"/>
      <c r="L4" s="12"/>
      <c r="M4" s="12"/>
      <c r="N4" s="12"/>
      <c r="O4" s="12"/>
      <c r="P4" s="12"/>
      <c r="Q4" s="12"/>
      <c r="R4" s="12"/>
      <c r="S4" s="12"/>
      <c r="T4" s="12"/>
      <c r="U4" s="12"/>
      <c r="V4" s="12"/>
      <c r="W4" s="12"/>
      <c r="X4" s="12"/>
      <c r="Y4" s="12"/>
      <c r="Z4" s="12"/>
      <c r="AA4" s="12"/>
      <c r="AB4"/>
      <c r="AC4"/>
      <c r="AD4"/>
      <c r="AE4"/>
    </row>
    <row r="5" spans="1:135">
      <c r="A5" s="409"/>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row>
    <row r="6" spans="1:135">
      <c r="A6" s="798"/>
      <c r="B6" s="798"/>
      <c r="C6" s="798"/>
      <c r="D6" s="798"/>
      <c r="E6" s="798"/>
      <c r="F6" s="798"/>
      <c r="G6" s="798"/>
      <c r="H6" s="798"/>
      <c r="I6" s="798"/>
      <c r="J6" s="798"/>
      <c r="K6" s="798"/>
      <c r="L6" s="798"/>
      <c r="M6" s="798"/>
      <c r="N6" s="798"/>
      <c r="O6" s="798"/>
      <c r="P6" s="798"/>
      <c r="Q6" s="798"/>
      <c r="R6" s="798"/>
      <c r="S6" s="798"/>
      <c r="T6" s="798"/>
      <c r="U6" s="798"/>
      <c r="V6" s="798"/>
      <c r="W6" s="798"/>
      <c r="X6" s="798"/>
      <c r="Y6" s="798"/>
      <c r="Z6" s="798"/>
      <c r="AA6" s="798"/>
    </row>
    <row r="7" spans="1:135">
      <c r="A7" s="798"/>
      <c r="B7" s="4097" t="s">
        <v>59</v>
      </c>
      <c r="C7" s="4097"/>
      <c r="D7" s="4097"/>
      <c r="E7" s="4097"/>
      <c r="F7" s="4097"/>
      <c r="G7" s="4097"/>
      <c r="H7" s="798"/>
      <c r="I7" s="798"/>
      <c r="J7" s="798"/>
      <c r="K7" s="798"/>
      <c r="L7" s="798"/>
      <c r="M7" s="798"/>
      <c r="N7" s="798"/>
      <c r="O7" s="798"/>
      <c r="P7" s="798"/>
      <c r="Q7" s="798"/>
      <c r="R7" s="798"/>
      <c r="S7" s="798"/>
      <c r="T7" s="798"/>
      <c r="U7" s="798"/>
      <c r="V7" s="798"/>
      <c r="W7" s="798"/>
      <c r="X7" s="798"/>
      <c r="Y7" s="798"/>
      <c r="Z7" s="798"/>
      <c r="AA7" s="798"/>
    </row>
    <row r="8" spans="1:135">
      <c r="A8" s="798"/>
      <c r="B8" s="4061" t="s">
        <v>244</v>
      </c>
      <c r="C8" s="4061"/>
      <c r="D8" s="4061"/>
      <c r="E8" s="4061"/>
      <c r="F8" s="4061"/>
      <c r="G8" s="4061"/>
      <c r="H8" s="798"/>
      <c r="I8" s="798"/>
      <c r="J8" s="798"/>
      <c r="K8" s="798"/>
      <c r="L8" s="798"/>
      <c r="M8" s="798"/>
      <c r="N8" s="798"/>
      <c r="O8" s="798"/>
      <c r="P8" s="798"/>
      <c r="Q8" s="798"/>
      <c r="R8" s="798"/>
      <c r="S8" s="798"/>
      <c r="T8" s="798"/>
      <c r="U8" s="798"/>
      <c r="V8" s="798"/>
      <c r="W8" s="798"/>
      <c r="X8" s="798"/>
      <c r="Y8" s="798"/>
      <c r="Z8" s="798"/>
      <c r="AA8" s="798"/>
    </row>
    <row r="9" spans="1:135" ht="29.25" customHeight="1">
      <c r="A9" s="798"/>
      <c r="B9" s="4061" t="s">
        <v>511</v>
      </c>
      <c r="C9" s="4061"/>
      <c r="D9" s="4061"/>
      <c r="E9" s="4061"/>
      <c r="F9" s="4061"/>
      <c r="G9" s="4061"/>
      <c r="H9" s="798"/>
      <c r="I9" s="798"/>
      <c r="J9" s="798"/>
      <c r="K9" s="798"/>
      <c r="L9" s="798"/>
      <c r="M9" s="798"/>
      <c r="N9" s="798"/>
      <c r="O9" s="798"/>
      <c r="P9" s="798"/>
      <c r="Q9" s="798"/>
      <c r="R9" s="798"/>
      <c r="S9" s="798"/>
      <c r="T9" s="798"/>
      <c r="U9" s="798"/>
      <c r="V9" s="798"/>
      <c r="W9" s="798"/>
      <c r="X9" s="798"/>
      <c r="Y9" s="798"/>
      <c r="Z9" s="798"/>
      <c r="AA9" s="798"/>
    </row>
    <row r="10" spans="1:135" ht="27" customHeight="1">
      <c r="A10" s="798"/>
      <c r="B10" s="4144" t="s">
        <v>421</v>
      </c>
      <c r="C10" s="4145"/>
      <c r="D10" s="4145"/>
      <c r="E10" s="4145"/>
      <c r="F10" s="4145"/>
      <c r="G10" s="4145"/>
      <c r="H10" s="798"/>
      <c r="I10" s="798"/>
      <c r="J10" s="798"/>
      <c r="K10" s="798"/>
      <c r="L10" s="798"/>
      <c r="M10" s="798"/>
      <c r="N10" s="798"/>
      <c r="O10" s="798"/>
      <c r="P10" s="798"/>
      <c r="Q10" s="798"/>
      <c r="R10" s="798"/>
      <c r="S10" s="798"/>
      <c r="T10" s="798"/>
      <c r="U10" s="798"/>
      <c r="V10" s="798"/>
      <c r="W10" s="798"/>
      <c r="X10" s="798"/>
      <c r="Y10" s="798"/>
      <c r="Z10" s="798"/>
      <c r="AA10" s="798"/>
    </row>
    <row r="11" spans="1:135" ht="35.25" customHeight="1">
      <c r="A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row>
    <row r="12" spans="1:135">
      <c r="A12" s="798"/>
      <c r="B12" s="1059" t="s">
        <v>270</v>
      </c>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8"/>
      <c r="AA12" s="798"/>
    </row>
    <row r="13" spans="1:135" ht="24.75" customHeight="1">
      <c r="A13" s="798"/>
      <c r="B13" s="1060" t="s">
        <v>1501</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798"/>
      <c r="AA13" s="798"/>
    </row>
    <row r="14" spans="1:135" ht="32.25" customHeight="1">
      <c r="A14" s="798"/>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798"/>
      <c r="AA14" s="798"/>
    </row>
    <row r="15" spans="1:135" ht="13.5" thickBot="1">
      <c r="A15" s="798"/>
    </row>
    <row r="16" spans="1:135" s="94" customFormat="1" ht="18.75" customHeight="1" thickBot="1">
      <c r="A16" s="308"/>
      <c r="B16" s="856" t="s">
        <v>1511</v>
      </c>
      <c r="C16" s="1976"/>
      <c r="D16" s="1680"/>
      <c r="E16" s="1680"/>
      <c r="F16" s="1680"/>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1"/>
      <c r="AC16" s="1427"/>
      <c r="AD16" s="1427"/>
      <c r="AE16" s="1427"/>
      <c r="AF16" s="1427"/>
      <c r="DF16" s="1427"/>
      <c r="DG16" s="1427"/>
      <c r="DH16" s="1427"/>
      <c r="DI16" s="1427"/>
      <c r="DJ16" s="1427"/>
      <c r="DK16" s="1427"/>
      <c r="DL16" s="1427"/>
      <c r="DM16" s="1427"/>
      <c r="DN16" s="1427"/>
      <c r="DO16" s="1427"/>
      <c r="DP16" s="1427"/>
      <c r="DQ16" s="1427"/>
      <c r="DR16" s="1427"/>
      <c r="DS16" s="1427"/>
      <c r="DT16" s="1427"/>
      <c r="DU16" s="1427"/>
      <c r="DV16" s="1427"/>
      <c r="DW16" s="1427"/>
      <c r="DX16" s="1427"/>
      <c r="DY16" s="1427"/>
      <c r="DZ16" s="1427"/>
      <c r="EA16" s="1427"/>
      <c r="EB16" s="1427"/>
      <c r="EC16" s="1427"/>
      <c r="ED16" s="1427"/>
      <c r="EE16" s="1427"/>
    </row>
    <row r="17" spans="1:135" ht="20.25" customHeight="1">
      <c r="A17" s="798"/>
      <c r="B17" s="4148"/>
      <c r="C17" s="4149"/>
      <c r="D17" s="4146" t="s">
        <v>37</v>
      </c>
      <c r="E17" s="4147"/>
      <c r="F17" s="4147"/>
      <c r="G17" s="4147"/>
      <c r="H17" s="4147"/>
      <c r="I17" s="4080" t="s">
        <v>73</v>
      </c>
      <c r="J17" s="4080"/>
      <c r="K17" s="4080"/>
      <c r="L17" s="4080"/>
      <c r="M17" s="4080"/>
      <c r="N17" s="4154" t="s">
        <v>272</v>
      </c>
      <c r="O17" s="4154"/>
      <c r="P17" s="4154"/>
      <c r="Q17" s="4154"/>
      <c r="R17" s="4154"/>
      <c r="S17" s="4154"/>
      <c r="T17" s="4154"/>
      <c r="U17" s="4154"/>
      <c r="V17" s="4154"/>
      <c r="W17" s="4154"/>
      <c r="X17" s="4154"/>
      <c r="Y17" s="4154"/>
      <c r="Z17" s="4154"/>
      <c r="AA17" s="4154"/>
      <c r="AB17" s="4155"/>
      <c r="AF17"/>
    </row>
    <row r="18" spans="1:135" s="66" customFormat="1" ht="20.25" customHeight="1">
      <c r="A18" s="288"/>
      <c r="B18" s="4150"/>
      <c r="C18" s="4151"/>
      <c r="D18" s="4156" t="s">
        <v>366</v>
      </c>
      <c r="E18" s="4157"/>
      <c r="F18" s="4157"/>
      <c r="G18" s="4157"/>
      <c r="H18" s="4157"/>
      <c r="I18" s="4157"/>
      <c r="J18" s="4157"/>
      <c r="K18" s="4157"/>
      <c r="L18" s="4157"/>
      <c r="M18" s="4157"/>
      <c r="N18" s="4157"/>
      <c r="O18" s="4157"/>
      <c r="P18" s="4157"/>
      <c r="Q18" s="4157"/>
      <c r="R18" s="4157"/>
      <c r="S18" s="4157"/>
      <c r="T18" s="4157"/>
      <c r="U18" s="4157"/>
      <c r="V18" s="4157"/>
      <c r="W18" s="4157"/>
      <c r="X18" s="4157"/>
      <c r="Y18" s="4157"/>
      <c r="Z18" s="4157"/>
      <c r="AA18" s="4157"/>
      <c r="AB18" s="4158"/>
      <c r="AC18"/>
      <c r="AD18"/>
      <c r="AE18"/>
      <c r="AF18"/>
    </row>
    <row r="19" spans="1:135" s="66" customFormat="1" ht="20.25" customHeight="1">
      <c r="A19" s="288"/>
      <c r="B19" s="4150"/>
      <c r="C19" s="4151"/>
      <c r="D19" s="4156" t="s">
        <v>54</v>
      </c>
      <c r="E19" s="4157"/>
      <c r="F19" s="4162"/>
      <c r="G19" s="4159" t="s">
        <v>411</v>
      </c>
      <c r="H19" s="4160"/>
      <c r="I19" s="4160"/>
      <c r="J19" s="4160"/>
      <c r="K19" s="4160"/>
      <c r="L19" s="4160"/>
      <c r="M19" s="4160"/>
      <c r="N19" s="4160"/>
      <c r="O19" s="4160"/>
      <c r="P19" s="4160"/>
      <c r="Q19" s="4160"/>
      <c r="R19" s="4160"/>
      <c r="S19" s="4160"/>
      <c r="T19" s="4160"/>
      <c r="U19" s="4160"/>
      <c r="V19" s="4160"/>
      <c r="W19" s="4160"/>
      <c r="X19" s="4160"/>
      <c r="Y19" s="4160"/>
      <c r="Z19" s="4160"/>
      <c r="AA19" s="4160"/>
      <c r="AB19" s="4161"/>
      <c r="AC19"/>
      <c r="AD19"/>
      <c r="AE19"/>
      <c r="AF19"/>
    </row>
    <row r="20" spans="1:135" s="66" customFormat="1" ht="20.25" customHeight="1" thickBot="1">
      <c r="A20" s="288"/>
      <c r="B20" s="4152"/>
      <c r="C20" s="4153"/>
      <c r="D20" s="1028">
        <f>CRCP_y1</f>
        <v>2013</v>
      </c>
      <c r="E20" s="1028">
        <f>CRCP_y2</f>
        <v>2014</v>
      </c>
      <c r="F20" s="1028">
        <f>CRCP_y3</f>
        <v>2015</v>
      </c>
      <c r="G20" s="1028">
        <f>CRCP_y4</f>
        <v>2016</v>
      </c>
      <c r="H20" s="1028">
        <f>CRCP_y5</f>
        <v>2017</v>
      </c>
      <c r="I20" s="1027" t="str">
        <f>CONCATENATE(IF(dms_RPT="Calendar",H20+1,(LEFT(H20,4)+1&amp;"-"&amp;IF(MID(H20,6,2)&lt;"09","0"&amp;RIGHT(H20,1)+1,RIGHT(H20,2)+1))))</f>
        <v>2018</v>
      </c>
      <c r="J20" s="1027" t="str">
        <f t="shared" ref="J20:AB20" si="0">CONCATENATE(IF(dms_RPT="Calendar",I20+1,(LEFT(I20,4)+1&amp;"-"&amp;IF(MID(I20,6,2)&lt;"09","0"&amp;RIGHT(I20,1)+1,RIGHT(I20,2)+1))))</f>
        <v>2019</v>
      </c>
      <c r="K20" s="1027" t="str">
        <f t="shared" si="0"/>
        <v>2020</v>
      </c>
      <c r="L20" s="1027" t="str">
        <f t="shared" si="0"/>
        <v>2021</v>
      </c>
      <c r="M20" s="1027" t="str">
        <f t="shared" si="0"/>
        <v>2022</v>
      </c>
      <c r="N20" s="1028" t="str">
        <f t="shared" si="0"/>
        <v>2023</v>
      </c>
      <c r="O20" s="1028" t="str">
        <f t="shared" si="0"/>
        <v>2024</v>
      </c>
      <c r="P20" s="1028" t="str">
        <f t="shared" si="0"/>
        <v>2025</v>
      </c>
      <c r="Q20" s="1028" t="str">
        <f t="shared" si="0"/>
        <v>2026</v>
      </c>
      <c r="R20" s="1028" t="str">
        <f t="shared" si="0"/>
        <v>2027</v>
      </c>
      <c r="S20" s="1028" t="str">
        <f t="shared" si="0"/>
        <v>2028</v>
      </c>
      <c r="T20" s="1028" t="str">
        <f t="shared" si="0"/>
        <v>2029</v>
      </c>
      <c r="U20" s="1028" t="str">
        <f t="shared" si="0"/>
        <v>2030</v>
      </c>
      <c r="V20" s="1028" t="str">
        <f t="shared" si="0"/>
        <v>2031</v>
      </c>
      <c r="W20" s="1028" t="str">
        <f t="shared" si="0"/>
        <v>2032</v>
      </c>
      <c r="X20" s="1028" t="str">
        <f t="shared" si="0"/>
        <v>2033</v>
      </c>
      <c r="Y20" s="1028" t="str">
        <f t="shared" si="0"/>
        <v>2034</v>
      </c>
      <c r="Z20" s="1028" t="str">
        <f t="shared" si="0"/>
        <v>2035</v>
      </c>
      <c r="AA20" s="1028" t="str">
        <f t="shared" si="0"/>
        <v>2036</v>
      </c>
      <c r="AB20" s="1028" t="str">
        <f t="shared" si="0"/>
        <v>2037</v>
      </c>
      <c r="AC20"/>
      <c r="AD20"/>
      <c r="AE20"/>
      <c r="AF20"/>
    </row>
    <row r="21" spans="1:135" s="94" customFormat="1" ht="18.75" customHeight="1" thickBot="1">
      <c r="A21" s="308"/>
      <c r="B21" s="1607" t="s">
        <v>1512</v>
      </c>
      <c r="C21" s="1605"/>
      <c r="D21" s="1605"/>
      <c r="E21" s="1605"/>
      <c r="F21" s="1605"/>
      <c r="G21" s="1605"/>
      <c r="H21" s="1605"/>
      <c r="I21" s="1605"/>
      <c r="J21" s="1605"/>
      <c r="K21" s="1605"/>
      <c r="L21" s="1605"/>
      <c r="M21" s="1605"/>
      <c r="N21" s="1605"/>
      <c r="O21" s="1605"/>
      <c r="P21" s="1605"/>
      <c r="Q21" s="1605"/>
      <c r="R21" s="1605"/>
      <c r="S21" s="1605"/>
      <c r="T21" s="1605"/>
      <c r="U21" s="1605"/>
      <c r="V21" s="1605"/>
      <c r="W21" s="1605"/>
      <c r="X21" s="1605"/>
      <c r="Y21" s="1605"/>
      <c r="Z21" s="1605"/>
      <c r="AA21" s="1605"/>
      <c r="AB21" s="1606"/>
      <c r="AC21" s="1427"/>
      <c r="AD21" s="1427"/>
      <c r="AE21" s="1427"/>
      <c r="AF21" s="1427"/>
      <c r="DF21" s="1427"/>
      <c r="DG21" s="1427"/>
      <c r="DH21" s="1427"/>
      <c r="DI21" s="1427"/>
      <c r="DJ21" s="1427"/>
      <c r="DK21" s="1427"/>
      <c r="DL21" s="1427"/>
      <c r="DM21" s="1427"/>
      <c r="DN21" s="1427"/>
      <c r="DO21" s="1427"/>
      <c r="DP21" s="1427"/>
      <c r="DQ21" s="1427"/>
      <c r="DR21" s="1427"/>
      <c r="DS21" s="1427"/>
      <c r="DT21" s="1427"/>
      <c r="DU21" s="1427"/>
      <c r="DV21" s="1427"/>
      <c r="DW21" s="1427"/>
      <c r="DX21" s="1427"/>
      <c r="DY21" s="1427"/>
      <c r="DZ21" s="1427"/>
      <c r="EA21" s="1427"/>
      <c r="EB21" s="1427"/>
      <c r="EC21" s="1427"/>
      <c r="ED21" s="1427"/>
      <c r="EE21" s="1427"/>
    </row>
    <row r="22" spans="1:135" s="1960" customFormat="1" ht="25.5" customHeight="1">
      <c r="A22" s="1958"/>
      <c r="B22" s="1961" t="s">
        <v>1513</v>
      </c>
      <c r="C22" s="1975"/>
      <c r="D22" s="1962"/>
      <c r="E22" s="1962"/>
      <c r="F22" s="1962"/>
      <c r="G22" s="1962"/>
      <c r="H22" s="1962"/>
      <c r="I22" s="1962"/>
      <c r="J22" s="1962"/>
      <c r="K22" s="1962"/>
      <c r="L22" s="1962"/>
      <c r="M22" s="1962"/>
      <c r="N22" s="1962"/>
      <c r="O22" s="1962"/>
      <c r="P22" s="1962"/>
      <c r="Q22" s="1962"/>
      <c r="R22" s="1962"/>
      <c r="S22" s="1962"/>
      <c r="T22" s="1962"/>
      <c r="U22" s="1962"/>
      <c r="V22" s="1962"/>
      <c r="W22" s="1962"/>
      <c r="X22" s="1962"/>
      <c r="Y22" s="1962"/>
      <c r="Z22" s="1962"/>
      <c r="AA22" s="1962"/>
      <c r="AB22" s="1963"/>
      <c r="AC22" s="1959"/>
      <c r="AD22" s="1959"/>
      <c r="AE22" s="1959"/>
      <c r="AF22" s="1959"/>
      <c r="DF22" s="1959"/>
      <c r="DG22" s="1959"/>
      <c r="DH22" s="1959"/>
      <c r="DI22" s="1959"/>
      <c r="DJ22" s="1959"/>
      <c r="DK22" s="1959"/>
      <c r="DL22" s="1959"/>
      <c r="DM22" s="1959"/>
      <c r="DN22" s="1959"/>
      <c r="DO22" s="1959"/>
      <c r="DP22" s="1959"/>
      <c r="DQ22" s="1959"/>
      <c r="DR22" s="1959"/>
      <c r="DS22" s="1959"/>
      <c r="DT22" s="1959"/>
      <c r="DU22" s="1959"/>
      <c r="DV22" s="1959"/>
      <c r="DW22" s="1959"/>
      <c r="DX22" s="1959"/>
      <c r="DY22" s="1959"/>
      <c r="DZ22" s="1959"/>
      <c r="EA22" s="1959"/>
      <c r="EB22" s="1959"/>
      <c r="EC22" s="1959"/>
      <c r="ED22" s="1959"/>
      <c r="EE22" s="1959"/>
    </row>
    <row r="23" spans="1:135" s="94" customFormat="1">
      <c r="A23" s="308"/>
      <c r="B23" s="4163" t="s">
        <v>1502</v>
      </c>
      <c r="C23" s="299" t="s">
        <v>756</v>
      </c>
      <c r="D23" s="823"/>
      <c r="E23" s="518">
        <f>D24</f>
        <v>0</v>
      </c>
      <c r="F23" s="518">
        <f t="shared" ref="F23:AB23" si="1">E24</f>
        <v>0</v>
      </c>
      <c r="G23" s="518">
        <f>E24</f>
        <v>0</v>
      </c>
      <c r="H23" s="1453">
        <f>F24</f>
        <v>0</v>
      </c>
      <c r="I23" s="517">
        <f t="shared" si="1"/>
        <v>8</v>
      </c>
      <c r="J23" s="518">
        <f t="shared" si="1"/>
        <v>154.29422270655584</v>
      </c>
      <c r="K23" s="518">
        <f t="shared" si="1"/>
        <v>264.0148897364727</v>
      </c>
      <c r="L23" s="518">
        <f t="shared" si="1"/>
        <v>346.30539000891036</v>
      </c>
      <c r="M23" s="519">
        <f t="shared" si="1"/>
        <v>408.02326521323863</v>
      </c>
      <c r="N23" s="571">
        <f t="shared" si="1"/>
        <v>454.31167161648483</v>
      </c>
      <c r="O23" s="518">
        <f t="shared" si="1"/>
        <v>489.43276536648483</v>
      </c>
      <c r="P23" s="518">
        <f t="shared" si="1"/>
        <v>515.77358567898477</v>
      </c>
      <c r="Q23" s="518">
        <f t="shared" si="1"/>
        <v>535.52920091335977</v>
      </c>
      <c r="R23" s="518">
        <f t="shared" si="1"/>
        <v>550.34591233914102</v>
      </c>
      <c r="S23" s="518">
        <f t="shared" si="1"/>
        <v>561.45844590847696</v>
      </c>
      <c r="T23" s="518">
        <f t="shared" si="1"/>
        <v>569.79284608547891</v>
      </c>
      <c r="U23" s="518">
        <f t="shared" si="1"/>
        <v>576.04364621823038</v>
      </c>
      <c r="V23" s="518">
        <f t="shared" si="1"/>
        <v>580.73174631779398</v>
      </c>
      <c r="W23" s="518">
        <f t="shared" si="1"/>
        <v>584.24782139246668</v>
      </c>
      <c r="X23" s="518">
        <f t="shared" si="1"/>
        <v>586.8848776984712</v>
      </c>
      <c r="Y23" s="518">
        <f t="shared" si="1"/>
        <v>588.86266992797459</v>
      </c>
      <c r="Z23" s="518">
        <f t="shared" si="1"/>
        <v>590.34601410010214</v>
      </c>
      <c r="AA23" s="518">
        <f t="shared" si="1"/>
        <v>591.4585222291978</v>
      </c>
      <c r="AB23" s="519">
        <f t="shared" si="1"/>
        <v>592.29290332601954</v>
      </c>
      <c r="AC23"/>
      <c r="AD23"/>
      <c r="AE23"/>
      <c r="AF23"/>
    </row>
    <row r="24" spans="1:135" s="94" customFormat="1">
      <c r="A24" s="308"/>
      <c r="B24" s="4164"/>
      <c r="C24" s="299" t="s">
        <v>757</v>
      </c>
      <c r="D24" s="823"/>
      <c r="E24" s="780"/>
      <c r="F24" s="780"/>
      <c r="G24" s="780"/>
      <c r="H24" s="702">
        <v>8</v>
      </c>
      <c r="I24" s="514">
        <v>154.29422270655584</v>
      </c>
      <c r="J24" s="513">
        <v>264.0148897364727</v>
      </c>
      <c r="K24" s="513">
        <v>346.30539000891036</v>
      </c>
      <c r="L24" s="513">
        <v>408.02326521323863</v>
      </c>
      <c r="M24" s="515">
        <v>454.31167161648483</v>
      </c>
      <c r="N24" s="467">
        <v>489.43276536648483</v>
      </c>
      <c r="O24" s="467">
        <v>515.77358567898477</v>
      </c>
      <c r="P24" s="467">
        <v>535.52920091335977</v>
      </c>
      <c r="Q24" s="467">
        <v>550.34591233914102</v>
      </c>
      <c r="R24" s="467">
        <v>561.45844590847696</v>
      </c>
      <c r="S24" s="467">
        <v>569.79284608547891</v>
      </c>
      <c r="T24" s="467">
        <v>576.04364621823038</v>
      </c>
      <c r="U24" s="467">
        <v>580.73174631779398</v>
      </c>
      <c r="V24" s="467">
        <v>584.24782139246668</v>
      </c>
      <c r="W24" s="467">
        <v>586.8848776984712</v>
      </c>
      <c r="X24" s="467">
        <v>588.86266992797459</v>
      </c>
      <c r="Y24" s="467">
        <v>590.34601410010214</v>
      </c>
      <c r="Z24" s="467">
        <v>591.4585222291978</v>
      </c>
      <c r="AA24" s="513">
        <v>592.29290332601954</v>
      </c>
      <c r="AB24" s="515">
        <v>592.91868914863585</v>
      </c>
      <c r="AC24"/>
      <c r="AD24"/>
      <c r="AE24"/>
      <c r="AF24"/>
    </row>
    <row r="25" spans="1:135" s="94" customFormat="1">
      <c r="A25" s="308"/>
      <c r="B25" s="4164"/>
      <c r="C25" s="299" t="s">
        <v>68</v>
      </c>
      <c r="D25" s="517">
        <f t="shared" ref="D25:AB25" si="2">IF(ISERROR(AVERAGE(D23:D24)),0,AVERAGE(D23:D24))</f>
        <v>0</v>
      </c>
      <c r="E25" s="518">
        <f t="shared" si="2"/>
        <v>0</v>
      </c>
      <c r="F25" s="518">
        <f t="shared" si="2"/>
        <v>0</v>
      </c>
      <c r="G25" s="518">
        <f t="shared" si="2"/>
        <v>0</v>
      </c>
      <c r="H25" s="1453">
        <f t="shared" si="2"/>
        <v>4</v>
      </c>
      <c r="I25" s="517">
        <f t="shared" si="2"/>
        <v>81.147111353277921</v>
      </c>
      <c r="J25" s="518">
        <f t="shared" si="2"/>
        <v>209.15455622151427</v>
      </c>
      <c r="K25" s="518">
        <f t="shared" si="2"/>
        <v>305.1601398726915</v>
      </c>
      <c r="L25" s="518">
        <f t="shared" si="2"/>
        <v>377.1643276110745</v>
      </c>
      <c r="M25" s="519">
        <f t="shared" si="2"/>
        <v>431.16746841486173</v>
      </c>
      <c r="N25" s="571">
        <f t="shared" si="2"/>
        <v>471.87221849148483</v>
      </c>
      <c r="O25" s="518">
        <f t="shared" si="2"/>
        <v>502.60317552273477</v>
      </c>
      <c r="P25" s="518">
        <f t="shared" si="2"/>
        <v>525.65139329617227</v>
      </c>
      <c r="Q25" s="518">
        <f t="shared" si="2"/>
        <v>542.9375566262504</v>
      </c>
      <c r="R25" s="518">
        <f t="shared" si="2"/>
        <v>555.90217912380899</v>
      </c>
      <c r="S25" s="518">
        <f t="shared" si="2"/>
        <v>565.62564599697794</v>
      </c>
      <c r="T25" s="518">
        <f t="shared" si="2"/>
        <v>572.91824615185465</v>
      </c>
      <c r="U25" s="518">
        <f t="shared" si="2"/>
        <v>578.38769626801218</v>
      </c>
      <c r="V25" s="518">
        <f t="shared" si="2"/>
        <v>582.48978385513033</v>
      </c>
      <c r="W25" s="518">
        <f t="shared" si="2"/>
        <v>585.56634954546894</v>
      </c>
      <c r="X25" s="518">
        <f t="shared" si="2"/>
        <v>587.8737738132229</v>
      </c>
      <c r="Y25" s="518">
        <f t="shared" si="2"/>
        <v>589.60434201403837</v>
      </c>
      <c r="Z25" s="518">
        <f t="shared" si="2"/>
        <v>590.90226816464997</v>
      </c>
      <c r="AA25" s="518">
        <f t="shared" si="2"/>
        <v>591.87571277760867</v>
      </c>
      <c r="AB25" s="519">
        <f t="shared" si="2"/>
        <v>592.6057962373277</v>
      </c>
      <c r="AC25"/>
      <c r="AD25"/>
      <c r="AE25"/>
      <c r="AF25"/>
    </row>
    <row r="26" spans="1:135" s="94" customFormat="1">
      <c r="A26" s="308"/>
      <c r="B26" s="4164"/>
      <c r="C26" s="299" t="s">
        <v>69</v>
      </c>
      <c r="D26" s="823"/>
      <c r="E26" s="780"/>
      <c r="F26" s="780"/>
      <c r="G26" s="780"/>
      <c r="H26" s="702">
        <f>+H24-H23+H27</f>
        <v>8</v>
      </c>
      <c r="I26" s="514">
        <f t="shared" ref="I26:AB26" si="3">+I24-I23+I27</f>
        <v>146.29422270655584</v>
      </c>
      <c r="J26" s="513">
        <f t="shared" si="3"/>
        <v>109.72066702991685</v>
      </c>
      <c r="K26" s="513">
        <f t="shared" si="3"/>
        <v>82.290500272437669</v>
      </c>
      <c r="L26" s="513">
        <f t="shared" si="3"/>
        <v>61.717875204328266</v>
      </c>
      <c r="M26" s="515">
        <f t="shared" si="3"/>
        <v>46.288406403246199</v>
      </c>
      <c r="N26" s="467">
        <f t="shared" si="3"/>
        <v>35.12109375</v>
      </c>
      <c r="O26" s="513">
        <f t="shared" si="3"/>
        <v>26.340820312499943</v>
      </c>
      <c r="P26" s="513">
        <f t="shared" si="3"/>
        <v>19.755615234375</v>
      </c>
      <c r="Q26" s="513">
        <f t="shared" si="3"/>
        <v>14.81671142578125</v>
      </c>
      <c r="R26" s="513">
        <f t="shared" si="3"/>
        <v>11.112533569335938</v>
      </c>
      <c r="S26" s="513">
        <f t="shared" si="3"/>
        <v>8.3344001770019531</v>
      </c>
      <c r="T26" s="513">
        <f t="shared" si="3"/>
        <v>6.2508001327514648</v>
      </c>
      <c r="U26" s="513">
        <f t="shared" si="3"/>
        <v>4.6881000995635986</v>
      </c>
      <c r="V26" s="513">
        <f t="shared" si="3"/>
        <v>3.516075074672699</v>
      </c>
      <c r="W26" s="513">
        <f t="shared" si="3"/>
        <v>2.6370563060045242</v>
      </c>
      <c r="X26" s="513">
        <f t="shared" si="3"/>
        <v>1.9777922295033932</v>
      </c>
      <c r="Y26" s="513">
        <f t="shared" si="3"/>
        <v>1.4833441721275449</v>
      </c>
      <c r="Z26" s="513">
        <f t="shared" si="3"/>
        <v>1.1125081290956587</v>
      </c>
      <c r="AA26" s="513">
        <f t="shared" si="3"/>
        <v>0.83438109682174399</v>
      </c>
      <c r="AB26" s="515">
        <f t="shared" si="3"/>
        <v>0.625785822616308</v>
      </c>
      <c r="AC26"/>
      <c r="AD26"/>
      <c r="AE26"/>
      <c r="AF26"/>
    </row>
    <row r="27" spans="1:135" s="94" customFormat="1" ht="13.5" thickBot="1">
      <c r="A27" s="308"/>
      <c r="B27" s="4165"/>
      <c r="C27" s="1974" t="s">
        <v>58</v>
      </c>
      <c r="D27" s="885"/>
      <c r="E27" s="886"/>
      <c r="F27" s="886"/>
      <c r="G27" s="886"/>
      <c r="H27" s="1034">
        <v>0</v>
      </c>
      <c r="I27" s="885">
        <v>0</v>
      </c>
      <c r="J27" s="886">
        <v>0</v>
      </c>
      <c r="K27" s="886">
        <v>0</v>
      </c>
      <c r="L27" s="886">
        <v>0</v>
      </c>
      <c r="M27" s="887">
        <v>0</v>
      </c>
      <c r="N27" s="1790">
        <v>0</v>
      </c>
      <c r="O27" s="465">
        <v>0</v>
      </c>
      <c r="P27" s="465">
        <v>0</v>
      </c>
      <c r="Q27" s="465">
        <v>0</v>
      </c>
      <c r="R27" s="465">
        <v>0</v>
      </c>
      <c r="S27" s="465">
        <v>0</v>
      </c>
      <c r="T27" s="465">
        <v>0</v>
      </c>
      <c r="U27" s="465">
        <v>0</v>
      </c>
      <c r="V27" s="465">
        <v>0</v>
      </c>
      <c r="W27" s="465">
        <v>0</v>
      </c>
      <c r="X27" s="465">
        <v>0</v>
      </c>
      <c r="Y27" s="465">
        <v>0</v>
      </c>
      <c r="Z27" s="465">
        <v>0</v>
      </c>
      <c r="AA27" s="465">
        <v>0</v>
      </c>
      <c r="AB27" s="643">
        <v>0</v>
      </c>
      <c r="AC27"/>
      <c r="AD27"/>
      <c r="AE27"/>
      <c r="AF27"/>
    </row>
    <row r="28" spans="1:135" s="94" customFormat="1">
      <c r="A28" s="308"/>
      <c r="B28" s="4166" t="s">
        <v>63</v>
      </c>
      <c r="C28" s="1964" t="s">
        <v>756</v>
      </c>
      <c r="D28" s="533">
        <f>+D23</f>
        <v>0</v>
      </c>
      <c r="E28" s="534">
        <f t="shared" ref="E28:AB28" si="4">+E23</f>
        <v>0</v>
      </c>
      <c r="F28" s="534">
        <f t="shared" si="4"/>
        <v>0</v>
      </c>
      <c r="G28" s="534">
        <f t="shared" si="4"/>
        <v>0</v>
      </c>
      <c r="H28" s="1464">
        <f t="shared" si="4"/>
        <v>0</v>
      </c>
      <c r="I28" s="533">
        <f t="shared" si="4"/>
        <v>8</v>
      </c>
      <c r="J28" s="534">
        <f t="shared" si="4"/>
        <v>154.29422270655584</v>
      </c>
      <c r="K28" s="534">
        <f t="shared" si="4"/>
        <v>264.0148897364727</v>
      </c>
      <c r="L28" s="534">
        <f t="shared" si="4"/>
        <v>346.30539000891036</v>
      </c>
      <c r="M28" s="479">
        <f t="shared" si="4"/>
        <v>408.02326521323863</v>
      </c>
      <c r="N28" s="1286">
        <f t="shared" si="4"/>
        <v>454.31167161648483</v>
      </c>
      <c r="O28" s="534">
        <f t="shared" si="4"/>
        <v>489.43276536648483</v>
      </c>
      <c r="P28" s="534">
        <f t="shared" si="4"/>
        <v>515.77358567898477</v>
      </c>
      <c r="Q28" s="534">
        <f t="shared" si="4"/>
        <v>535.52920091335977</v>
      </c>
      <c r="R28" s="534">
        <f t="shared" si="4"/>
        <v>550.34591233914102</v>
      </c>
      <c r="S28" s="534">
        <f t="shared" si="4"/>
        <v>561.45844590847696</v>
      </c>
      <c r="T28" s="534">
        <f t="shared" si="4"/>
        <v>569.79284608547891</v>
      </c>
      <c r="U28" s="534">
        <f t="shared" si="4"/>
        <v>576.04364621823038</v>
      </c>
      <c r="V28" s="534">
        <f t="shared" si="4"/>
        <v>580.73174631779398</v>
      </c>
      <c r="W28" s="534">
        <f t="shared" si="4"/>
        <v>584.24782139246668</v>
      </c>
      <c r="X28" s="534">
        <f t="shared" si="4"/>
        <v>586.8848776984712</v>
      </c>
      <c r="Y28" s="534">
        <f t="shared" si="4"/>
        <v>588.86266992797459</v>
      </c>
      <c r="Z28" s="534">
        <f t="shared" si="4"/>
        <v>590.34601410010214</v>
      </c>
      <c r="AA28" s="534">
        <f t="shared" si="4"/>
        <v>591.4585222291978</v>
      </c>
      <c r="AB28" s="1966">
        <f t="shared" si="4"/>
        <v>592.29290332601954</v>
      </c>
      <c r="AC28"/>
      <c r="AD28"/>
      <c r="AE28"/>
      <c r="AF28"/>
    </row>
    <row r="29" spans="1:135" s="94" customFormat="1">
      <c r="A29" s="308"/>
      <c r="B29" s="4167"/>
      <c r="C29" s="1964" t="s">
        <v>757</v>
      </c>
      <c r="D29" s="533">
        <f t="shared" ref="D29:AB29" si="5">+D24</f>
        <v>0</v>
      </c>
      <c r="E29" s="534">
        <f t="shared" si="5"/>
        <v>0</v>
      </c>
      <c r="F29" s="534">
        <f t="shared" si="5"/>
        <v>0</v>
      </c>
      <c r="G29" s="534">
        <f t="shared" si="5"/>
        <v>0</v>
      </c>
      <c r="H29" s="1464">
        <f t="shared" si="5"/>
        <v>8</v>
      </c>
      <c r="I29" s="533">
        <f t="shared" si="5"/>
        <v>154.29422270655584</v>
      </c>
      <c r="J29" s="534">
        <f t="shared" si="5"/>
        <v>264.0148897364727</v>
      </c>
      <c r="K29" s="534">
        <f t="shared" si="5"/>
        <v>346.30539000891036</v>
      </c>
      <c r="L29" s="534">
        <f t="shared" si="5"/>
        <v>408.02326521323863</v>
      </c>
      <c r="M29" s="479">
        <f t="shared" si="5"/>
        <v>454.31167161648483</v>
      </c>
      <c r="N29" s="1286">
        <f t="shared" si="5"/>
        <v>489.43276536648483</v>
      </c>
      <c r="O29" s="534">
        <f t="shared" si="5"/>
        <v>515.77358567898477</v>
      </c>
      <c r="P29" s="534">
        <f t="shared" si="5"/>
        <v>535.52920091335977</v>
      </c>
      <c r="Q29" s="534">
        <f t="shared" si="5"/>
        <v>550.34591233914102</v>
      </c>
      <c r="R29" s="534">
        <f t="shared" si="5"/>
        <v>561.45844590847696</v>
      </c>
      <c r="S29" s="534">
        <f t="shared" si="5"/>
        <v>569.79284608547891</v>
      </c>
      <c r="T29" s="534">
        <f t="shared" si="5"/>
        <v>576.04364621823038</v>
      </c>
      <c r="U29" s="534">
        <f t="shared" si="5"/>
        <v>580.73174631779398</v>
      </c>
      <c r="V29" s="534">
        <f t="shared" si="5"/>
        <v>584.24782139246668</v>
      </c>
      <c r="W29" s="534">
        <f t="shared" si="5"/>
        <v>586.8848776984712</v>
      </c>
      <c r="X29" s="534">
        <f t="shared" si="5"/>
        <v>588.86266992797459</v>
      </c>
      <c r="Y29" s="534">
        <f t="shared" si="5"/>
        <v>590.34601410010214</v>
      </c>
      <c r="Z29" s="534">
        <f t="shared" si="5"/>
        <v>591.4585222291978</v>
      </c>
      <c r="AA29" s="534">
        <f t="shared" si="5"/>
        <v>592.29290332601954</v>
      </c>
      <c r="AB29" s="1966">
        <f t="shared" si="5"/>
        <v>592.91868914863585</v>
      </c>
      <c r="AC29"/>
      <c r="AD29"/>
      <c r="AE29"/>
      <c r="AF29"/>
    </row>
    <row r="30" spans="1:135" s="94" customFormat="1">
      <c r="A30" s="308"/>
      <c r="B30" s="4167"/>
      <c r="C30" s="1965" t="s">
        <v>68</v>
      </c>
      <c r="D30" s="533">
        <f t="shared" ref="D30:AB30" si="6">+D25</f>
        <v>0</v>
      </c>
      <c r="E30" s="534">
        <f t="shared" si="6"/>
        <v>0</v>
      </c>
      <c r="F30" s="534">
        <f t="shared" si="6"/>
        <v>0</v>
      </c>
      <c r="G30" s="534">
        <f t="shared" si="6"/>
        <v>0</v>
      </c>
      <c r="H30" s="1464">
        <f t="shared" si="6"/>
        <v>4</v>
      </c>
      <c r="I30" s="533">
        <f t="shared" si="6"/>
        <v>81.147111353277921</v>
      </c>
      <c r="J30" s="534">
        <f t="shared" si="6"/>
        <v>209.15455622151427</v>
      </c>
      <c r="K30" s="534">
        <f t="shared" si="6"/>
        <v>305.1601398726915</v>
      </c>
      <c r="L30" s="534">
        <f t="shared" si="6"/>
        <v>377.1643276110745</v>
      </c>
      <c r="M30" s="479">
        <f t="shared" si="6"/>
        <v>431.16746841486173</v>
      </c>
      <c r="N30" s="1286">
        <f t="shared" si="6"/>
        <v>471.87221849148483</v>
      </c>
      <c r="O30" s="534">
        <f t="shared" si="6"/>
        <v>502.60317552273477</v>
      </c>
      <c r="P30" s="534">
        <f t="shared" si="6"/>
        <v>525.65139329617227</v>
      </c>
      <c r="Q30" s="534">
        <f t="shared" si="6"/>
        <v>542.9375566262504</v>
      </c>
      <c r="R30" s="534">
        <f t="shared" si="6"/>
        <v>555.90217912380899</v>
      </c>
      <c r="S30" s="534">
        <f t="shared" si="6"/>
        <v>565.62564599697794</v>
      </c>
      <c r="T30" s="534">
        <f t="shared" si="6"/>
        <v>572.91824615185465</v>
      </c>
      <c r="U30" s="534">
        <f t="shared" si="6"/>
        <v>578.38769626801218</v>
      </c>
      <c r="V30" s="534">
        <f t="shared" si="6"/>
        <v>582.48978385513033</v>
      </c>
      <c r="W30" s="534">
        <f t="shared" si="6"/>
        <v>585.56634954546894</v>
      </c>
      <c r="X30" s="534">
        <f t="shared" si="6"/>
        <v>587.8737738132229</v>
      </c>
      <c r="Y30" s="534">
        <f t="shared" si="6"/>
        <v>589.60434201403837</v>
      </c>
      <c r="Z30" s="534">
        <f t="shared" si="6"/>
        <v>590.90226816464997</v>
      </c>
      <c r="AA30" s="534">
        <f t="shared" si="6"/>
        <v>591.87571277760867</v>
      </c>
      <c r="AB30" s="1966">
        <f t="shared" si="6"/>
        <v>592.6057962373277</v>
      </c>
      <c r="AC30"/>
      <c r="AD30"/>
      <c r="AE30"/>
      <c r="AF30"/>
    </row>
    <row r="31" spans="1:135" s="94" customFormat="1">
      <c r="A31" s="308"/>
      <c r="B31" s="4167"/>
      <c r="C31" s="1965" t="s">
        <v>69</v>
      </c>
      <c r="D31" s="533">
        <f t="shared" ref="D31:AB31" si="7">+D26</f>
        <v>0</v>
      </c>
      <c r="E31" s="534">
        <f t="shared" si="7"/>
        <v>0</v>
      </c>
      <c r="F31" s="534">
        <f t="shared" si="7"/>
        <v>0</v>
      </c>
      <c r="G31" s="534">
        <f t="shared" si="7"/>
        <v>0</v>
      </c>
      <c r="H31" s="1464">
        <f t="shared" si="7"/>
        <v>8</v>
      </c>
      <c r="I31" s="533">
        <f t="shared" si="7"/>
        <v>146.29422270655584</v>
      </c>
      <c r="J31" s="534">
        <f t="shared" si="7"/>
        <v>109.72066702991685</v>
      </c>
      <c r="K31" s="534">
        <f t="shared" si="7"/>
        <v>82.290500272437669</v>
      </c>
      <c r="L31" s="534">
        <f t="shared" si="7"/>
        <v>61.717875204328266</v>
      </c>
      <c r="M31" s="479">
        <f t="shared" si="7"/>
        <v>46.288406403246199</v>
      </c>
      <c r="N31" s="1286">
        <f t="shared" si="7"/>
        <v>35.12109375</v>
      </c>
      <c r="O31" s="534">
        <f t="shared" si="7"/>
        <v>26.340820312499943</v>
      </c>
      <c r="P31" s="534">
        <f t="shared" si="7"/>
        <v>19.755615234375</v>
      </c>
      <c r="Q31" s="534">
        <f t="shared" si="7"/>
        <v>14.81671142578125</v>
      </c>
      <c r="R31" s="534">
        <f t="shared" si="7"/>
        <v>11.112533569335938</v>
      </c>
      <c r="S31" s="534">
        <f t="shared" si="7"/>
        <v>8.3344001770019531</v>
      </c>
      <c r="T31" s="534">
        <f t="shared" si="7"/>
        <v>6.2508001327514648</v>
      </c>
      <c r="U31" s="534">
        <f t="shared" si="7"/>
        <v>4.6881000995635986</v>
      </c>
      <c r="V31" s="534">
        <f t="shared" si="7"/>
        <v>3.516075074672699</v>
      </c>
      <c r="W31" s="534">
        <f t="shared" si="7"/>
        <v>2.6370563060045242</v>
      </c>
      <c r="X31" s="534">
        <f t="shared" si="7"/>
        <v>1.9777922295033932</v>
      </c>
      <c r="Y31" s="534">
        <f t="shared" si="7"/>
        <v>1.4833441721275449</v>
      </c>
      <c r="Z31" s="534">
        <f t="shared" si="7"/>
        <v>1.1125081290956587</v>
      </c>
      <c r="AA31" s="534">
        <f t="shared" si="7"/>
        <v>0.83438109682174399</v>
      </c>
      <c r="AB31" s="1966">
        <f t="shared" si="7"/>
        <v>0.625785822616308</v>
      </c>
      <c r="AC31"/>
      <c r="AD31"/>
      <c r="AE31"/>
      <c r="AF31"/>
    </row>
    <row r="32" spans="1:135" s="94" customFormat="1" ht="13.5" thickBot="1">
      <c r="A32" s="308"/>
      <c r="B32" s="4168"/>
      <c r="C32" s="1967" t="s">
        <v>58</v>
      </c>
      <c r="D32" s="533">
        <f t="shared" ref="D32:AB32" si="8">+D27</f>
        <v>0</v>
      </c>
      <c r="E32" s="1969">
        <f t="shared" si="8"/>
        <v>0</v>
      </c>
      <c r="F32" s="1969">
        <f t="shared" si="8"/>
        <v>0</v>
      </c>
      <c r="G32" s="1969">
        <f t="shared" si="8"/>
        <v>0</v>
      </c>
      <c r="H32" s="1970">
        <f t="shared" si="8"/>
        <v>0</v>
      </c>
      <c r="I32" s="1968">
        <f t="shared" si="8"/>
        <v>0</v>
      </c>
      <c r="J32" s="1969">
        <f t="shared" si="8"/>
        <v>0</v>
      </c>
      <c r="K32" s="1969">
        <f t="shared" si="8"/>
        <v>0</v>
      </c>
      <c r="L32" s="1969">
        <f t="shared" si="8"/>
        <v>0</v>
      </c>
      <c r="M32" s="1971">
        <f t="shared" si="8"/>
        <v>0</v>
      </c>
      <c r="N32" s="1972">
        <f t="shared" si="8"/>
        <v>0</v>
      </c>
      <c r="O32" s="1969">
        <f t="shared" si="8"/>
        <v>0</v>
      </c>
      <c r="P32" s="1969">
        <f t="shared" si="8"/>
        <v>0</v>
      </c>
      <c r="Q32" s="1969">
        <f t="shared" si="8"/>
        <v>0</v>
      </c>
      <c r="R32" s="1969">
        <f t="shared" si="8"/>
        <v>0</v>
      </c>
      <c r="S32" s="1969">
        <f t="shared" si="8"/>
        <v>0</v>
      </c>
      <c r="T32" s="1969">
        <f t="shared" si="8"/>
        <v>0</v>
      </c>
      <c r="U32" s="1969">
        <f t="shared" si="8"/>
        <v>0</v>
      </c>
      <c r="V32" s="1969">
        <f t="shared" si="8"/>
        <v>0</v>
      </c>
      <c r="W32" s="1969">
        <f t="shared" si="8"/>
        <v>0</v>
      </c>
      <c r="X32" s="1969">
        <f t="shared" si="8"/>
        <v>0</v>
      </c>
      <c r="Y32" s="1969">
        <f t="shared" si="8"/>
        <v>0</v>
      </c>
      <c r="Z32" s="1969">
        <f t="shared" si="8"/>
        <v>0</v>
      </c>
      <c r="AA32" s="1969">
        <f t="shared" si="8"/>
        <v>0</v>
      </c>
      <c r="AB32" s="1973">
        <f t="shared" si="8"/>
        <v>0</v>
      </c>
      <c r="AC32"/>
      <c r="AD32"/>
      <c r="AE32"/>
      <c r="AF32"/>
    </row>
    <row r="33" spans="1:135" s="1960" customFormat="1" ht="25.5" customHeight="1">
      <c r="A33" s="1958"/>
      <c r="B33" s="1961" t="s">
        <v>1514</v>
      </c>
      <c r="C33" s="1975"/>
      <c r="D33" s="1962"/>
      <c r="E33" s="1962"/>
      <c r="F33" s="1962"/>
      <c r="G33" s="1962"/>
      <c r="H33" s="1962"/>
      <c r="I33" s="1962"/>
      <c r="J33" s="1962"/>
      <c r="K33" s="1962"/>
      <c r="L33" s="1962"/>
      <c r="M33" s="1962"/>
      <c r="N33" s="1962"/>
      <c r="O33" s="1962"/>
      <c r="P33" s="1962"/>
      <c r="Q33" s="1962"/>
      <c r="R33" s="1962"/>
      <c r="S33" s="1962"/>
      <c r="T33" s="1962"/>
      <c r="U33" s="1962"/>
      <c r="V33" s="1962"/>
      <c r="W33" s="1962"/>
      <c r="X33" s="1962"/>
      <c r="Y33" s="1962"/>
      <c r="Z33" s="1962"/>
      <c r="AA33" s="1962"/>
      <c r="AB33" s="1963"/>
      <c r="AC33" s="1959"/>
      <c r="AD33" s="1959"/>
      <c r="AE33" s="1959"/>
      <c r="AF33" s="1959"/>
      <c r="DF33" s="1959"/>
      <c r="DG33" s="1959"/>
      <c r="DH33" s="1959"/>
      <c r="DI33" s="1959"/>
      <c r="DJ33" s="1959"/>
      <c r="DK33" s="1959"/>
      <c r="DL33" s="1959"/>
      <c r="DM33" s="1959"/>
      <c r="DN33" s="1959"/>
      <c r="DO33" s="1959"/>
      <c r="DP33" s="1959"/>
      <c r="DQ33" s="1959"/>
      <c r="DR33" s="1959"/>
      <c r="DS33" s="1959"/>
      <c r="DT33" s="1959"/>
      <c r="DU33" s="1959"/>
      <c r="DV33" s="1959"/>
      <c r="DW33" s="1959"/>
      <c r="DX33" s="1959"/>
      <c r="DY33" s="1959"/>
      <c r="DZ33" s="1959"/>
      <c r="EA33" s="1959"/>
      <c r="EB33" s="1959"/>
      <c r="EC33" s="1959"/>
      <c r="ED33" s="1959"/>
      <c r="EE33" s="1959"/>
    </row>
    <row r="34" spans="1:135" s="94" customFormat="1">
      <c r="A34" s="308"/>
      <c r="B34" s="4163" t="s">
        <v>1502</v>
      </c>
      <c r="C34" s="1954" t="s">
        <v>756</v>
      </c>
      <c r="D34" s="1952"/>
      <c r="E34" s="1955">
        <f>D35</f>
        <v>0</v>
      </c>
      <c r="F34" s="1955">
        <f t="shared" ref="F34" si="9">E35</f>
        <v>0</v>
      </c>
      <c r="G34" s="1955">
        <f>E35</f>
        <v>0</v>
      </c>
      <c r="H34" s="1956">
        <f>F35</f>
        <v>0</v>
      </c>
      <c r="I34" s="517">
        <f t="shared" ref="I34" si="10">H35</f>
        <v>1</v>
      </c>
      <c r="J34" s="518">
        <f t="shared" ref="J34" si="11">I35</f>
        <v>1.7057772934441573</v>
      </c>
      <c r="K34" s="518">
        <f t="shared" ref="K34" si="12">J35</f>
        <v>2.9851102635272895</v>
      </c>
      <c r="L34" s="518">
        <f t="shared" ref="L34" si="13">K35</f>
        <v>3.9446099910896351</v>
      </c>
      <c r="M34" s="519">
        <f t="shared" ref="M34" si="14">L35</f>
        <v>4.6642347867613907</v>
      </c>
      <c r="N34" s="571">
        <f t="shared" ref="N34" si="15">M35</f>
        <v>5.2039533835152127</v>
      </c>
      <c r="O34" s="518">
        <f t="shared" ref="O34" si="16">N35</f>
        <v>5.2039533835152127</v>
      </c>
      <c r="P34" s="518">
        <f t="shared" ref="P34" si="17">O35</f>
        <v>5.2039533835152127</v>
      </c>
      <c r="Q34" s="518">
        <f t="shared" ref="Q34" si="18">P35</f>
        <v>5.2039533835152127</v>
      </c>
      <c r="R34" s="518">
        <f t="shared" ref="R34" si="19">Q35</f>
        <v>5.2039533835152127</v>
      </c>
      <c r="S34" s="518">
        <f t="shared" ref="S34" si="20">R35</f>
        <v>5.2039533835152127</v>
      </c>
      <c r="T34" s="518">
        <f t="shared" ref="T34" si="21">S35</f>
        <v>5.2039533835152127</v>
      </c>
      <c r="U34" s="518">
        <f t="shared" ref="U34" si="22">T35</f>
        <v>5.2039533835152127</v>
      </c>
      <c r="V34" s="518">
        <f t="shared" ref="V34" si="23">U35</f>
        <v>5.2039533835152127</v>
      </c>
      <c r="W34" s="518">
        <f t="shared" ref="W34" si="24">V35</f>
        <v>5.2039533835152127</v>
      </c>
      <c r="X34" s="518">
        <f t="shared" ref="X34" si="25">W35</f>
        <v>5.2039533835152127</v>
      </c>
      <c r="Y34" s="518">
        <f t="shared" ref="Y34" si="26">X35</f>
        <v>5.2039533835152127</v>
      </c>
      <c r="Z34" s="518">
        <f t="shared" ref="Z34" si="27">Y35</f>
        <v>5.2039533835152127</v>
      </c>
      <c r="AA34" s="518">
        <f t="shared" ref="AA34" si="28">Z35</f>
        <v>5.2039533835152127</v>
      </c>
      <c r="AB34" s="519">
        <f t="shared" ref="AB34" si="29">AA35</f>
        <v>5.2039533835152127</v>
      </c>
      <c r="AC34" s="1427"/>
      <c r="AD34" s="1427"/>
      <c r="AE34" s="1427"/>
      <c r="AF34" s="1427"/>
    </row>
    <row r="35" spans="1:135" s="94" customFormat="1">
      <c r="A35" s="308"/>
      <c r="B35" s="4164"/>
      <c r="C35" s="825" t="s">
        <v>757</v>
      </c>
      <c r="D35" s="823"/>
      <c r="E35" s="780"/>
      <c r="F35" s="780"/>
      <c r="G35" s="780"/>
      <c r="H35" s="515">
        <v>1</v>
      </c>
      <c r="I35" s="514">
        <v>1.7057772934441573</v>
      </c>
      <c r="J35" s="513">
        <v>2.9851102635272895</v>
      </c>
      <c r="K35" s="513">
        <v>3.9446099910896351</v>
      </c>
      <c r="L35" s="513">
        <v>4.6642347867613907</v>
      </c>
      <c r="M35" s="515">
        <v>5.2039533835152127</v>
      </c>
      <c r="N35" s="467">
        <f>+N34</f>
        <v>5.2039533835152127</v>
      </c>
      <c r="O35" s="513">
        <f t="shared" ref="O35:AB35" si="30">+O34</f>
        <v>5.2039533835152127</v>
      </c>
      <c r="P35" s="513">
        <f t="shared" si="30"/>
        <v>5.2039533835152127</v>
      </c>
      <c r="Q35" s="513">
        <f t="shared" si="30"/>
        <v>5.2039533835152127</v>
      </c>
      <c r="R35" s="513">
        <f t="shared" si="30"/>
        <v>5.2039533835152127</v>
      </c>
      <c r="S35" s="513">
        <f t="shared" si="30"/>
        <v>5.2039533835152127</v>
      </c>
      <c r="T35" s="513">
        <f t="shared" si="30"/>
        <v>5.2039533835152127</v>
      </c>
      <c r="U35" s="513">
        <f t="shared" si="30"/>
        <v>5.2039533835152127</v>
      </c>
      <c r="V35" s="513">
        <f t="shared" si="30"/>
        <v>5.2039533835152127</v>
      </c>
      <c r="W35" s="513">
        <f t="shared" si="30"/>
        <v>5.2039533835152127</v>
      </c>
      <c r="X35" s="513">
        <f t="shared" si="30"/>
        <v>5.2039533835152127</v>
      </c>
      <c r="Y35" s="513">
        <f t="shared" si="30"/>
        <v>5.2039533835152127</v>
      </c>
      <c r="Z35" s="513">
        <f t="shared" si="30"/>
        <v>5.2039533835152127</v>
      </c>
      <c r="AA35" s="513">
        <f t="shared" si="30"/>
        <v>5.2039533835152127</v>
      </c>
      <c r="AB35" s="515">
        <f t="shared" si="30"/>
        <v>5.2039533835152127</v>
      </c>
      <c r="AC35" s="1427"/>
      <c r="AD35" s="1427"/>
      <c r="AE35" s="1427"/>
      <c r="AF35" s="1427"/>
    </row>
    <row r="36" spans="1:135" s="94" customFormat="1">
      <c r="A36" s="308"/>
      <c r="B36" s="4164"/>
      <c r="C36" s="825" t="s">
        <v>68</v>
      </c>
      <c r="D36" s="517">
        <f t="shared" ref="D36:AB36" si="31">IF(ISERROR(AVERAGE(D34:D35)),0,AVERAGE(D34:D35))</f>
        <v>0</v>
      </c>
      <c r="E36" s="518">
        <f t="shared" si="31"/>
        <v>0</v>
      </c>
      <c r="F36" s="518">
        <f t="shared" si="31"/>
        <v>0</v>
      </c>
      <c r="G36" s="518">
        <f t="shared" si="31"/>
        <v>0</v>
      </c>
      <c r="H36" s="519">
        <f t="shared" si="31"/>
        <v>0.5</v>
      </c>
      <c r="I36" s="517">
        <f t="shared" si="31"/>
        <v>1.3528886467220786</v>
      </c>
      <c r="J36" s="518">
        <f t="shared" si="31"/>
        <v>2.3454437784857234</v>
      </c>
      <c r="K36" s="518">
        <f t="shared" si="31"/>
        <v>3.4648601273084623</v>
      </c>
      <c r="L36" s="518">
        <f t="shared" si="31"/>
        <v>4.3044223889255129</v>
      </c>
      <c r="M36" s="519">
        <f t="shared" si="31"/>
        <v>4.9340940851383017</v>
      </c>
      <c r="N36" s="571">
        <f t="shared" si="31"/>
        <v>5.2039533835152127</v>
      </c>
      <c r="O36" s="518">
        <f t="shared" si="31"/>
        <v>5.2039533835152127</v>
      </c>
      <c r="P36" s="518">
        <f t="shared" si="31"/>
        <v>5.2039533835152127</v>
      </c>
      <c r="Q36" s="518">
        <f t="shared" si="31"/>
        <v>5.2039533835152127</v>
      </c>
      <c r="R36" s="518">
        <f t="shared" si="31"/>
        <v>5.2039533835152127</v>
      </c>
      <c r="S36" s="518">
        <f t="shared" si="31"/>
        <v>5.2039533835152127</v>
      </c>
      <c r="T36" s="518">
        <f t="shared" si="31"/>
        <v>5.2039533835152127</v>
      </c>
      <c r="U36" s="518">
        <f t="shared" si="31"/>
        <v>5.2039533835152127</v>
      </c>
      <c r="V36" s="518">
        <f t="shared" si="31"/>
        <v>5.2039533835152127</v>
      </c>
      <c r="W36" s="518">
        <f t="shared" si="31"/>
        <v>5.2039533835152127</v>
      </c>
      <c r="X36" s="518">
        <f t="shared" si="31"/>
        <v>5.2039533835152127</v>
      </c>
      <c r="Y36" s="518">
        <f t="shared" si="31"/>
        <v>5.2039533835152127</v>
      </c>
      <c r="Z36" s="518">
        <f t="shared" si="31"/>
        <v>5.2039533835152127</v>
      </c>
      <c r="AA36" s="518">
        <f t="shared" si="31"/>
        <v>5.2039533835152127</v>
      </c>
      <c r="AB36" s="519">
        <f t="shared" si="31"/>
        <v>5.2039533835152127</v>
      </c>
      <c r="AC36" s="1427"/>
      <c r="AD36" s="1427"/>
      <c r="AE36" s="1427"/>
      <c r="AF36" s="1427"/>
    </row>
    <row r="37" spans="1:135" s="94" customFormat="1">
      <c r="A37" s="308"/>
      <c r="B37" s="4164"/>
      <c r="C37" s="825" t="s">
        <v>69</v>
      </c>
      <c r="D37" s="823"/>
      <c r="E37" s="780"/>
      <c r="F37" s="780"/>
      <c r="G37" s="780"/>
      <c r="H37" s="702">
        <f>+H35-H34+H38</f>
        <v>1</v>
      </c>
      <c r="I37" s="514">
        <f t="shared" ref="I37" si="32">+I35-I34+I38</f>
        <v>0.70577729344415729</v>
      </c>
      <c r="J37" s="513">
        <f t="shared" ref="J37" si="33">+J35-J34+J38</f>
        <v>1.2793329700831322</v>
      </c>
      <c r="K37" s="513">
        <f t="shared" ref="K37" si="34">+K35-K34+K38</f>
        <v>0.95949972756234558</v>
      </c>
      <c r="L37" s="513">
        <f t="shared" ref="L37" si="35">+L35-L34+L38</f>
        <v>0.71962479567175563</v>
      </c>
      <c r="M37" s="515">
        <f t="shared" ref="M37" si="36">+M35-M34+M38</f>
        <v>0.53971859675382206</v>
      </c>
      <c r="N37" s="467">
        <f t="shared" ref="N37" si="37">+N35-N34+N38</f>
        <v>0</v>
      </c>
      <c r="O37" s="513">
        <f t="shared" ref="O37" si="38">+O35-O34+O38</f>
        <v>0</v>
      </c>
      <c r="P37" s="513">
        <f t="shared" ref="P37" si="39">+P35-P34+P38</f>
        <v>0</v>
      </c>
      <c r="Q37" s="513">
        <f t="shared" ref="Q37" si="40">+Q35-Q34+Q38</f>
        <v>0</v>
      </c>
      <c r="R37" s="513">
        <f t="shared" ref="R37" si="41">+R35-R34+R38</f>
        <v>0</v>
      </c>
      <c r="S37" s="513">
        <f t="shared" ref="S37" si="42">+S35-S34+S38</f>
        <v>0</v>
      </c>
      <c r="T37" s="513">
        <f t="shared" ref="T37" si="43">+T35-T34+T38</f>
        <v>0</v>
      </c>
      <c r="U37" s="513">
        <f t="shared" ref="U37" si="44">+U35-U34+U38</f>
        <v>0</v>
      </c>
      <c r="V37" s="513">
        <f t="shared" ref="V37" si="45">+V35-V34+V38</f>
        <v>0</v>
      </c>
      <c r="W37" s="513">
        <f t="shared" ref="W37" si="46">+W35-W34+W38</f>
        <v>0</v>
      </c>
      <c r="X37" s="513">
        <f t="shared" ref="X37" si="47">+X35-X34+X38</f>
        <v>0</v>
      </c>
      <c r="Y37" s="513">
        <f t="shared" ref="Y37" si="48">+Y35-Y34+Y38</f>
        <v>0</v>
      </c>
      <c r="Z37" s="513">
        <f t="shared" ref="Z37" si="49">+Z35-Z34+Z38</f>
        <v>0</v>
      </c>
      <c r="AA37" s="513">
        <f t="shared" ref="AA37" si="50">+AA35-AA34+AA38</f>
        <v>0</v>
      </c>
      <c r="AB37" s="515">
        <f t="shared" ref="AB37" si="51">+AB35-AB34+AB38</f>
        <v>0</v>
      </c>
      <c r="AC37" s="1427"/>
      <c r="AD37" s="1427"/>
      <c r="AE37" s="1427"/>
      <c r="AF37" s="1427"/>
    </row>
    <row r="38" spans="1:135" s="94" customFormat="1" ht="13.5" thickBot="1">
      <c r="A38" s="308"/>
      <c r="B38" s="4165"/>
      <c r="C38" s="1957" t="s">
        <v>58</v>
      </c>
      <c r="D38" s="1932"/>
      <c r="E38" s="886"/>
      <c r="F38" s="886"/>
      <c r="G38" s="886"/>
      <c r="H38" s="3423">
        <v>0</v>
      </c>
      <c r="I38" s="642">
        <v>0</v>
      </c>
      <c r="J38" s="465">
        <v>0</v>
      </c>
      <c r="K38" s="465">
        <v>0</v>
      </c>
      <c r="L38" s="465">
        <v>0</v>
      </c>
      <c r="M38" s="643">
        <v>0</v>
      </c>
      <c r="N38" s="1790">
        <v>0</v>
      </c>
      <c r="O38" s="465">
        <v>0</v>
      </c>
      <c r="P38" s="465">
        <v>0</v>
      </c>
      <c r="Q38" s="465">
        <v>0</v>
      </c>
      <c r="R38" s="465">
        <v>0</v>
      </c>
      <c r="S38" s="465">
        <v>0</v>
      </c>
      <c r="T38" s="465">
        <v>0</v>
      </c>
      <c r="U38" s="465">
        <v>0</v>
      </c>
      <c r="V38" s="465">
        <v>0</v>
      </c>
      <c r="W38" s="465">
        <v>0</v>
      </c>
      <c r="X38" s="465">
        <v>0</v>
      </c>
      <c r="Y38" s="465">
        <v>0</v>
      </c>
      <c r="Z38" s="465">
        <v>0</v>
      </c>
      <c r="AA38" s="465">
        <v>0</v>
      </c>
      <c r="AB38" s="643">
        <v>0</v>
      </c>
      <c r="AC38" s="1427"/>
      <c r="AD38" s="1427"/>
      <c r="AE38" s="1427"/>
      <c r="AF38" s="1427"/>
    </row>
    <row r="39" spans="1:135" s="94" customFormat="1">
      <c r="A39" s="308"/>
      <c r="B39" s="4166" t="s">
        <v>63</v>
      </c>
      <c r="C39" s="1964" t="s">
        <v>756</v>
      </c>
      <c r="D39" s="533">
        <f>+D34</f>
        <v>0</v>
      </c>
      <c r="E39" s="534">
        <f t="shared" ref="E39:AB39" si="52">+E34</f>
        <v>0</v>
      </c>
      <c r="F39" s="534">
        <f t="shared" si="52"/>
        <v>0</v>
      </c>
      <c r="G39" s="534">
        <f t="shared" si="52"/>
        <v>0</v>
      </c>
      <c r="H39" s="1464">
        <f t="shared" si="52"/>
        <v>0</v>
      </c>
      <c r="I39" s="533">
        <f t="shared" si="52"/>
        <v>1</v>
      </c>
      <c r="J39" s="534">
        <f t="shared" si="52"/>
        <v>1.7057772934441573</v>
      </c>
      <c r="K39" s="534">
        <f t="shared" si="52"/>
        <v>2.9851102635272895</v>
      </c>
      <c r="L39" s="534">
        <f t="shared" si="52"/>
        <v>3.9446099910896351</v>
      </c>
      <c r="M39" s="479">
        <f t="shared" si="52"/>
        <v>4.6642347867613907</v>
      </c>
      <c r="N39" s="1286">
        <f t="shared" si="52"/>
        <v>5.2039533835152127</v>
      </c>
      <c r="O39" s="534">
        <f t="shared" si="52"/>
        <v>5.2039533835152127</v>
      </c>
      <c r="P39" s="534">
        <f t="shared" si="52"/>
        <v>5.2039533835152127</v>
      </c>
      <c r="Q39" s="534">
        <f t="shared" si="52"/>
        <v>5.2039533835152127</v>
      </c>
      <c r="R39" s="534">
        <f t="shared" si="52"/>
        <v>5.2039533835152127</v>
      </c>
      <c r="S39" s="534">
        <f t="shared" si="52"/>
        <v>5.2039533835152127</v>
      </c>
      <c r="T39" s="534">
        <f t="shared" si="52"/>
        <v>5.2039533835152127</v>
      </c>
      <c r="U39" s="534">
        <f t="shared" si="52"/>
        <v>5.2039533835152127</v>
      </c>
      <c r="V39" s="534">
        <f t="shared" si="52"/>
        <v>5.2039533835152127</v>
      </c>
      <c r="W39" s="534">
        <f t="shared" si="52"/>
        <v>5.2039533835152127</v>
      </c>
      <c r="X39" s="534">
        <f t="shared" si="52"/>
        <v>5.2039533835152127</v>
      </c>
      <c r="Y39" s="534">
        <f t="shared" si="52"/>
        <v>5.2039533835152127</v>
      </c>
      <c r="Z39" s="534">
        <f t="shared" si="52"/>
        <v>5.2039533835152127</v>
      </c>
      <c r="AA39" s="534">
        <f t="shared" si="52"/>
        <v>5.2039533835152127</v>
      </c>
      <c r="AB39" s="1966">
        <f t="shared" si="52"/>
        <v>5.2039533835152127</v>
      </c>
      <c r="AC39" s="1427"/>
      <c r="AD39" s="1427"/>
      <c r="AE39" s="1427"/>
      <c r="AF39" s="1427"/>
    </row>
    <row r="40" spans="1:135" s="94" customFormat="1">
      <c r="A40" s="308"/>
      <c r="B40" s="4167"/>
      <c r="C40" s="1964" t="s">
        <v>757</v>
      </c>
      <c r="D40" s="533">
        <f t="shared" ref="D40:AB40" si="53">+D35</f>
        <v>0</v>
      </c>
      <c r="E40" s="534">
        <f t="shared" si="53"/>
        <v>0</v>
      </c>
      <c r="F40" s="534">
        <f t="shared" si="53"/>
        <v>0</v>
      </c>
      <c r="G40" s="534">
        <f t="shared" si="53"/>
        <v>0</v>
      </c>
      <c r="H40" s="1464">
        <f t="shared" si="53"/>
        <v>1</v>
      </c>
      <c r="I40" s="533">
        <f t="shared" si="53"/>
        <v>1.7057772934441573</v>
      </c>
      <c r="J40" s="534">
        <f t="shared" si="53"/>
        <v>2.9851102635272895</v>
      </c>
      <c r="K40" s="534">
        <f t="shared" si="53"/>
        <v>3.9446099910896351</v>
      </c>
      <c r="L40" s="534">
        <f t="shared" si="53"/>
        <v>4.6642347867613907</v>
      </c>
      <c r="M40" s="479">
        <f t="shared" si="53"/>
        <v>5.2039533835152127</v>
      </c>
      <c r="N40" s="1286">
        <f t="shared" si="53"/>
        <v>5.2039533835152127</v>
      </c>
      <c r="O40" s="534">
        <f t="shared" si="53"/>
        <v>5.2039533835152127</v>
      </c>
      <c r="P40" s="534">
        <f t="shared" si="53"/>
        <v>5.2039533835152127</v>
      </c>
      <c r="Q40" s="534">
        <f t="shared" si="53"/>
        <v>5.2039533835152127</v>
      </c>
      <c r="R40" s="534">
        <f t="shared" si="53"/>
        <v>5.2039533835152127</v>
      </c>
      <c r="S40" s="534">
        <f t="shared" si="53"/>
        <v>5.2039533835152127</v>
      </c>
      <c r="T40" s="534">
        <f t="shared" si="53"/>
        <v>5.2039533835152127</v>
      </c>
      <c r="U40" s="534">
        <f t="shared" si="53"/>
        <v>5.2039533835152127</v>
      </c>
      <c r="V40" s="534">
        <f t="shared" si="53"/>
        <v>5.2039533835152127</v>
      </c>
      <c r="W40" s="534">
        <f t="shared" si="53"/>
        <v>5.2039533835152127</v>
      </c>
      <c r="X40" s="534">
        <f t="shared" si="53"/>
        <v>5.2039533835152127</v>
      </c>
      <c r="Y40" s="534">
        <f t="shared" si="53"/>
        <v>5.2039533835152127</v>
      </c>
      <c r="Z40" s="534">
        <f t="shared" si="53"/>
        <v>5.2039533835152127</v>
      </c>
      <c r="AA40" s="534">
        <f t="shared" si="53"/>
        <v>5.2039533835152127</v>
      </c>
      <c r="AB40" s="1966">
        <f t="shared" si="53"/>
        <v>5.2039533835152127</v>
      </c>
      <c r="AC40" s="1427"/>
      <c r="AD40" s="1427"/>
      <c r="AE40" s="1427"/>
      <c r="AF40" s="1427"/>
    </row>
    <row r="41" spans="1:135" s="94" customFormat="1">
      <c r="A41" s="308"/>
      <c r="B41" s="4167"/>
      <c r="C41" s="1965" t="s">
        <v>68</v>
      </c>
      <c r="D41" s="533">
        <f t="shared" ref="D41:AB41" si="54">+D36</f>
        <v>0</v>
      </c>
      <c r="E41" s="534">
        <f t="shared" si="54"/>
        <v>0</v>
      </c>
      <c r="F41" s="534">
        <f t="shared" si="54"/>
        <v>0</v>
      </c>
      <c r="G41" s="534">
        <f t="shared" si="54"/>
        <v>0</v>
      </c>
      <c r="H41" s="1464">
        <f t="shared" si="54"/>
        <v>0.5</v>
      </c>
      <c r="I41" s="533">
        <f t="shared" si="54"/>
        <v>1.3528886467220786</v>
      </c>
      <c r="J41" s="534">
        <f t="shared" si="54"/>
        <v>2.3454437784857234</v>
      </c>
      <c r="K41" s="534">
        <f t="shared" si="54"/>
        <v>3.4648601273084623</v>
      </c>
      <c r="L41" s="534">
        <f t="shared" si="54"/>
        <v>4.3044223889255129</v>
      </c>
      <c r="M41" s="479">
        <f t="shared" si="54"/>
        <v>4.9340940851383017</v>
      </c>
      <c r="N41" s="1286">
        <f t="shared" si="54"/>
        <v>5.2039533835152127</v>
      </c>
      <c r="O41" s="534">
        <f t="shared" si="54"/>
        <v>5.2039533835152127</v>
      </c>
      <c r="P41" s="534">
        <f t="shared" si="54"/>
        <v>5.2039533835152127</v>
      </c>
      <c r="Q41" s="534">
        <f t="shared" si="54"/>
        <v>5.2039533835152127</v>
      </c>
      <c r="R41" s="534">
        <f t="shared" si="54"/>
        <v>5.2039533835152127</v>
      </c>
      <c r="S41" s="534">
        <f t="shared" si="54"/>
        <v>5.2039533835152127</v>
      </c>
      <c r="T41" s="534">
        <f t="shared" si="54"/>
        <v>5.2039533835152127</v>
      </c>
      <c r="U41" s="534">
        <f t="shared" si="54"/>
        <v>5.2039533835152127</v>
      </c>
      <c r="V41" s="534">
        <f t="shared" si="54"/>
        <v>5.2039533835152127</v>
      </c>
      <c r="W41" s="534">
        <f t="shared" si="54"/>
        <v>5.2039533835152127</v>
      </c>
      <c r="X41" s="534">
        <f t="shared" si="54"/>
        <v>5.2039533835152127</v>
      </c>
      <c r="Y41" s="534">
        <f t="shared" si="54"/>
        <v>5.2039533835152127</v>
      </c>
      <c r="Z41" s="534">
        <f t="shared" si="54"/>
        <v>5.2039533835152127</v>
      </c>
      <c r="AA41" s="534">
        <f t="shared" si="54"/>
        <v>5.2039533835152127</v>
      </c>
      <c r="AB41" s="1966">
        <f t="shared" si="54"/>
        <v>5.2039533835152127</v>
      </c>
      <c r="AC41" s="1427"/>
      <c r="AD41" s="1427"/>
      <c r="AE41" s="1427"/>
      <c r="AF41" s="1427"/>
    </row>
    <row r="42" spans="1:135" s="94" customFormat="1">
      <c r="A42" s="308"/>
      <c r="B42" s="4167"/>
      <c r="C42" s="1965" t="s">
        <v>69</v>
      </c>
      <c r="D42" s="533">
        <f t="shared" ref="D42:AB42" si="55">+D37</f>
        <v>0</v>
      </c>
      <c r="E42" s="534">
        <f t="shared" si="55"/>
        <v>0</v>
      </c>
      <c r="F42" s="534">
        <f t="shared" si="55"/>
        <v>0</v>
      </c>
      <c r="G42" s="534">
        <f t="shared" si="55"/>
        <v>0</v>
      </c>
      <c r="H42" s="1464">
        <f t="shared" si="55"/>
        <v>1</v>
      </c>
      <c r="I42" s="533">
        <f t="shared" si="55"/>
        <v>0.70577729344415729</v>
      </c>
      <c r="J42" s="534">
        <f t="shared" si="55"/>
        <v>1.2793329700831322</v>
      </c>
      <c r="K42" s="534">
        <f t="shared" si="55"/>
        <v>0.95949972756234558</v>
      </c>
      <c r="L42" s="534">
        <f t="shared" si="55"/>
        <v>0.71962479567175563</v>
      </c>
      <c r="M42" s="479">
        <f t="shared" si="55"/>
        <v>0.53971859675382206</v>
      </c>
      <c r="N42" s="1286">
        <f t="shared" si="55"/>
        <v>0</v>
      </c>
      <c r="O42" s="534">
        <f t="shared" si="55"/>
        <v>0</v>
      </c>
      <c r="P42" s="534">
        <f t="shared" si="55"/>
        <v>0</v>
      </c>
      <c r="Q42" s="534">
        <f t="shared" si="55"/>
        <v>0</v>
      </c>
      <c r="R42" s="534">
        <f t="shared" si="55"/>
        <v>0</v>
      </c>
      <c r="S42" s="534">
        <f t="shared" si="55"/>
        <v>0</v>
      </c>
      <c r="T42" s="534">
        <f t="shared" si="55"/>
        <v>0</v>
      </c>
      <c r="U42" s="534">
        <f t="shared" si="55"/>
        <v>0</v>
      </c>
      <c r="V42" s="534">
        <f t="shared" si="55"/>
        <v>0</v>
      </c>
      <c r="W42" s="534">
        <f t="shared" si="55"/>
        <v>0</v>
      </c>
      <c r="X42" s="534">
        <f t="shared" si="55"/>
        <v>0</v>
      </c>
      <c r="Y42" s="534">
        <f t="shared" si="55"/>
        <v>0</v>
      </c>
      <c r="Z42" s="534">
        <f t="shared" si="55"/>
        <v>0</v>
      </c>
      <c r="AA42" s="534">
        <f t="shared" si="55"/>
        <v>0</v>
      </c>
      <c r="AB42" s="1966">
        <f t="shared" si="55"/>
        <v>0</v>
      </c>
      <c r="AC42" s="1427"/>
      <c r="AD42" s="1427"/>
      <c r="AE42" s="1427"/>
      <c r="AF42" s="1427"/>
    </row>
    <row r="43" spans="1:135" s="94" customFormat="1" ht="13.5" thickBot="1">
      <c r="A43" s="308"/>
      <c r="B43" s="4168"/>
      <c r="C43" s="1967" t="s">
        <v>58</v>
      </c>
      <c r="D43" s="533">
        <f t="shared" ref="D43:AB43" si="56">+D38</f>
        <v>0</v>
      </c>
      <c r="E43" s="1969">
        <f t="shared" si="56"/>
        <v>0</v>
      </c>
      <c r="F43" s="1969">
        <f t="shared" si="56"/>
        <v>0</v>
      </c>
      <c r="G43" s="1969">
        <f t="shared" si="56"/>
        <v>0</v>
      </c>
      <c r="H43" s="1970">
        <f t="shared" si="56"/>
        <v>0</v>
      </c>
      <c r="I43" s="1968">
        <f t="shared" si="56"/>
        <v>0</v>
      </c>
      <c r="J43" s="1969">
        <f t="shared" si="56"/>
        <v>0</v>
      </c>
      <c r="K43" s="1969">
        <f t="shared" si="56"/>
        <v>0</v>
      </c>
      <c r="L43" s="1969">
        <f t="shared" si="56"/>
        <v>0</v>
      </c>
      <c r="M43" s="1971">
        <f t="shared" si="56"/>
        <v>0</v>
      </c>
      <c r="N43" s="1972">
        <f t="shared" si="56"/>
        <v>0</v>
      </c>
      <c r="O43" s="1969">
        <f t="shared" si="56"/>
        <v>0</v>
      </c>
      <c r="P43" s="1969">
        <f t="shared" si="56"/>
        <v>0</v>
      </c>
      <c r="Q43" s="1969">
        <f t="shared" si="56"/>
        <v>0</v>
      </c>
      <c r="R43" s="1969">
        <f t="shared" si="56"/>
        <v>0</v>
      </c>
      <c r="S43" s="1969">
        <f t="shared" si="56"/>
        <v>0</v>
      </c>
      <c r="T43" s="1969">
        <f t="shared" si="56"/>
        <v>0</v>
      </c>
      <c r="U43" s="1969">
        <f t="shared" si="56"/>
        <v>0</v>
      </c>
      <c r="V43" s="1969">
        <f t="shared" si="56"/>
        <v>0</v>
      </c>
      <c r="W43" s="1969">
        <f t="shared" si="56"/>
        <v>0</v>
      </c>
      <c r="X43" s="1969">
        <f t="shared" si="56"/>
        <v>0</v>
      </c>
      <c r="Y43" s="1969">
        <f t="shared" si="56"/>
        <v>0</v>
      </c>
      <c r="Z43" s="1969">
        <f t="shared" si="56"/>
        <v>0</v>
      </c>
      <c r="AA43" s="1969">
        <f t="shared" si="56"/>
        <v>0</v>
      </c>
      <c r="AB43" s="1973">
        <f t="shared" si="56"/>
        <v>0</v>
      </c>
      <c r="AC43" s="1427"/>
      <c r="AD43" s="1427"/>
      <c r="AE43" s="1427"/>
      <c r="AF43" s="1427"/>
    </row>
    <row r="44" spans="1:135" customFormat="1" ht="47.25" customHeight="1" thickBot="1">
      <c r="B44" s="1427"/>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234"/>
      <c r="AB44" s="234"/>
    </row>
    <row r="45" spans="1:135" s="94" customFormat="1" ht="18.75" customHeight="1" thickBot="1">
      <c r="A45" s="308"/>
      <c r="B45" s="1607" t="s">
        <v>1515</v>
      </c>
      <c r="C45" s="1605"/>
      <c r="D45" s="1605"/>
      <c r="E45" s="1605"/>
      <c r="F45" s="1605"/>
      <c r="G45" s="1605"/>
      <c r="H45" s="1605"/>
      <c r="I45" s="1605"/>
      <c r="J45" s="1605"/>
      <c r="K45" s="1605"/>
      <c r="L45" s="1605"/>
      <c r="M45" s="1605"/>
      <c r="N45" s="1605"/>
      <c r="O45" s="1605"/>
      <c r="P45" s="1605"/>
      <c r="Q45" s="1605"/>
      <c r="R45" s="1605"/>
      <c r="S45" s="1605"/>
      <c r="T45" s="1605"/>
      <c r="U45" s="1605"/>
      <c r="V45" s="1605"/>
      <c r="W45" s="1605"/>
      <c r="X45" s="1605"/>
      <c r="Y45" s="1605"/>
      <c r="Z45" s="1605"/>
      <c r="AA45" s="1605"/>
      <c r="AB45" s="1606"/>
      <c r="AC45" s="1427"/>
      <c r="AD45" s="1427"/>
      <c r="AE45" s="1427"/>
      <c r="AF45" s="1427"/>
      <c r="DF45" s="1427"/>
      <c r="DG45" s="1427"/>
      <c r="DH45" s="1427"/>
      <c r="DI45" s="1427"/>
      <c r="DJ45" s="1427"/>
      <c r="DK45" s="1427"/>
      <c r="DL45" s="1427"/>
      <c r="DM45" s="1427"/>
      <c r="DN45" s="1427"/>
      <c r="DO45" s="1427"/>
      <c r="DP45" s="1427"/>
      <c r="DQ45" s="1427"/>
      <c r="DR45" s="1427"/>
      <c r="DS45" s="1427"/>
      <c r="DT45" s="1427"/>
      <c r="DU45" s="1427"/>
      <c r="DV45" s="1427"/>
      <c r="DW45" s="1427"/>
      <c r="DX45" s="1427"/>
      <c r="DY45" s="1427"/>
      <c r="DZ45" s="1427"/>
      <c r="EA45" s="1427"/>
      <c r="EB45" s="1427"/>
      <c r="EC45" s="1427"/>
      <c r="ED45" s="1427"/>
      <c r="EE45" s="1427"/>
    </row>
    <row r="46" spans="1:135" s="94" customFormat="1">
      <c r="A46" s="308"/>
      <c r="B46" s="3749" t="s">
        <v>756</v>
      </c>
      <c r="C46" s="3750"/>
      <c r="D46" s="881"/>
      <c r="E46" s="518">
        <f>D47</f>
        <v>0</v>
      </c>
      <c r="F46" s="518">
        <f t="shared" ref="F46:AB46" si="57">E47</f>
        <v>0</v>
      </c>
      <c r="G46" s="518">
        <f>E47</f>
        <v>0</v>
      </c>
      <c r="H46" s="518">
        <f>F47</f>
        <v>0</v>
      </c>
      <c r="I46" s="518">
        <f t="shared" si="57"/>
        <v>0</v>
      </c>
      <c r="J46" s="518">
        <f t="shared" si="57"/>
        <v>0</v>
      </c>
      <c r="K46" s="518">
        <f t="shared" si="57"/>
        <v>0</v>
      </c>
      <c r="L46" s="518">
        <f t="shared" si="57"/>
        <v>0</v>
      </c>
      <c r="M46" s="519">
        <f t="shared" si="57"/>
        <v>0</v>
      </c>
      <c r="N46" s="571">
        <f t="shared" si="57"/>
        <v>0</v>
      </c>
      <c r="O46" s="518">
        <f t="shared" si="57"/>
        <v>0</v>
      </c>
      <c r="P46" s="518">
        <f t="shared" si="57"/>
        <v>0</v>
      </c>
      <c r="Q46" s="518">
        <f t="shared" si="57"/>
        <v>0</v>
      </c>
      <c r="R46" s="518">
        <f t="shared" si="57"/>
        <v>0</v>
      </c>
      <c r="S46" s="518">
        <f t="shared" si="57"/>
        <v>0</v>
      </c>
      <c r="T46" s="518">
        <f t="shared" si="57"/>
        <v>0</v>
      </c>
      <c r="U46" s="518">
        <f t="shared" si="57"/>
        <v>0</v>
      </c>
      <c r="V46" s="518">
        <f t="shared" si="57"/>
        <v>0</v>
      </c>
      <c r="W46" s="518">
        <f t="shared" si="57"/>
        <v>0</v>
      </c>
      <c r="X46" s="518">
        <f t="shared" si="57"/>
        <v>0</v>
      </c>
      <c r="Y46" s="518">
        <f t="shared" si="57"/>
        <v>0</v>
      </c>
      <c r="Z46" s="518">
        <f t="shared" si="57"/>
        <v>0</v>
      </c>
      <c r="AA46" s="518">
        <f t="shared" si="57"/>
        <v>0</v>
      </c>
      <c r="AB46" s="519">
        <f t="shared" si="57"/>
        <v>0</v>
      </c>
      <c r="AC46"/>
      <c r="AD46"/>
      <c r="AE46"/>
      <c r="AF46"/>
    </row>
    <row r="47" spans="1:135" s="94" customFormat="1">
      <c r="A47" s="308"/>
      <c r="B47" s="4171" t="s">
        <v>757</v>
      </c>
      <c r="C47" s="4172"/>
      <c r="D47" s="823"/>
      <c r="E47" s="780"/>
      <c r="F47" s="780"/>
      <c r="G47" s="780"/>
      <c r="H47" s="780"/>
      <c r="I47" s="823"/>
      <c r="J47" s="780"/>
      <c r="K47" s="780"/>
      <c r="L47" s="780"/>
      <c r="M47" s="884"/>
      <c r="N47" s="880"/>
      <c r="O47" s="780"/>
      <c r="P47" s="780"/>
      <c r="Q47" s="780"/>
      <c r="R47" s="780"/>
      <c r="S47" s="780"/>
      <c r="T47" s="780"/>
      <c r="U47" s="780"/>
      <c r="V47" s="780"/>
      <c r="W47" s="780"/>
      <c r="X47" s="780"/>
      <c r="Y47" s="780"/>
      <c r="Z47" s="780"/>
      <c r="AA47" s="780"/>
      <c r="AB47" s="884"/>
      <c r="AC47"/>
      <c r="AD47"/>
      <c r="AE47"/>
      <c r="AF47"/>
    </row>
    <row r="48" spans="1:135" s="94" customFormat="1">
      <c r="A48" s="308"/>
      <c r="B48" s="4171" t="s">
        <v>68</v>
      </c>
      <c r="C48" s="4172"/>
      <c r="D48" s="517">
        <f t="shared" ref="D48:AB48" si="58">IF(ISERROR(AVERAGE(D46:D47)),0,AVERAGE(D46:D47))</f>
        <v>0</v>
      </c>
      <c r="E48" s="518">
        <f t="shared" si="58"/>
        <v>0</v>
      </c>
      <c r="F48" s="518">
        <f t="shared" si="58"/>
        <v>0</v>
      </c>
      <c r="G48" s="518">
        <f t="shared" ref="G48" si="59">IF(ISERROR(AVERAGE(G46:G47)),0,AVERAGE(G46:G47))</f>
        <v>0</v>
      </c>
      <c r="H48" s="518">
        <f t="shared" si="58"/>
        <v>0</v>
      </c>
      <c r="I48" s="517">
        <f t="shared" si="58"/>
        <v>0</v>
      </c>
      <c r="J48" s="518">
        <f t="shared" si="58"/>
        <v>0</v>
      </c>
      <c r="K48" s="518">
        <f t="shared" si="58"/>
        <v>0</v>
      </c>
      <c r="L48" s="518">
        <f t="shared" si="58"/>
        <v>0</v>
      </c>
      <c r="M48" s="519">
        <f t="shared" si="58"/>
        <v>0</v>
      </c>
      <c r="N48" s="571">
        <f t="shared" si="58"/>
        <v>0</v>
      </c>
      <c r="O48" s="518">
        <f t="shared" si="58"/>
        <v>0</v>
      </c>
      <c r="P48" s="518">
        <f t="shared" si="58"/>
        <v>0</v>
      </c>
      <c r="Q48" s="518">
        <f t="shared" si="58"/>
        <v>0</v>
      </c>
      <c r="R48" s="518">
        <f t="shared" si="58"/>
        <v>0</v>
      </c>
      <c r="S48" s="518">
        <f t="shared" si="58"/>
        <v>0</v>
      </c>
      <c r="T48" s="518">
        <f t="shared" si="58"/>
        <v>0</v>
      </c>
      <c r="U48" s="518">
        <f t="shared" si="58"/>
        <v>0</v>
      </c>
      <c r="V48" s="518">
        <f t="shared" si="58"/>
        <v>0</v>
      </c>
      <c r="W48" s="518">
        <f t="shared" si="58"/>
        <v>0</v>
      </c>
      <c r="X48" s="518">
        <f t="shared" si="58"/>
        <v>0</v>
      </c>
      <c r="Y48" s="518">
        <f t="shared" si="58"/>
        <v>0</v>
      </c>
      <c r="Z48" s="518">
        <f t="shared" si="58"/>
        <v>0</v>
      </c>
      <c r="AA48" s="518">
        <f t="shared" si="58"/>
        <v>0</v>
      </c>
      <c r="AB48" s="519">
        <f t="shared" si="58"/>
        <v>0</v>
      </c>
      <c r="AC48"/>
      <c r="AD48"/>
      <c r="AE48"/>
      <c r="AF48"/>
    </row>
    <row r="49" spans="1:32" s="94" customFormat="1">
      <c r="A49" s="308"/>
      <c r="B49" s="4171" t="s">
        <v>69</v>
      </c>
      <c r="C49" s="4172"/>
      <c r="D49" s="823"/>
      <c r="E49" s="780"/>
      <c r="F49" s="780"/>
      <c r="G49" s="780"/>
      <c r="H49" s="780"/>
      <c r="I49" s="823"/>
      <c r="J49" s="780"/>
      <c r="K49" s="780"/>
      <c r="L49" s="780"/>
      <c r="M49" s="884"/>
      <c r="N49" s="880"/>
      <c r="O49" s="780"/>
      <c r="P49" s="780"/>
      <c r="Q49" s="780"/>
      <c r="R49" s="780"/>
      <c r="S49" s="780"/>
      <c r="T49" s="780"/>
      <c r="U49" s="780"/>
      <c r="V49" s="780"/>
      <c r="W49" s="780"/>
      <c r="X49" s="780"/>
      <c r="Y49" s="780"/>
      <c r="Z49" s="780"/>
      <c r="AA49" s="780"/>
      <c r="AB49" s="884"/>
      <c r="AC49"/>
      <c r="AD49"/>
      <c r="AE49"/>
      <c r="AF49"/>
    </row>
    <row r="50" spans="1:32" s="94" customFormat="1" ht="13.5" thickBot="1">
      <c r="A50" s="308"/>
      <c r="B50" s="4169" t="s">
        <v>58</v>
      </c>
      <c r="C50" s="4170"/>
      <c r="D50" s="885"/>
      <c r="E50" s="886"/>
      <c r="F50" s="886"/>
      <c r="G50" s="886"/>
      <c r="H50" s="886"/>
      <c r="I50" s="885"/>
      <c r="J50" s="886"/>
      <c r="K50" s="886"/>
      <c r="L50" s="886"/>
      <c r="M50" s="887"/>
      <c r="N50" s="889"/>
      <c r="O50" s="886"/>
      <c r="P50" s="886"/>
      <c r="Q50" s="886"/>
      <c r="R50" s="886"/>
      <c r="S50" s="886"/>
      <c r="T50" s="886"/>
      <c r="U50" s="886"/>
      <c r="V50" s="886"/>
      <c r="W50" s="886"/>
      <c r="X50" s="886"/>
      <c r="Y50" s="886"/>
      <c r="Z50" s="886"/>
      <c r="AA50" s="886"/>
      <c r="AB50" s="887"/>
      <c r="AC50"/>
      <c r="AD50"/>
      <c r="AE50"/>
      <c r="AF50"/>
    </row>
    <row r="51" spans="1:32" ht="44.25" customHeight="1" thickBot="1">
      <c r="A51" s="798"/>
      <c r="B51" s="1858"/>
      <c r="C51" s="1712" t="s">
        <v>125</v>
      </c>
      <c r="D51" s="1413"/>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5"/>
      <c r="AF51"/>
    </row>
  </sheetData>
  <mergeCells count="20">
    <mergeCell ref="B23:B27"/>
    <mergeCell ref="B28:B32"/>
    <mergeCell ref="B34:B38"/>
    <mergeCell ref="B39:B43"/>
    <mergeCell ref="B50:C50"/>
    <mergeCell ref="B49:C49"/>
    <mergeCell ref="B48:C48"/>
    <mergeCell ref="B47:C47"/>
    <mergeCell ref="B46:C46"/>
    <mergeCell ref="I17:M17"/>
    <mergeCell ref="N17:AB17"/>
    <mergeCell ref="D18:AB18"/>
    <mergeCell ref="G19:AB19"/>
    <mergeCell ref="D19:F19"/>
    <mergeCell ref="B10:G10"/>
    <mergeCell ref="B7:G7"/>
    <mergeCell ref="B8:G8"/>
    <mergeCell ref="B9:G9"/>
    <mergeCell ref="D17:H17"/>
    <mergeCell ref="B17:C20"/>
  </mergeCells>
  <pageMargins left="0.75" right="0.75" top="1" bottom="1" header="0.5" footer="0.5"/>
  <pageSetup paperSize="9" orientation="portrait" r:id="rId1"/>
  <headerFooter alignWithMargins="0"/>
  <customProperties>
    <customPr name="_pios_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26"/>
    <pageSetUpPr autoPageBreaks="0"/>
  </sheetPr>
  <dimension ref="A1:EE58"/>
  <sheetViews>
    <sheetView showGridLines="0" zoomScale="70" zoomScaleNormal="70" workbookViewId="0">
      <selection activeCell="C29" sqref="C29"/>
    </sheetView>
  </sheetViews>
  <sheetFormatPr defaultRowHeight="12.75"/>
  <cols>
    <col min="1" max="1" width="16.28515625" style="96" bestFit="1" customWidth="1"/>
    <col min="2" max="2" width="41.7109375" style="150" customWidth="1"/>
    <col min="3" max="3" width="38" style="96" customWidth="1"/>
    <col min="4" max="4" width="33.85546875" style="96" bestFit="1" customWidth="1"/>
    <col min="5" max="28" width="15.7109375" style="96" customWidth="1"/>
    <col min="29" max="29" width="13.85546875" customWidth="1"/>
    <col min="32" max="254" width="9.140625" style="96"/>
    <col min="255" max="255" width="16.28515625" style="96" bestFit="1" customWidth="1"/>
    <col min="256" max="256" width="63.28515625" style="96" customWidth="1"/>
    <col min="257" max="257" width="22" style="96" customWidth="1"/>
    <col min="258" max="260" width="8" style="96" bestFit="1" customWidth="1"/>
    <col min="261" max="261" width="13.85546875" style="96" customWidth="1"/>
    <col min="262" max="262" width="17.28515625" style="96" bestFit="1" customWidth="1"/>
    <col min="263" max="274" width="10.7109375" style="96" bestFit="1" customWidth="1"/>
    <col min="275" max="510" width="9.140625" style="96"/>
    <col min="511" max="511" width="16.28515625" style="96" bestFit="1" customWidth="1"/>
    <col min="512" max="512" width="63.28515625" style="96" customWidth="1"/>
    <col min="513" max="513" width="22" style="96" customWidth="1"/>
    <col min="514" max="516" width="8" style="96" bestFit="1" customWidth="1"/>
    <col min="517" max="517" width="13.85546875" style="96" customWidth="1"/>
    <col min="518" max="518" width="17.28515625" style="96" bestFit="1" customWidth="1"/>
    <col min="519" max="530" width="10.7109375" style="96" bestFit="1" customWidth="1"/>
    <col min="531" max="766" width="9.140625" style="96"/>
    <col min="767" max="767" width="16.28515625" style="96" bestFit="1" customWidth="1"/>
    <col min="768" max="768" width="63.28515625" style="96" customWidth="1"/>
    <col min="769" max="769" width="22" style="96" customWidth="1"/>
    <col min="770" max="772" width="8" style="96" bestFit="1" customWidth="1"/>
    <col min="773" max="773" width="13.85546875" style="96" customWidth="1"/>
    <col min="774" max="774" width="17.28515625" style="96" bestFit="1" customWidth="1"/>
    <col min="775" max="786" width="10.7109375" style="96" bestFit="1" customWidth="1"/>
    <col min="787" max="1022" width="9.140625" style="96"/>
    <col min="1023" max="1023" width="16.28515625" style="96" bestFit="1" customWidth="1"/>
    <col min="1024" max="1024" width="63.28515625" style="96" customWidth="1"/>
    <col min="1025" max="1025" width="22" style="96" customWidth="1"/>
    <col min="1026" max="1028" width="8" style="96" bestFit="1" customWidth="1"/>
    <col min="1029" max="1029" width="13.85546875" style="96" customWidth="1"/>
    <col min="1030" max="1030" width="17.28515625" style="96" bestFit="1" customWidth="1"/>
    <col min="1031" max="1042" width="10.7109375" style="96" bestFit="1" customWidth="1"/>
    <col min="1043" max="1278" width="9.140625" style="96"/>
    <col min="1279" max="1279" width="16.28515625" style="96" bestFit="1" customWidth="1"/>
    <col min="1280" max="1280" width="63.28515625" style="96" customWidth="1"/>
    <col min="1281" max="1281" width="22" style="96" customWidth="1"/>
    <col min="1282" max="1284" width="8" style="96" bestFit="1" customWidth="1"/>
    <col min="1285" max="1285" width="13.85546875" style="96" customWidth="1"/>
    <col min="1286" max="1286" width="17.28515625" style="96" bestFit="1" customWidth="1"/>
    <col min="1287" max="1298" width="10.7109375" style="96" bestFit="1" customWidth="1"/>
    <col min="1299" max="1534" width="9.140625" style="96"/>
    <col min="1535" max="1535" width="16.28515625" style="96" bestFit="1" customWidth="1"/>
    <col min="1536" max="1536" width="63.28515625" style="96" customWidth="1"/>
    <col min="1537" max="1537" width="22" style="96" customWidth="1"/>
    <col min="1538" max="1540" width="8" style="96" bestFit="1" customWidth="1"/>
    <col min="1541" max="1541" width="13.85546875" style="96" customWidth="1"/>
    <col min="1542" max="1542" width="17.28515625" style="96" bestFit="1" customWidth="1"/>
    <col min="1543" max="1554" width="10.7109375" style="96" bestFit="1" customWidth="1"/>
    <col min="1555" max="1790" width="9.140625" style="96"/>
    <col min="1791" max="1791" width="16.28515625" style="96" bestFit="1" customWidth="1"/>
    <col min="1792" max="1792" width="63.28515625" style="96" customWidth="1"/>
    <col min="1793" max="1793" width="22" style="96" customWidth="1"/>
    <col min="1794" max="1796" width="8" style="96" bestFit="1" customWidth="1"/>
    <col min="1797" max="1797" width="13.85546875" style="96" customWidth="1"/>
    <col min="1798" max="1798" width="17.28515625" style="96" bestFit="1" customWidth="1"/>
    <col min="1799" max="1810" width="10.7109375" style="96" bestFit="1" customWidth="1"/>
    <col min="1811" max="2046" width="9.140625" style="96"/>
    <col min="2047" max="2047" width="16.28515625" style="96" bestFit="1" customWidth="1"/>
    <col min="2048" max="2048" width="63.28515625" style="96" customWidth="1"/>
    <col min="2049" max="2049" width="22" style="96" customWidth="1"/>
    <col min="2050" max="2052" width="8" style="96" bestFit="1" customWidth="1"/>
    <col min="2053" max="2053" width="13.85546875" style="96" customWidth="1"/>
    <col min="2054" max="2054" width="17.28515625" style="96" bestFit="1" customWidth="1"/>
    <col min="2055" max="2066" width="10.7109375" style="96" bestFit="1" customWidth="1"/>
    <col min="2067" max="2302" width="9.140625" style="96"/>
    <col min="2303" max="2303" width="16.28515625" style="96" bestFit="1" customWidth="1"/>
    <col min="2304" max="2304" width="63.28515625" style="96" customWidth="1"/>
    <col min="2305" max="2305" width="22" style="96" customWidth="1"/>
    <col min="2306" max="2308" width="8" style="96" bestFit="1" customWidth="1"/>
    <col min="2309" max="2309" width="13.85546875" style="96" customWidth="1"/>
    <col min="2310" max="2310" width="17.28515625" style="96" bestFit="1" customWidth="1"/>
    <col min="2311" max="2322" width="10.7109375" style="96" bestFit="1" customWidth="1"/>
    <col min="2323" max="2558" width="9.140625" style="96"/>
    <col min="2559" max="2559" width="16.28515625" style="96" bestFit="1" customWidth="1"/>
    <col min="2560" max="2560" width="63.28515625" style="96" customWidth="1"/>
    <col min="2561" max="2561" width="22" style="96" customWidth="1"/>
    <col min="2562" max="2564" width="8" style="96" bestFit="1" customWidth="1"/>
    <col min="2565" max="2565" width="13.85546875" style="96" customWidth="1"/>
    <col min="2566" max="2566" width="17.28515625" style="96" bestFit="1" customWidth="1"/>
    <col min="2567" max="2578" width="10.7109375" style="96" bestFit="1" customWidth="1"/>
    <col min="2579" max="2814" width="9.140625" style="96"/>
    <col min="2815" max="2815" width="16.28515625" style="96" bestFit="1" customWidth="1"/>
    <col min="2816" max="2816" width="63.28515625" style="96" customWidth="1"/>
    <col min="2817" max="2817" width="22" style="96" customWidth="1"/>
    <col min="2818" max="2820" width="8" style="96" bestFit="1" customWidth="1"/>
    <col min="2821" max="2821" width="13.85546875" style="96" customWidth="1"/>
    <col min="2822" max="2822" width="17.28515625" style="96" bestFit="1" customWidth="1"/>
    <col min="2823" max="2834" width="10.7109375" style="96" bestFit="1" customWidth="1"/>
    <col min="2835" max="3070" width="9.140625" style="96"/>
    <col min="3071" max="3071" width="16.28515625" style="96" bestFit="1" customWidth="1"/>
    <col min="3072" max="3072" width="63.28515625" style="96" customWidth="1"/>
    <col min="3073" max="3073" width="22" style="96" customWidth="1"/>
    <col min="3074" max="3076" width="8" style="96" bestFit="1" customWidth="1"/>
    <col min="3077" max="3077" width="13.85546875" style="96" customWidth="1"/>
    <col min="3078" max="3078" width="17.28515625" style="96" bestFit="1" customWidth="1"/>
    <col min="3079" max="3090" width="10.7109375" style="96" bestFit="1" customWidth="1"/>
    <col min="3091" max="3326" width="9.140625" style="96"/>
    <col min="3327" max="3327" width="16.28515625" style="96" bestFit="1" customWidth="1"/>
    <col min="3328" max="3328" width="63.28515625" style="96" customWidth="1"/>
    <col min="3329" max="3329" width="22" style="96" customWidth="1"/>
    <col min="3330" max="3332" width="8" style="96" bestFit="1" customWidth="1"/>
    <col min="3333" max="3333" width="13.85546875" style="96" customWidth="1"/>
    <col min="3334" max="3334" width="17.28515625" style="96" bestFit="1" customWidth="1"/>
    <col min="3335" max="3346" width="10.7109375" style="96" bestFit="1" customWidth="1"/>
    <col min="3347" max="3582" width="9.140625" style="96"/>
    <col min="3583" max="3583" width="16.28515625" style="96" bestFit="1" customWidth="1"/>
    <col min="3584" max="3584" width="63.28515625" style="96" customWidth="1"/>
    <col min="3585" max="3585" width="22" style="96" customWidth="1"/>
    <col min="3586" max="3588" width="8" style="96" bestFit="1" customWidth="1"/>
    <col min="3589" max="3589" width="13.85546875" style="96" customWidth="1"/>
    <col min="3590" max="3590" width="17.28515625" style="96" bestFit="1" customWidth="1"/>
    <col min="3591" max="3602" width="10.7109375" style="96" bestFit="1" customWidth="1"/>
    <col min="3603" max="3838" width="9.140625" style="96"/>
    <col min="3839" max="3839" width="16.28515625" style="96" bestFit="1" customWidth="1"/>
    <col min="3840" max="3840" width="63.28515625" style="96" customWidth="1"/>
    <col min="3841" max="3841" width="22" style="96" customWidth="1"/>
    <col min="3842" max="3844" width="8" style="96" bestFit="1" customWidth="1"/>
    <col min="3845" max="3845" width="13.85546875" style="96" customWidth="1"/>
    <col min="3846" max="3846" width="17.28515625" style="96" bestFit="1" customWidth="1"/>
    <col min="3847" max="3858" width="10.7109375" style="96" bestFit="1" customWidth="1"/>
    <col min="3859" max="4094" width="9.140625" style="96"/>
    <col min="4095" max="4095" width="16.28515625" style="96" bestFit="1" customWidth="1"/>
    <col min="4096" max="4096" width="63.28515625" style="96" customWidth="1"/>
    <col min="4097" max="4097" width="22" style="96" customWidth="1"/>
    <col min="4098" max="4100" width="8" style="96" bestFit="1" customWidth="1"/>
    <col min="4101" max="4101" width="13.85546875" style="96" customWidth="1"/>
    <col min="4102" max="4102" width="17.28515625" style="96" bestFit="1" customWidth="1"/>
    <col min="4103" max="4114" width="10.7109375" style="96" bestFit="1" customWidth="1"/>
    <col min="4115" max="4350" width="9.140625" style="96"/>
    <col min="4351" max="4351" width="16.28515625" style="96" bestFit="1" customWidth="1"/>
    <col min="4352" max="4352" width="63.28515625" style="96" customWidth="1"/>
    <col min="4353" max="4353" width="22" style="96" customWidth="1"/>
    <col min="4354" max="4356" width="8" style="96" bestFit="1" customWidth="1"/>
    <col min="4357" max="4357" width="13.85546875" style="96" customWidth="1"/>
    <col min="4358" max="4358" width="17.28515625" style="96" bestFit="1" customWidth="1"/>
    <col min="4359" max="4370" width="10.7109375" style="96" bestFit="1" customWidth="1"/>
    <col min="4371" max="4606" width="9.140625" style="96"/>
    <col min="4607" max="4607" width="16.28515625" style="96" bestFit="1" customWidth="1"/>
    <col min="4608" max="4608" width="63.28515625" style="96" customWidth="1"/>
    <col min="4609" max="4609" width="22" style="96" customWidth="1"/>
    <col min="4610" max="4612" width="8" style="96" bestFit="1" customWidth="1"/>
    <col min="4613" max="4613" width="13.85546875" style="96" customWidth="1"/>
    <col min="4614" max="4614" width="17.28515625" style="96" bestFit="1" customWidth="1"/>
    <col min="4615" max="4626" width="10.7109375" style="96" bestFit="1" customWidth="1"/>
    <col min="4627" max="4862" width="9.140625" style="96"/>
    <col min="4863" max="4863" width="16.28515625" style="96" bestFit="1" customWidth="1"/>
    <col min="4864" max="4864" width="63.28515625" style="96" customWidth="1"/>
    <col min="4865" max="4865" width="22" style="96" customWidth="1"/>
    <col min="4866" max="4868" width="8" style="96" bestFit="1" customWidth="1"/>
    <col min="4869" max="4869" width="13.85546875" style="96" customWidth="1"/>
    <col min="4870" max="4870" width="17.28515625" style="96" bestFit="1" customWidth="1"/>
    <col min="4871" max="4882" width="10.7109375" style="96" bestFit="1" customWidth="1"/>
    <col min="4883" max="5118" width="9.140625" style="96"/>
    <col min="5119" max="5119" width="16.28515625" style="96" bestFit="1" customWidth="1"/>
    <col min="5120" max="5120" width="63.28515625" style="96" customWidth="1"/>
    <col min="5121" max="5121" width="22" style="96" customWidth="1"/>
    <col min="5122" max="5124" width="8" style="96" bestFit="1" customWidth="1"/>
    <col min="5125" max="5125" width="13.85546875" style="96" customWidth="1"/>
    <col min="5126" max="5126" width="17.28515625" style="96" bestFit="1" customWidth="1"/>
    <col min="5127" max="5138" width="10.7109375" style="96" bestFit="1" customWidth="1"/>
    <col min="5139" max="5374" width="9.140625" style="96"/>
    <col min="5375" max="5375" width="16.28515625" style="96" bestFit="1" customWidth="1"/>
    <col min="5376" max="5376" width="63.28515625" style="96" customWidth="1"/>
    <col min="5377" max="5377" width="22" style="96" customWidth="1"/>
    <col min="5378" max="5380" width="8" style="96" bestFit="1" customWidth="1"/>
    <col min="5381" max="5381" width="13.85546875" style="96" customWidth="1"/>
    <col min="5382" max="5382" width="17.28515625" style="96" bestFit="1" customWidth="1"/>
    <col min="5383" max="5394" width="10.7109375" style="96" bestFit="1" customWidth="1"/>
    <col min="5395" max="5630" width="9.140625" style="96"/>
    <col min="5631" max="5631" width="16.28515625" style="96" bestFit="1" customWidth="1"/>
    <col min="5632" max="5632" width="63.28515625" style="96" customWidth="1"/>
    <col min="5633" max="5633" width="22" style="96" customWidth="1"/>
    <col min="5634" max="5636" width="8" style="96" bestFit="1" customWidth="1"/>
    <col min="5637" max="5637" width="13.85546875" style="96" customWidth="1"/>
    <col min="5638" max="5638" width="17.28515625" style="96" bestFit="1" customWidth="1"/>
    <col min="5639" max="5650" width="10.7109375" style="96" bestFit="1" customWidth="1"/>
    <col min="5651" max="5886" width="9.140625" style="96"/>
    <col min="5887" max="5887" width="16.28515625" style="96" bestFit="1" customWidth="1"/>
    <col min="5888" max="5888" width="63.28515625" style="96" customWidth="1"/>
    <col min="5889" max="5889" width="22" style="96" customWidth="1"/>
    <col min="5890" max="5892" width="8" style="96" bestFit="1" customWidth="1"/>
    <col min="5893" max="5893" width="13.85546875" style="96" customWidth="1"/>
    <col min="5894" max="5894" width="17.28515625" style="96" bestFit="1" customWidth="1"/>
    <col min="5895" max="5906" width="10.7109375" style="96" bestFit="1" customWidth="1"/>
    <col min="5907" max="6142" width="9.140625" style="96"/>
    <col min="6143" max="6143" width="16.28515625" style="96" bestFit="1" customWidth="1"/>
    <col min="6144" max="6144" width="63.28515625" style="96" customWidth="1"/>
    <col min="6145" max="6145" width="22" style="96" customWidth="1"/>
    <col min="6146" max="6148" width="8" style="96" bestFit="1" customWidth="1"/>
    <col min="6149" max="6149" width="13.85546875" style="96" customWidth="1"/>
    <col min="6150" max="6150" width="17.28515625" style="96" bestFit="1" customWidth="1"/>
    <col min="6151" max="6162" width="10.7109375" style="96" bestFit="1" customWidth="1"/>
    <col min="6163" max="6398" width="9.140625" style="96"/>
    <col min="6399" max="6399" width="16.28515625" style="96" bestFit="1" customWidth="1"/>
    <col min="6400" max="6400" width="63.28515625" style="96" customWidth="1"/>
    <col min="6401" max="6401" width="22" style="96" customWidth="1"/>
    <col min="6402" max="6404" width="8" style="96" bestFit="1" customWidth="1"/>
    <col min="6405" max="6405" width="13.85546875" style="96" customWidth="1"/>
    <col min="6406" max="6406" width="17.28515625" style="96" bestFit="1" customWidth="1"/>
    <col min="6407" max="6418" width="10.7109375" style="96" bestFit="1" customWidth="1"/>
    <col min="6419" max="6654" width="9.140625" style="96"/>
    <col min="6655" max="6655" width="16.28515625" style="96" bestFit="1" customWidth="1"/>
    <col min="6656" max="6656" width="63.28515625" style="96" customWidth="1"/>
    <col min="6657" max="6657" width="22" style="96" customWidth="1"/>
    <col min="6658" max="6660" width="8" style="96" bestFit="1" customWidth="1"/>
    <col min="6661" max="6661" width="13.85546875" style="96" customWidth="1"/>
    <col min="6662" max="6662" width="17.28515625" style="96" bestFit="1" customWidth="1"/>
    <col min="6663" max="6674" width="10.7109375" style="96" bestFit="1" customWidth="1"/>
    <col min="6675" max="6910" width="9.140625" style="96"/>
    <col min="6911" max="6911" width="16.28515625" style="96" bestFit="1" customWidth="1"/>
    <col min="6912" max="6912" width="63.28515625" style="96" customWidth="1"/>
    <col min="6913" max="6913" width="22" style="96" customWidth="1"/>
    <col min="6914" max="6916" width="8" style="96" bestFit="1" customWidth="1"/>
    <col min="6917" max="6917" width="13.85546875" style="96" customWidth="1"/>
    <col min="6918" max="6918" width="17.28515625" style="96" bestFit="1" customWidth="1"/>
    <col min="6919" max="6930" width="10.7109375" style="96" bestFit="1" customWidth="1"/>
    <col min="6931" max="7166" width="9.140625" style="96"/>
    <col min="7167" max="7167" width="16.28515625" style="96" bestFit="1" customWidth="1"/>
    <col min="7168" max="7168" width="63.28515625" style="96" customWidth="1"/>
    <col min="7169" max="7169" width="22" style="96" customWidth="1"/>
    <col min="7170" max="7172" width="8" style="96" bestFit="1" customWidth="1"/>
    <col min="7173" max="7173" width="13.85546875" style="96" customWidth="1"/>
    <col min="7174" max="7174" width="17.28515625" style="96" bestFit="1" customWidth="1"/>
    <col min="7175" max="7186" width="10.7109375" style="96" bestFit="1" customWidth="1"/>
    <col min="7187" max="7422" width="9.140625" style="96"/>
    <col min="7423" max="7423" width="16.28515625" style="96" bestFit="1" customWidth="1"/>
    <col min="7424" max="7424" width="63.28515625" style="96" customWidth="1"/>
    <col min="7425" max="7425" width="22" style="96" customWidth="1"/>
    <col min="7426" max="7428" width="8" style="96" bestFit="1" customWidth="1"/>
    <col min="7429" max="7429" width="13.85546875" style="96" customWidth="1"/>
    <col min="7430" max="7430" width="17.28515625" style="96" bestFit="1" customWidth="1"/>
    <col min="7431" max="7442" width="10.7109375" style="96" bestFit="1" customWidth="1"/>
    <col min="7443" max="7678" width="9.140625" style="96"/>
    <col min="7679" max="7679" width="16.28515625" style="96" bestFit="1" customWidth="1"/>
    <col min="7680" max="7680" width="63.28515625" style="96" customWidth="1"/>
    <col min="7681" max="7681" width="22" style="96" customWidth="1"/>
    <col min="7682" max="7684" width="8" style="96" bestFit="1" customWidth="1"/>
    <col min="7685" max="7685" width="13.85546875" style="96" customWidth="1"/>
    <col min="7686" max="7686" width="17.28515625" style="96" bestFit="1" customWidth="1"/>
    <col min="7687" max="7698" width="10.7109375" style="96" bestFit="1" customWidth="1"/>
    <col min="7699" max="7934" width="9.140625" style="96"/>
    <col min="7935" max="7935" width="16.28515625" style="96" bestFit="1" customWidth="1"/>
    <col min="7936" max="7936" width="63.28515625" style="96" customWidth="1"/>
    <col min="7937" max="7937" width="22" style="96" customWidth="1"/>
    <col min="7938" max="7940" width="8" style="96" bestFit="1" customWidth="1"/>
    <col min="7941" max="7941" width="13.85546875" style="96" customWidth="1"/>
    <col min="7942" max="7942" width="17.28515625" style="96" bestFit="1" customWidth="1"/>
    <col min="7943" max="7954" width="10.7109375" style="96" bestFit="1" customWidth="1"/>
    <col min="7955" max="8190" width="9.140625" style="96"/>
    <col min="8191" max="8191" width="16.28515625" style="96" bestFit="1" customWidth="1"/>
    <col min="8192" max="8192" width="63.28515625" style="96" customWidth="1"/>
    <col min="8193" max="8193" width="22" style="96" customWidth="1"/>
    <col min="8194" max="8196" width="8" style="96" bestFit="1" customWidth="1"/>
    <col min="8197" max="8197" width="13.85546875" style="96" customWidth="1"/>
    <col min="8198" max="8198" width="17.28515625" style="96" bestFit="1" customWidth="1"/>
    <col min="8199" max="8210" width="10.7109375" style="96" bestFit="1" customWidth="1"/>
    <col min="8211" max="8446" width="9.140625" style="96"/>
    <col min="8447" max="8447" width="16.28515625" style="96" bestFit="1" customWidth="1"/>
    <col min="8448" max="8448" width="63.28515625" style="96" customWidth="1"/>
    <col min="8449" max="8449" width="22" style="96" customWidth="1"/>
    <col min="8450" max="8452" width="8" style="96" bestFit="1" customWidth="1"/>
    <col min="8453" max="8453" width="13.85546875" style="96" customWidth="1"/>
    <col min="8454" max="8454" width="17.28515625" style="96" bestFit="1" customWidth="1"/>
    <col min="8455" max="8466" width="10.7109375" style="96" bestFit="1" customWidth="1"/>
    <col min="8467" max="8702" width="9.140625" style="96"/>
    <col min="8703" max="8703" width="16.28515625" style="96" bestFit="1" customWidth="1"/>
    <col min="8704" max="8704" width="63.28515625" style="96" customWidth="1"/>
    <col min="8705" max="8705" width="22" style="96" customWidth="1"/>
    <col min="8706" max="8708" width="8" style="96" bestFit="1" customWidth="1"/>
    <col min="8709" max="8709" width="13.85546875" style="96" customWidth="1"/>
    <col min="8710" max="8710" width="17.28515625" style="96" bestFit="1" customWidth="1"/>
    <col min="8711" max="8722" width="10.7109375" style="96" bestFit="1" customWidth="1"/>
    <col min="8723" max="8958" width="9.140625" style="96"/>
    <col min="8959" max="8959" width="16.28515625" style="96" bestFit="1" customWidth="1"/>
    <col min="8960" max="8960" width="63.28515625" style="96" customWidth="1"/>
    <col min="8961" max="8961" width="22" style="96" customWidth="1"/>
    <col min="8962" max="8964" width="8" style="96" bestFit="1" customWidth="1"/>
    <col min="8965" max="8965" width="13.85546875" style="96" customWidth="1"/>
    <col min="8966" max="8966" width="17.28515625" style="96" bestFit="1" customWidth="1"/>
    <col min="8967" max="8978" width="10.7109375" style="96" bestFit="1" customWidth="1"/>
    <col min="8979" max="9214" width="9.140625" style="96"/>
    <col min="9215" max="9215" width="16.28515625" style="96" bestFit="1" customWidth="1"/>
    <col min="9216" max="9216" width="63.28515625" style="96" customWidth="1"/>
    <col min="9217" max="9217" width="22" style="96" customWidth="1"/>
    <col min="9218" max="9220" width="8" style="96" bestFit="1" customWidth="1"/>
    <col min="9221" max="9221" width="13.85546875" style="96" customWidth="1"/>
    <col min="9222" max="9222" width="17.28515625" style="96" bestFit="1" customWidth="1"/>
    <col min="9223" max="9234" width="10.7109375" style="96" bestFit="1" customWidth="1"/>
    <col min="9235" max="9470" width="9.140625" style="96"/>
    <col min="9471" max="9471" width="16.28515625" style="96" bestFit="1" customWidth="1"/>
    <col min="9472" max="9472" width="63.28515625" style="96" customWidth="1"/>
    <col min="9473" max="9473" width="22" style="96" customWidth="1"/>
    <col min="9474" max="9476" width="8" style="96" bestFit="1" customWidth="1"/>
    <col min="9477" max="9477" width="13.85546875" style="96" customWidth="1"/>
    <col min="9478" max="9478" width="17.28515625" style="96" bestFit="1" customWidth="1"/>
    <col min="9479" max="9490" width="10.7109375" style="96" bestFit="1" customWidth="1"/>
    <col min="9491" max="9726" width="9.140625" style="96"/>
    <col min="9727" max="9727" width="16.28515625" style="96" bestFit="1" customWidth="1"/>
    <col min="9728" max="9728" width="63.28515625" style="96" customWidth="1"/>
    <col min="9729" max="9729" width="22" style="96" customWidth="1"/>
    <col min="9730" max="9732" width="8" style="96" bestFit="1" customWidth="1"/>
    <col min="9733" max="9733" width="13.85546875" style="96" customWidth="1"/>
    <col min="9734" max="9734" width="17.28515625" style="96" bestFit="1" customWidth="1"/>
    <col min="9735" max="9746" width="10.7109375" style="96" bestFit="1" customWidth="1"/>
    <col min="9747" max="9982" width="9.140625" style="96"/>
    <col min="9983" max="9983" width="16.28515625" style="96" bestFit="1" customWidth="1"/>
    <col min="9984" max="9984" width="63.28515625" style="96" customWidth="1"/>
    <col min="9985" max="9985" width="22" style="96" customWidth="1"/>
    <col min="9986" max="9988" width="8" style="96" bestFit="1" customWidth="1"/>
    <col min="9989" max="9989" width="13.85546875" style="96" customWidth="1"/>
    <col min="9990" max="9990" width="17.28515625" style="96" bestFit="1" customWidth="1"/>
    <col min="9991" max="10002" width="10.7109375" style="96" bestFit="1" customWidth="1"/>
    <col min="10003" max="10238" width="9.140625" style="96"/>
    <col min="10239" max="10239" width="16.28515625" style="96" bestFit="1" customWidth="1"/>
    <col min="10240" max="10240" width="63.28515625" style="96" customWidth="1"/>
    <col min="10241" max="10241" width="22" style="96" customWidth="1"/>
    <col min="10242" max="10244" width="8" style="96" bestFit="1" customWidth="1"/>
    <col min="10245" max="10245" width="13.85546875" style="96" customWidth="1"/>
    <col min="10246" max="10246" width="17.28515625" style="96" bestFit="1" customWidth="1"/>
    <col min="10247" max="10258" width="10.7109375" style="96" bestFit="1" customWidth="1"/>
    <col min="10259" max="10494" width="9.140625" style="96"/>
    <col min="10495" max="10495" width="16.28515625" style="96" bestFit="1" customWidth="1"/>
    <col min="10496" max="10496" width="63.28515625" style="96" customWidth="1"/>
    <col min="10497" max="10497" width="22" style="96" customWidth="1"/>
    <col min="10498" max="10500" width="8" style="96" bestFit="1" customWidth="1"/>
    <col min="10501" max="10501" width="13.85546875" style="96" customWidth="1"/>
    <col min="10502" max="10502" width="17.28515625" style="96" bestFit="1" customWidth="1"/>
    <col min="10503" max="10514" width="10.7109375" style="96" bestFit="1" customWidth="1"/>
    <col min="10515" max="10750" width="9.140625" style="96"/>
    <col min="10751" max="10751" width="16.28515625" style="96" bestFit="1" customWidth="1"/>
    <col min="10752" max="10752" width="63.28515625" style="96" customWidth="1"/>
    <col min="10753" max="10753" width="22" style="96" customWidth="1"/>
    <col min="10754" max="10756" width="8" style="96" bestFit="1" customWidth="1"/>
    <col min="10757" max="10757" width="13.85546875" style="96" customWidth="1"/>
    <col min="10758" max="10758" width="17.28515625" style="96" bestFit="1" customWidth="1"/>
    <col min="10759" max="10770" width="10.7109375" style="96" bestFit="1" customWidth="1"/>
    <col min="10771" max="11006" width="9.140625" style="96"/>
    <col min="11007" max="11007" width="16.28515625" style="96" bestFit="1" customWidth="1"/>
    <col min="11008" max="11008" width="63.28515625" style="96" customWidth="1"/>
    <col min="11009" max="11009" width="22" style="96" customWidth="1"/>
    <col min="11010" max="11012" width="8" style="96" bestFit="1" customWidth="1"/>
    <col min="11013" max="11013" width="13.85546875" style="96" customWidth="1"/>
    <col min="11014" max="11014" width="17.28515625" style="96" bestFit="1" customWidth="1"/>
    <col min="11015" max="11026" width="10.7109375" style="96" bestFit="1" customWidth="1"/>
    <col min="11027" max="11262" width="9.140625" style="96"/>
    <col min="11263" max="11263" width="16.28515625" style="96" bestFit="1" customWidth="1"/>
    <col min="11264" max="11264" width="63.28515625" style="96" customWidth="1"/>
    <col min="11265" max="11265" width="22" style="96" customWidth="1"/>
    <col min="11266" max="11268" width="8" style="96" bestFit="1" customWidth="1"/>
    <col min="11269" max="11269" width="13.85546875" style="96" customWidth="1"/>
    <col min="11270" max="11270" width="17.28515625" style="96" bestFit="1" customWidth="1"/>
    <col min="11271" max="11282" width="10.7109375" style="96" bestFit="1" customWidth="1"/>
    <col min="11283" max="11518" width="9.140625" style="96"/>
    <col min="11519" max="11519" width="16.28515625" style="96" bestFit="1" customWidth="1"/>
    <col min="11520" max="11520" width="63.28515625" style="96" customWidth="1"/>
    <col min="11521" max="11521" width="22" style="96" customWidth="1"/>
    <col min="11522" max="11524" width="8" style="96" bestFit="1" customWidth="1"/>
    <col min="11525" max="11525" width="13.85546875" style="96" customWidth="1"/>
    <col min="11526" max="11526" width="17.28515625" style="96" bestFit="1" customWidth="1"/>
    <col min="11527" max="11538" width="10.7109375" style="96" bestFit="1" customWidth="1"/>
    <col min="11539" max="11774" width="9.140625" style="96"/>
    <col min="11775" max="11775" width="16.28515625" style="96" bestFit="1" customWidth="1"/>
    <col min="11776" max="11776" width="63.28515625" style="96" customWidth="1"/>
    <col min="11777" max="11777" width="22" style="96" customWidth="1"/>
    <col min="11778" max="11780" width="8" style="96" bestFit="1" customWidth="1"/>
    <col min="11781" max="11781" width="13.85546875" style="96" customWidth="1"/>
    <col min="11782" max="11782" width="17.28515625" style="96" bestFit="1" customWidth="1"/>
    <col min="11783" max="11794" width="10.7109375" style="96" bestFit="1" customWidth="1"/>
    <col min="11795" max="12030" width="9.140625" style="96"/>
    <col min="12031" max="12031" width="16.28515625" style="96" bestFit="1" customWidth="1"/>
    <col min="12032" max="12032" width="63.28515625" style="96" customWidth="1"/>
    <col min="12033" max="12033" width="22" style="96" customWidth="1"/>
    <col min="12034" max="12036" width="8" style="96" bestFit="1" customWidth="1"/>
    <col min="12037" max="12037" width="13.85546875" style="96" customWidth="1"/>
    <col min="12038" max="12038" width="17.28515625" style="96" bestFit="1" customWidth="1"/>
    <col min="12039" max="12050" width="10.7109375" style="96" bestFit="1" customWidth="1"/>
    <col min="12051" max="12286" width="9.140625" style="96"/>
    <col min="12287" max="12287" width="16.28515625" style="96" bestFit="1" customWidth="1"/>
    <col min="12288" max="12288" width="63.28515625" style="96" customWidth="1"/>
    <col min="12289" max="12289" width="22" style="96" customWidth="1"/>
    <col min="12290" max="12292" width="8" style="96" bestFit="1" customWidth="1"/>
    <col min="12293" max="12293" width="13.85546875" style="96" customWidth="1"/>
    <col min="12294" max="12294" width="17.28515625" style="96" bestFit="1" customWidth="1"/>
    <col min="12295" max="12306" width="10.7109375" style="96" bestFit="1" customWidth="1"/>
    <col min="12307" max="12542" width="9.140625" style="96"/>
    <col min="12543" max="12543" width="16.28515625" style="96" bestFit="1" customWidth="1"/>
    <col min="12544" max="12544" width="63.28515625" style="96" customWidth="1"/>
    <col min="12545" max="12545" width="22" style="96" customWidth="1"/>
    <col min="12546" max="12548" width="8" style="96" bestFit="1" customWidth="1"/>
    <col min="12549" max="12549" width="13.85546875" style="96" customWidth="1"/>
    <col min="12550" max="12550" width="17.28515625" style="96" bestFit="1" customWidth="1"/>
    <col min="12551" max="12562" width="10.7109375" style="96" bestFit="1" customWidth="1"/>
    <col min="12563" max="12798" width="9.140625" style="96"/>
    <col min="12799" max="12799" width="16.28515625" style="96" bestFit="1" customWidth="1"/>
    <col min="12800" max="12800" width="63.28515625" style="96" customWidth="1"/>
    <col min="12801" max="12801" width="22" style="96" customWidth="1"/>
    <col min="12802" max="12804" width="8" style="96" bestFit="1" customWidth="1"/>
    <col min="12805" max="12805" width="13.85546875" style="96" customWidth="1"/>
    <col min="12806" max="12806" width="17.28515625" style="96" bestFit="1" customWidth="1"/>
    <col min="12807" max="12818" width="10.7109375" style="96" bestFit="1" customWidth="1"/>
    <col min="12819" max="13054" width="9.140625" style="96"/>
    <col min="13055" max="13055" width="16.28515625" style="96" bestFit="1" customWidth="1"/>
    <col min="13056" max="13056" width="63.28515625" style="96" customWidth="1"/>
    <col min="13057" max="13057" width="22" style="96" customWidth="1"/>
    <col min="13058" max="13060" width="8" style="96" bestFit="1" customWidth="1"/>
    <col min="13061" max="13061" width="13.85546875" style="96" customWidth="1"/>
    <col min="13062" max="13062" width="17.28515625" style="96" bestFit="1" customWidth="1"/>
    <col min="13063" max="13074" width="10.7109375" style="96" bestFit="1" customWidth="1"/>
    <col min="13075" max="13310" width="9.140625" style="96"/>
    <col min="13311" max="13311" width="16.28515625" style="96" bestFit="1" customWidth="1"/>
    <col min="13312" max="13312" width="63.28515625" style="96" customWidth="1"/>
    <col min="13313" max="13313" width="22" style="96" customWidth="1"/>
    <col min="13314" max="13316" width="8" style="96" bestFit="1" customWidth="1"/>
    <col min="13317" max="13317" width="13.85546875" style="96" customWidth="1"/>
    <col min="13318" max="13318" width="17.28515625" style="96" bestFit="1" customWidth="1"/>
    <col min="13319" max="13330" width="10.7109375" style="96" bestFit="1" customWidth="1"/>
    <col min="13331" max="13566" width="9.140625" style="96"/>
    <col min="13567" max="13567" width="16.28515625" style="96" bestFit="1" customWidth="1"/>
    <col min="13568" max="13568" width="63.28515625" style="96" customWidth="1"/>
    <col min="13569" max="13569" width="22" style="96" customWidth="1"/>
    <col min="13570" max="13572" width="8" style="96" bestFit="1" customWidth="1"/>
    <col min="13573" max="13573" width="13.85546875" style="96" customWidth="1"/>
    <col min="13574" max="13574" width="17.28515625" style="96" bestFit="1" customWidth="1"/>
    <col min="13575" max="13586" width="10.7109375" style="96" bestFit="1" customWidth="1"/>
    <col min="13587" max="13822" width="9.140625" style="96"/>
    <col min="13823" max="13823" width="16.28515625" style="96" bestFit="1" customWidth="1"/>
    <col min="13824" max="13824" width="63.28515625" style="96" customWidth="1"/>
    <col min="13825" max="13825" width="22" style="96" customWidth="1"/>
    <col min="13826" max="13828" width="8" style="96" bestFit="1" customWidth="1"/>
    <col min="13829" max="13829" width="13.85546875" style="96" customWidth="1"/>
    <col min="13830" max="13830" width="17.28515625" style="96" bestFit="1" customWidth="1"/>
    <col min="13831" max="13842" width="10.7109375" style="96" bestFit="1" customWidth="1"/>
    <col min="13843" max="14078" width="9.140625" style="96"/>
    <col min="14079" max="14079" width="16.28515625" style="96" bestFit="1" customWidth="1"/>
    <col min="14080" max="14080" width="63.28515625" style="96" customWidth="1"/>
    <col min="14081" max="14081" width="22" style="96" customWidth="1"/>
    <col min="14082" max="14084" width="8" style="96" bestFit="1" customWidth="1"/>
    <col min="14085" max="14085" width="13.85546875" style="96" customWidth="1"/>
    <col min="14086" max="14086" width="17.28515625" style="96" bestFit="1" customWidth="1"/>
    <col min="14087" max="14098" width="10.7109375" style="96" bestFit="1" customWidth="1"/>
    <col min="14099" max="14334" width="9.140625" style="96"/>
    <col min="14335" max="14335" width="16.28515625" style="96" bestFit="1" customWidth="1"/>
    <col min="14336" max="14336" width="63.28515625" style="96" customWidth="1"/>
    <col min="14337" max="14337" width="22" style="96" customWidth="1"/>
    <col min="14338" max="14340" width="8" style="96" bestFit="1" customWidth="1"/>
    <col min="14341" max="14341" width="13.85546875" style="96" customWidth="1"/>
    <col min="14342" max="14342" width="17.28515625" style="96" bestFit="1" customWidth="1"/>
    <col min="14343" max="14354" width="10.7109375" style="96" bestFit="1" customWidth="1"/>
    <col min="14355" max="14590" width="9.140625" style="96"/>
    <col min="14591" max="14591" width="16.28515625" style="96" bestFit="1" customWidth="1"/>
    <col min="14592" max="14592" width="63.28515625" style="96" customWidth="1"/>
    <col min="14593" max="14593" width="22" style="96" customWidth="1"/>
    <col min="14594" max="14596" width="8" style="96" bestFit="1" customWidth="1"/>
    <col min="14597" max="14597" width="13.85546875" style="96" customWidth="1"/>
    <col min="14598" max="14598" width="17.28515625" style="96" bestFit="1" customWidth="1"/>
    <col min="14599" max="14610" width="10.7109375" style="96" bestFit="1" customWidth="1"/>
    <col min="14611" max="14846" width="9.140625" style="96"/>
    <col min="14847" max="14847" width="16.28515625" style="96" bestFit="1" customWidth="1"/>
    <col min="14848" max="14848" width="63.28515625" style="96" customWidth="1"/>
    <col min="14849" max="14849" width="22" style="96" customWidth="1"/>
    <col min="14850" max="14852" width="8" style="96" bestFit="1" customWidth="1"/>
    <col min="14853" max="14853" width="13.85546875" style="96" customWidth="1"/>
    <col min="14854" max="14854" width="17.28515625" style="96" bestFit="1" customWidth="1"/>
    <col min="14855" max="14866" width="10.7109375" style="96" bestFit="1" customWidth="1"/>
    <col min="14867" max="15102" width="9.140625" style="96"/>
    <col min="15103" max="15103" width="16.28515625" style="96" bestFit="1" customWidth="1"/>
    <col min="15104" max="15104" width="63.28515625" style="96" customWidth="1"/>
    <col min="15105" max="15105" width="22" style="96" customWidth="1"/>
    <col min="15106" max="15108" width="8" style="96" bestFit="1" customWidth="1"/>
    <col min="15109" max="15109" width="13.85546875" style="96" customWidth="1"/>
    <col min="15110" max="15110" width="17.28515625" style="96" bestFit="1" customWidth="1"/>
    <col min="15111" max="15122" width="10.7109375" style="96" bestFit="1" customWidth="1"/>
    <col min="15123" max="15358" width="9.140625" style="96"/>
    <col min="15359" max="15359" width="16.28515625" style="96" bestFit="1" customWidth="1"/>
    <col min="15360" max="15360" width="63.28515625" style="96" customWidth="1"/>
    <col min="15361" max="15361" width="22" style="96" customWidth="1"/>
    <col min="15362" max="15364" width="8" style="96" bestFit="1" customWidth="1"/>
    <col min="15365" max="15365" width="13.85546875" style="96" customWidth="1"/>
    <col min="15366" max="15366" width="17.28515625" style="96" bestFit="1" customWidth="1"/>
    <col min="15367" max="15378" width="10.7109375" style="96" bestFit="1" customWidth="1"/>
    <col min="15379" max="15614" width="9.140625" style="96"/>
    <col min="15615" max="15615" width="16.28515625" style="96" bestFit="1" customWidth="1"/>
    <col min="15616" max="15616" width="63.28515625" style="96" customWidth="1"/>
    <col min="15617" max="15617" width="22" style="96" customWidth="1"/>
    <col min="15618" max="15620" width="8" style="96" bestFit="1" customWidth="1"/>
    <col min="15621" max="15621" width="13.85546875" style="96" customWidth="1"/>
    <col min="15622" max="15622" width="17.28515625" style="96" bestFit="1" customWidth="1"/>
    <col min="15623" max="15634" width="10.7109375" style="96" bestFit="1" customWidth="1"/>
    <col min="15635" max="15870" width="9.140625" style="96"/>
    <col min="15871" max="15871" width="16.28515625" style="96" bestFit="1" customWidth="1"/>
    <col min="15872" max="15872" width="63.28515625" style="96" customWidth="1"/>
    <col min="15873" max="15873" width="22" style="96" customWidth="1"/>
    <col min="15874" max="15876" width="8" style="96" bestFit="1" customWidth="1"/>
    <col min="15877" max="15877" width="13.85546875" style="96" customWidth="1"/>
    <col min="15878" max="15878" width="17.28515625" style="96" bestFit="1" customWidth="1"/>
    <col min="15879" max="15890" width="10.7109375" style="96" bestFit="1" customWidth="1"/>
    <col min="15891" max="16126" width="9.140625" style="96"/>
    <col min="16127" max="16127" width="16.28515625" style="96" bestFit="1" customWidth="1"/>
    <col min="16128" max="16128" width="63.28515625" style="96" customWidth="1"/>
    <col min="16129" max="16129" width="22" style="96" customWidth="1"/>
    <col min="16130" max="16132" width="8" style="96" bestFit="1" customWidth="1"/>
    <col min="16133" max="16133" width="13.85546875" style="96" customWidth="1"/>
    <col min="16134" max="16134" width="17.28515625" style="96" bestFit="1" customWidth="1"/>
    <col min="16135" max="16146" width="10.7109375" style="96" bestFit="1" customWidth="1"/>
    <col min="16147" max="16384" width="9.140625" style="96"/>
  </cols>
  <sheetData>
    <row r="1" spans="1:32"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c r="AD1"/>
      <c r="AE1"/>
    </row>
    <row r="2" spans="1:32" s="223" customFormat="1" ht="24.95"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c r="AD2"/>
      <c r="AE2"/>
    </row>
    <row r="3" spans="1:32"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c r="AD3"/>
      <c r="AE3"/>
    </row>
    <row r="4" spans="1:32" s="165" customFormat="1" ht="24" customHeight="1">
      <c r="B4" s="10" t="s">
        <v>1504</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2">
      <c r="A5" s="409"/>
      <c r="B5" s="1076"/>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row>
    <row r="6" spans="1:32" customFormat="1">
      <c r="A6" s="288"/>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row>
    <row r="7" spans="1:32">
      <c r="A7" s="798"/>
      <c r="B7" s="4180" t="s">
        <v>59</v>
      </c>
      <c r="C7" s="4180"/>
      <c r="D7" s="4180"/>
      <c r="E7" s="4180"/>
      <c r="F7" s="4180"/>
      <c r="G7" s="4180"/>
      <c r="H7" s="4180"/>
      <c r="I7" s="798"/>
      <c r="J7" s="798"/>
      <c r="K7" s="798"/>
      <c r="L7" s="798"/>
      <c r="M7" s="798"/>
      <c r="N7" s="798"/>
      <c r="O7" s="798"/>
      <c r="P7" s="798"/>
      <c r="Q7" s="798"/>
      <c r="R7" s="798"/>
      <c r="S7" s="798"/>
      <c r="T7" s="798"/>
      <c r="U7" s="798"/>
      <c r="V7" s="798"/>
      <c r="W7" s="798"/>
      <c r="X7" s="798"/>
      <c r="Y7" s="798"/>
      <c r="Z7" s="798"/>
      <c r="AA7" s="798"/>
      <c r="AB7" s="798"/>
    </row>
    <row r="8" spans="1:32" ht="12.75" customHeight="1">
      <c r="A8" s="798"/>
      <c r="B8" s="4181" t="s">
        <v>244</v>
      </c>
      <c r="C8" s="4181"/>
      <c r="D8" s="4181"/>
      <c r="E8" s="4181"/>
      <c r="F8" s="4181"/>
      <c r="G8" s="4181"/>
      <c r="H8" s="4181"/>
      <c r="I8" s="798"/>
      <c r="J8" s="798"/>
      <c r="K8" s="798"/>
      <c r="L8" s="798"/>
      <c r="M8" s="798"/>
      <c r="N8" s="798"/>
      <c r="O8" s="798"/>
      <c r="P8" s="798"/>
      <c r="Q8" s="798"/>
      <c r="R8" s="798"/>
      <c r="S8" s="798"/>
      <c r="T8" s="798"/>
      <c r="U8" s="798"/>
      <c r="V8" s="798"/>
      <c r="W8" s="798"/>
      <c r="X8" s="798"/>
      <c r="Y8" s="798"/>
      <c r="Z8" s="798"/>
      <c r="AA8" s="798"/>
      <c r="AB8" s="798"/>
    </row>
    <row r="9" spans="1:32" s="70" customFormat="1" ht="12.75" customHeight="1">
      <c r="A9" s="410"/>
      <c r="B9" s="3616" t="s">
        <v>512</v>
      </c>
      <c r="C9" s="3616"/>
      <c r="D9" s="159"/>
      <c r="E9" s="159"/>
      <c r="F9" s="921"/>
      <c r="G9" s="159"/>
      <c r="H9" s="159"/>
      <c r="I9" s="308"/>
      <c r="J9" s="308"/>
      <c r="K9" s="308"/>
      <c r="L9" s="308"/>
      <c r="M9" s="308"/>
      <c r="N9" s="308"/>
      <c r="O9" s="308"/>
      <c r="P9" s="410"/>
      <c r="Q9" s="410"/>
      <c r="R9" s="410"/>
      <c r="S9" s="308"/>
      <c r="T9" s="308"/>
      <c r="U9" s="410"/>
      <c r="V9" s="410"/>
      <c r="W9" s="410"/>
      <c r="X9" s="308"/>
      <c r="Y9" s="308"/>
      <c r="Z9" s="410"/>
      <c r="AA9" s="410"/>
      <c r="AB9" s="410"/>
      <c r="AC9"/>
      <c r="AD9"/>
      <c r="AE9"/>
    </row>
    <row r="10" spans="1:32" ht="20.25" customHeight="1">
      <c r="A10" s="798"/>
      <c r="B10" s="4182" t="s">
        <v>420</v>
      </c>
      <c r="C10" s="4183"/>
      <c r="D10" s="4183"/>
      <c r="E10" s="4183"/>
      <c r="F10" s="4183"/>
      <c r="G10" s="4183"/>
      <c r="H10" s="4183"/>
      <c r="I10" s="798"/>
      <c r="J10" s="798"/>
      <c r="K10" s="798"/>
      <c r="L10" s="798"/>
      <c r="M10" s="798"/>
      <c r="N10" s="798"/>
      <c r="O10" s="798"/>
      <c r="P10" s="798"/>
      <c r="Q10" s="798"/>
      <c r="R10" s="798"/>
      <c r="S10" s="798"/>
      <c r="T10" s="798"/>
      <c r="U10" s="798"/>
      <c r="V10" s="798"/>
      <c r="W10" s="798"/>
      <c r="X10" s="798"/>
      <c r="Y10" s="798"/>
      <c r="Z10" s="798"/>
      <c r="AA10" s="798"/>
      <c r="AB10" s="798"/>
    </row>
    <row r="11" spans="1:32" ht="33.75" customHeight="1" thickBot="1">
      <c r="A11" s="798"/>
      <c r="B11" s="151"/>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row>
    <row r="12" spans="1:32">
      <c r="A12" s="798"/>
      <c r="B12" s="1073" t="s">
        <v>270</v>
      </c>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8"/>
      <c r="AA12" s="798"/>
      <c r="AB12" s="798"/>
    </row>
    <row r="13" spans="1:32" ht="27" customHeight="1" thickBot="1">
      <c r="A13" s="798"/>
      <c r="B13" s="1075" t="s">
        <v>1501</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row>
    <row r="14" spans="1:32">
      <c r="A14" s="798"/>
      <c r="B14" s="798"/>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row>
    <row r="15" spans="1:32" ht="13.5" thickBot="1">
      <c r="A15" s="798"/>
      <c r="B15" s="798"/>
      <c r="C15" s="798"/>
      <c r="D15" s="798"/>
      <c r="E15" s="798"/>
      <c r="F15" s="798"/>
      <c r="G15" s="798"/>
      <c r="H15" s="798"/>
      <c r="I15" s="798"/>
      <c r="J15" s="798"/>
      <c r="K15" s="798"/>
      <c r="L15" s="798"/>
      <c r="M15" s="798"/>
      <c r="N15" s="798"/>
      <c r="O15" s="798"/>
      <c r="P15" s="798"/>
      <c r="Q15" s="798"/>
      <c r="R15" s="798"/>
      <c r="S15" s="798"/>
      <c r="T15" s="798"/>
      <c r="U15" s="798"/>
      <c r="V15" s="798"/>
      <c r="W15" s="798"/>
      <c r="X15" s="798"/>
      <c r="Y15" s="798"/>
      <c r="Z15" s="798"/>
      <c r="AA15" s="798"/>
      <c r="AB15" s="798"/>
    </row>
    <row r="16" spans="1:32" s="70" customFormat="1" ht="34.5" customHeight="1" thickBot="1">
      <c r="A16" s="410"/>
      <c r="B16" s="972" t="s">
        <v>1516</v>
      </c>
      <c r="C16" s="989"/>
      <c r="D16" s="989"/>
      <c r="E16" s="989"/>
      <c r="F16" s="989"/>
      <c r="G16" s="989"/>
      <c r="H16" s="989"/>
      <c r="I16" s="989"/>
      <c r="J16" s="989"/>
      <c r="K16" s="990"/>
      <c r="L16" s="990"/>
      <c r="M16" s="990"/>
      <c r="N16" s="990"/>
      <c r="O16" s="990"/>
      <c r="P16" s="990"/>
      <c r="Q16" s="990"/>
      <c r="R16" s="990"/>
      <c r="S16" s="990"/>
      <c r="T16" s="990"/>
      <c r="U16" s="990"/>
      <c r="V16" s="990"/>
      <c r="W16" s="990"/>
      <c r="X16" s="990"/>
      <c r="Y16" s="990"/>
      <c r="Z16" s="990"/>
      <c r="AA16" s="990"/>
      <c r="AB16" s="990"/>
      <c r="AC16" s="990"/>
      <c r="AD16"/>
      <c r="AE16"/>
      <c r="AF16"/>
    </row>
    <row r="17" spans="1:135" ht="20.25" customHeight="1">
      <c r="A17" s="798"/>
      <c r="B17" s="4184"/>
      <c r="C17" s="4120" t="s">
        <v>673</v>
      </c>
      <c r="D17" s="4111" t="s">
        <v>70</v>
      </c>
      <c r="E17" s="4189" t="s">
        <v>37</v>
      </c>
      <c r="F17" s="4079"/>
      <c r="G17" s="4079"/>
      <c r="H17" s="4079"/>
      <c r="I17" s="4079"/>
      <c r="J17" s="4080" t="s">
        <v>73</v>
      </c>
      <c r="K17" s="4080"/>
      <c r="L17" s="4080"/>
      <c r="M17" s="4080"/>
      <c r="N17" s="4080"/>
      <c r="O17" s="4154" t="s">
        <v>272</v>
      </c>
      <c r="P17" s="4154"/>
      <c r="Q17" s="4154"/>
      <c r="R17" s="4154"/>
      <c r="S17" s="4154"/>
      <c r="T17" s="4154"/>
      <c r="U17" s="4154"/>
      <c r="V17" s="4154"/>
      <c r="W17" s="4154"/>
      <c r="X17" s="4154"/>
      <c r="Y17" s="4154"/>
      <c r="Z17" s="4154"/>
      <c r="AA17" s="4154"/>
      <c r="AB17" s="4154"/>
      <c r="AC17" s="4155"/>
      <c r="AF17"/>
    </row>
    <row r="18" spans="1:135" s="66" customFormat="1" ht="20.25" customHeight="1">
      <c r="A18" s="288"/>
      <c r="B18" s="4185"/>
      <c r="C18" s="4121"/>
      <c r="D18" s="4112"/>
      <c r="E18" s="4156" t="s">
        <v>366</v>
      </c>
      <c r="F18" s="4157"/>
      <c r="G18" s="4157"/>
      <c r="H18" s="4157"/>
      <c r="I18" s="4157"/>
      <c r="J18" s="4157"/>
      <c r="K18" s="4157"/>
      <c r="L18" s="4157"/>
      <c r="M18" s="4157"/>
      <c r="N18" s="4157"/>
      <c r="O18" s="4157"/>
      <c r="P18" s="4157"/>
      <c r="Q18" s="4157"/>
      <c r="R18" s="4157"/>
      <c r="S18" s="4157"/>
      <c r="T18" s="4157"/>
      <c r="U18" s="4157"/>
      <c r="V18" s="4157"/>
      <c r="W18" s="4157"/>
      <c r="X18" s="4157"/>
      <c r="Y18" s="4157"/>
      <c r="Z18" s="4157"/>
      <c r="AA18" s="4157"/>
      <c r="AB18" s="4157"/>
      <c r="AC18" s="4158"/>
      <c r="AD18"/>
      <c r="AE18"/>
      <c r="AF18"/>
    </row>
    <row r="19" spans="1:135" s="66" customFormat="1" ht="20.25" customHeight="1">
      <c r="A19" s="288"/>
      <c r="B19" s="4185"/>
      <c r="C19" s="4121"/>
      <c r="D19" s="4112"/>
      <c r="E19" s="4156" t="s">
        <v>54</v>
      </c>
      <c r="F19" s="4157"/>
      <c r="G19" s="4162"/>
      <c r="H19" s="4159" t="s">
        <v>411</v>
      </c>
      <c r="I19" s="4160"/>
      <c r="J19" s="4160"/>
      <c r="K19" s="4160"/>
      <c r="L19" s="4160"/>
      <c r="M19" s="4160"/>
      <c r="N19" s="4160"/>
      <c r="O19" s="4160"/>
      <c r="P19" s="4160"/>
      <c r="Q19" s="4160"/>
      <c r="R19" s="4160"/>
      <c r="S19" s="4160"/>
      <c r="T19" s="4160"/>
      <c r="U19" s="4160"/>
      <c r="V19" s="4160"/>
      <c r="W19" s="4160"/>
      <c r="X19" s="4160"/>
      <c r="Y19" s="4160"/>
      <c r="Z19" s="4160"/>
      <c r="AA19" s="4160"/>
      <c r="AB19" s="4160"/>
      <c r="AC19" s="4161"/>
      <c r="AD19"/>
      <c r="AE19"/>
      <c r="AF19"/>
    </row>
    <row r="20" spans="1:135" s="66" customFormat="1" ht="20.25" customHeight="1" thickBot="1">
      <c r="A20" s="288"/>
      <c r="B20" s="4186"/>
      <c r="C20" s="4122"/>
      <c r="D20" s="4113"/>
      <c r="E20" s="1028">
        <f>CRCP_y1</f>
        <v>2013</v>
      </c>
      <c r="F20" s="1028">
        <f>CRCP_y2</f>
        <v>2014</v>
      </c>
      <c r="G20" s="1028">
        <f>CRCP_y3</f>
        <v>2015</v>
      </c>
      <c r="H20" s="1028">
        <f>CRCP_y4</f>
        <v>2016</v>
      </c>
      <c r="I20" s="1028">
        <f>CRCP_y5</f>
        <v>2017</v>
      </c>
      <c r="J20" s="1028" t="str">
        <f>CONCATENATE(IF(dms_RPT="Calendar",I20+1,(LEFT(I20,4)+1&amp;"-"&amp;IF(MID(I20,6,2)&lt;"09","0"&amp;RIGHT(I20,1)+1,RIGHT(I20,2)+1))))</f>
        <v>2018</v>
      </c>
      <c r="K20" s="1028" t="str">
        <f t="shared" ref="K20:AC20" si="0">CONCATENATE(IF(dms_RPT="Calendar",J20+1,(LEFT(J20,4)+1&amp;"-"&amp;IF(MID(J20,6,2)&lt;"09","0"&amp;RIGHT(J20,1)+1,RIGHT(J20,2)+1))))</f>
        <v>2019</v>
      </c>
      <c r="L20" s="1028" t="str">
        <f t="shared" si="0"/>
        <v>2020</v>
      </c>
      <c r="M20" s="1028" t="str">
        <f t="shared" si="0"/>
        <v>2021</v>
      </c>
      <c r="N20" s="1028" t="str">
        <f t="shared" si="0"/>
        <v>2022</v>
      </c>
      <c r="O20" s="1028" t="str">
        <f t="shared" si="0"/>
        <v>2023</v>
      </c>
      <c r="P20" s="1028" t="str">
        <f t="shared" si="0"/>
        <v>2024</v>
      </c>
      <c r="Q20" s="1028" t="str">
        <f t="shared" si="0"/>
        <v>2025</v>
      </c>
      <c r="R20" s="1028" t="str">
        <f t="shared" si="0"/>
        <v>2026</v>
      </c>
      <c r="S20" s="1028" t="str">
        <f t="shared" si="0"/>
        <v>2027</v>
      </c>
      <c r="T20" s="1028" t="str">
        <f t="shared" si="0"/>
        <v>2028</v>
      </c>
      <c r="U20" s="1028" t="str">
        <f t="shared" si="0"/>
        <v>2029</v>
      </c>
      <c r="V20" s="1028" t="str">
        <f t="shared" si="0"/>
        <v>2030</v>
      </c>
      <c r="W20" s="1028" t="str">
        <f t="shared" si="0"/>
        <v>2031</v>
      </c>
      <c r="X20" s="1028" t="str">
        <f t="shared" si="0"/>
        <v>2032</v>
      </c>
      <c r="Y20" s="1028" t="str">
        <f t="shared" si="0"/>
        <v>2033</v>
      </c>
      <c r="Z20" s="1028" t="str">
        <f t="shared" si="0"/>
        <v>2034</v>
      </c>
      <c r="AA20" s="1028" t="str">
        <f t="shared" si="0"/>
        <v>2035</v>
      </c>
      <c r="AB20" s="1028" t="str">
        <f t="shared" si="0"/>
        <v>2036</v>
      </c>
      <c r="AC20" s="1028" t="str">
        <f t="shared" si="0"/>
        <v>2037</v>
      </c>
      <c r="AD20"/>
      <c r="AE20"/>
      <c r="AF20"/>
    </row>
    <row r="21" spans="1:135" s="94" customFormat="1" ht="18.75" customHeight="1" thickBot="1">
      <c r="A21" s="308"/>
      <c r="B21" s="858" t="s">
        <v>1517</v>
      </c>
      <c r="C21" s="859"/>
      <c r="D21" s="859"/>
      <c r="E21" s="859"/>
      <c r="F21" s="859"/>
      <c r="G21" s="859"/>
      <c r="H21" s="859"/>
      <c r="I21" s="859"/>
      <c r="J21" s="859"/>
      <c r="K21" s="924"/>
      <c r="L21" s="924"/>
      <c r="M21" s="924"/>
      <c r="N21" s="924"/>
      <c r="O21" s="924"/>
      <c r="P21" s="924"/>
      <c r="Q21" s="924"/>
      <c r="R21" s="924"/>
      <c r="S21" s="924"/>
      <c r="T21" s="924"/>
      <c r="U21" s="924"/>
      <c r="V21" s="924"/>
      <c r="W21" s="924"/>
      <c r="X21" s="924"/>
      <c r="Y21" s="924"/>
      <c r="Z21" s="924"/>
      <c r="AA21" s="924"/>
      <c r="AB21" s="924"/>
      <c r="AC21" s="860"/>
      <c r="AD21" s="1427"/>
      <c r="AE21" s="1427"/>
      <c r="AF21" s="1427"/>
      <c r="DF21" s="1427"/>
      <c r="DG21" s="1427"/>
      <c r="DH21" s="1427"/>
      <c r="DI21" s="1427"/>
      <c r="DJ21" s="1427"/>
      <c r="DK21" s="1427"/>
      <c r="DL21" s="1427"/>
      <c r="DM21" s="1427"/>
      <c r="DN21" s="1427"/>
      <c r="DO21" s="1427"/>
      <c r="DP21" s="1427"/>
      <c r="DQ21" s="1427"/>
      <c r="DR21" s="1427"/>
      <c r="DS21" s="1427"/>
      <c r="DT21" s="1427"/>
      <c r="DU21" s="1427"/>
      <c r="DV21" s="1427"/>
      <c r="DW21" s="1427"/>
      <c r="DX21" s="1427"/>
      <c r="DY21" s="1427"/>
      <c r="DZ21" s="1427"/>
      <c r="EA21" s="1427"/>
      <c r="EB21" s="1427"/>
      <c r="EC21" s="1427"/>
      <c r="ED21" s="1427"/>
      <c r="EE21" s="1427"/>
    </row>
    <row r="22" spans="1:135" s="529" customFormat="1">
      <c r="B22" s="4176" t="str">
        <f>+'29.2.1 Gas extenstions cust no'!B23</f>
        <v>Declining block tariff</v>
      </c>
      <c r="C22" s="4178" t="s">
        <v>47</v>
      </c>
      <c r="D22" s="4179"/>
      <c r="E22" s="2023">
        <f>+'29.2.1 Gas extenstions cust no'!D25</f>
        <v>0</v>
      </c>
      <c r="F22" s="2011">
        <f>+'29.2.1 Gas extenstions cust no'!E25</f>
        <v>0</v>
      </c>
      <c r="G22" s="2011">
        <f>+'29.2.1 Gas extenstions cust no'!F25</f>
        <v>0</v>
      </c>
      <c r="H22" s="2011">
        <f>+'29.2.1 Gas extenstions cust no'!G25</f>
        <v>0</v>
      </c>
      <c r="I22" s="2024">
        <f>+'29.2.1 Gas extenstions cust no'!H25</f>
        <v>4</v>
      </c>
      <c r="J22" s="2010">
        <f>+'29.2.1 Gas extenstions cust no'!I25</f>
        <v>81.147111353277921</v>
      </c>
      <c r="K22" s="1978">
        <f>+'29.2.1 Gas extenstions cust no'!J25</f>
        <v>209.15455622151427</v>
      </c>
      <c r="L22" s="1978">
        <f>+'29.2.1 Gas extenstions cust no'!K25</f>
        <v>305.1601398726915</v>
      </c>
      <c r="M22" s="1978">
        <f>+'29.2.1 Gas extenstions cust no'!L25</f>
        <v>377.1643276110745</v>
      </c>
      <c r="N22" s="1979">
        <f>+'29.2.1 Gas extenstions cust no'!M25</f>
        <v>431.16746841486173</v>
      </c>
      <c r="O22" s="1977">
        <f>+'29.2.1 Gas extenstions cust no'!N25</f>
        <v>471.87221849148483</v>
      </c>
      <c r="P22" s="1978">
        <f>+'29.2.1 Gas extenstions cust no'!O25</f>
        <v>502.60317552273477</v>
      </c>
      <c r="Q22" s="1978">
        <f>+'29.2.1 Gas extenstions cust no'!P25</f>
        <v>525.65139329617227</v>
      </c>
      <c r="R22" s="1978">
        <f>+'29.2.1 Gas extenstions cust no'!Q25</f>
        <v>542.9375566262504</v>
      </c>
      <c r="S22" s="1978">
        <f>+'29.2.1 Gas extenstions cust no'!R25</f>
        <v>555.90217912380899</v>
      </c>
      <c r="T22" s="1978">
        <f>+'29.2.1 Gas extenstions cust no'!S25</f>
        <v>565.62564599697794</v>
      </c>
      <c r="U22" s="1978">
        <f>+'29.2.1 Gas extenstions cust no'!T25</f>
        <v>572.91824615185465</v>
      </c>
      <c r="V22" s="1978">
        <f>+'29.2.1 Gas extenstions cust no'!U25</f>
        <v>578.38769626801218</v>
      </c>
      <c r="W22" s="1978">
        <f>+'29.2.1 Gas extenstions cust no'!V25</f>
        <v>582.48978385513033</v>
      </c>
      <c r="X22" s="1978">
        <f>+'29.2.1 Gas extenstions cust no'!W25</f>
        <v>585.56634954546894</v>
      </c>
      <c r="Y22" s="1978">
        <f>+'29.2.1 Gas extenstions cust no'!X25</f>
        <v>587.8737738132229</v>
      </c>
      <c r="Z22" s="1978">
        <f>+'29.2.1 Gas extenstions cust no'!Y25</f>
        <v>589.60434201403837</v>
      </c>
      <c r="AA22" s="1978">
        <f>+'29.2.1 Gas extenstions cust no'!Z25</f>
        <v>590.90226816464997</v>
      </c>
      <c r="AB22" s="1978">
        <f>+'29.2.1 Gas extenstions cust no'!AA25</f>
        <v>591.87571277760867</v>
      </c>
      <c r="AC22" s="1979">
        <f>+'29.2.1 Gas extenstions cust no'!AB25</f>
        <v>592.6057962373277</v>
      </c>
      <c r="AD22" s="1427"/>
      <c r="AE22" s="1427"/>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row>
    <row r="23" spans="1:135" s="529" customFormat="1">
      <c r="B23" s="4176"/>
      <c r="C23" s="1026" t="s">
        <v>1483</v>
      </c>
      <c r="D23" s="884" t="s">
        <v>1479</v>
      </c>
      <c r="E23" s="1980"/>
      <c r="F23" s="1025"/>
      <c r="G23" s="1025"/>
      <c r="H23" s="1025"/>
      <c r="I23" s="702">
        <f>I$22*('28. Consumption and demand'!N92/'28. Consumption and demand'!N$91)</f>
        <v>41.839965038846081</v>
      </c>
      <c r="J23" s="514">
        <f>J$22*('28. Consumption and demand'!O92/'28. Consumption and demand'!O$91)</f>
        <v>832.08753982741439</v>
      </c>
      <c r="K23" s="513">
        <f>K$22*('28. Consumption and demand'!P92/'28. Consumption and demand'!P$91)</f>
        <v>2108.9911075051391</v>
      </c>
      <c r="L23" s="513">
        <f>L$22*('28. Consumption and demand'!Q92/'28. Consumption and demand'!Q$91)</f>
        <v>3013.8301192272993</v>
      </c>
      <c r="M23" s="513">
        <f>M$22*('28. Consumption and demand'!R92/'28. Consumption and demand'!R$91)</f>
        <v>3634.9339925239537</v>
      </c>
      <c r="N23" s="515">
        <f>N$22*('28. Consumption and demand'!S92/'28. Consumption and demand'!S$91)</f>
        <v>4051.8302694226677</v>
      </c>
      <c r="O23" s="514">
        <f>+O$22*(N23/N$22)</f>
        <v>4434.3469260621114</v>
      </c>
      <c r="P23" s="513">
        <f>+P$22*(O23/O$22)</f>
        <v>4723.1363896209396</v>
      </c>
      <c r="Q23" s="513">
        <f t="shared" ref="Q23:AC23" si="1">+Q$22*(P23/P$22)</f>
        <v>4939.7284872900609</v>
      </c>
      <c r="R23" s="513">
        <f t="shared" si="1"/>
        <v>5102.1725605419024</v>
      </c>
      <c r="S23" s="513">
        <f t="shared" si="1"/>
        <v>5224.0056154807835</v>
      </c>
      <c r="T23" s="513">
        <f t="shared" si="1"/>
        <v>5315.3804066849443</v>
      </c>
      <c r="U23" s="513">
        <f t="shared" si="1"/>
        <v>5383.9115000880647</v>
      </c>
      <c r="V23" s="513">
        <f t="shared" si="1"/>
        <v>5435.3098201404046</v>
      </c>
      <c r="W23" s="513">
        <f t="shared" si="1"/>
        <v>5473.8585601796603</v>
      </c>
      <c r="X23" s="513">
        <f t="shared" si="1"/>
        <v>5502.7701152091013</v>
      </c>
      <c r="Y23" s="513">
        <f t="shared" si="1"/>
        <v>5524.4537814811829</v>
      </c>
      <c r="Z23" s="513">
        <f t="shared" si="1"/>
        <v>5540.7165311852432</v>
      </c>
      <c r="AA23" s="513">
        <f t="shared" si="1"/>
        <v>5552.9135934632886</v>
      </c>
      <c r="AB23" s="513">
        <f t="shared" si="1"/>
        <v>5562.0613901718234</v>
      </c>
      <c r="AC23" s="515">
        <f t="shared" si="1"/>
        <v>5568.9222377032238</v>
      </c>
      <c r="AD23" s="1427"/>
      <c r="AE23" s="1427"/>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row>
    <row r="24" spans="1:135" s="529" customFormat="1">
      <c r="B24" s="4176"/>
      <c r="C24" s="1026" t="s">
        <v>1484</v>
      </c>
      <c r="D24" s="884" t="s">
        <v>1480</v>
      </c>
      <c r="E24" s="1980"/>
      <c r="F24" s="1025"/>
      <c r="G24" s="1025"/>
      <c r="H24" s="1025"/>
      <c r="I24" s="702">
        <f>I$22*('28. Consumption and demand'!N93/'28. Consumption and demand'!N$91)</f>
        <v>33.027138936906454</v>
      </c>
      <c r="J24" s="514">
        <f>J$22*('28. Consumption and demand'!O93/'28. Consumption and demand'!O$91)</f>
        <v>655.81240248309655</v>
      </c>
      <c r="K24" s="513">
        <f>K$22*('28. Consumption and demand'!P93/'28. Consumption and demand'!P$91)</f>
        <v>1659.4749254045216</v>
      </c>
      <c r="L24" s="513">
        <f>L$22*('28. Consumption and demand'!Q93/'28. Consumption and demand'!Q$91)</f>
        <v>2367.1438605246194</v>
      </c>
      <c r="M24" s="513">
        <f>M$22*('28. Consumption and demand'!R93/'28. Consumption and demand'!R$91)</f>
        <v>2849.510230681879</v>
      </c>
      <c r="N24" s="515">
        <f>N$22*('28. Consumption and demand'!S93/'28. Consumption and demand'!S$91)</f>
        <v>3169.6064677451709</v>
      </c>
      <c r="O24" s="514">
        <f t="shared" ref="O24:P30" si="2">+O$22*(N24/N$22)</f>
        <v>3468.8359981759695</v>
      </c>
      <c r="P24" s="513">
        <f t="shared" si="2"/>
        <v>3694.7459920916685</v>
      </c>
      <c r="Q24" s="513">
        <f t="shared" ref="Q24:AC24" si="3">+Q$22*(P24/P$22)</f>
        <v>3864.1784875284429</v>
      </c>
      <c r="R24" s="513">
        <f t="shared" si="3"/>
        <v>3991.2528591060241</v>
      </c>
      <c r="S24" s="513">
        <f t="shared" si="3"/>
        <v>4086.5586377892096</v>
      </c>
      <c r="T24" s="513">
        <f t="shared" si="3"/>
        <v>4158.0379718015993</v>
      </c>
      <c r="U24" s="513">
        <f t="shared" si="3"/>
        <v>4211.6474723108913</v>
      </c>
      <c r="V24" s="513">
        <f t="shared" si="3"/>
        <v>4251.8545976928608</v>
      </c>
      <c r="W24" s="513">
        <f t="shared" si="3"/>
        <v>4282.0099417293377</v>
      </c>
      <c r="X24" s="513">
        <f t="shared" si="3"/>
        <v>4304.6264497566954</v>
      </c>
      <c r="Y24" s="513">
        <f t="shared" si="3"/>
        <v>4321.5888307772138</v>
      </c>
      <c r="Z24" s="513">
        <f t="shared" si="3"/>
        <v>4334.3106165426025</v>
      </c>
      <c r="AA24" s="513">
        <f t="shared" si="3"/>
        <v>4343.8519558666439</v>
      </c>
      <c r="AB24" s="513">
        <f t="shared" si="3"/>
        <v>4351.0079603596751</v>
      </c>
      <c r="AC24" s="515">
        <f t="shared" si="3"/>
        <v>4356.3749637294486</v>
      </c>
      <c r="AD24" s="1427"/>
      <c r="AE24" s="1427"/>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row>
    <row r="25" spans="1:135" s="529" customFormat="1">
      <c r="B25" s="4176"/>
      <c r="C25" s="1026" t="s">
        <v>1485</v>
      </c>
      <c r="D25" s="884" t="s">
        <v>1481</v>
      </c>
      <c r="E25" s="1980"/>
      <c r="F25" s="1025"/>
      <c r="G25" s="1025"/>
      <c r="H25" s="1025"/>
      <c r="I25" s="702">
        <f>I$22*('28. Consumption and demand'!N94/'28. Consumption and demand'!N$91)</f>
        <v>61.316825498108777</v>
      </c>
      <c r="J25" s="514">
        <f>J$22*('28. Consumption and demand'!O94/'28. Consumption and demand'!O$91)</f>
        <v>1216.0723747422717</v>
      </c>
      <c r="K25" s="513">
        <f>K$22*('28. Consumption and demand'!P94/'28. Consumption and demand'!P$91)</f>
        <v>3076.6358168311335</v>
      </c>
      <c r="L25" s="513">
        <f>L$22*('28. Consumption and demand'!Q94/'28. Consumption and demand'!Q$91)</f>
        <v>4390.9074085981892</v>
      </c>
      <c r="M25" s="513">
        <f>M$22*('28. Consumption and demand'!R94/'28. Consumption and demand'!R$91)</f>
        <v>5294.6354014748185</v>
      </c>
      <c r="N25" s="515">
        <f>N$22*('28. Consumption and demand'!S94/'28. Consumption and demand'!S$91)</f>
        <v>5908.8832833677252</v>
      </c>
      <c r="O25" s="514">
        <f t="shared" si="2"/>
        <v>6466.7166889483051</v>
      </c>
      <c r="P25" s="513">
        <f t="shared" si="2"/>
        <v>6887.8654341247993</v>
      </c>
      <c r="Q25" s="513">
        <f t="shared" ref="Q25:AC25" si="4">+Q$22*(P25/P$22)</f>
        <v>7203.7269930071707</v>
      </c>
      <c r="R25" s="513">
        <f t="shared" si="4"/>
        <v>7440.6231621689494</v>
      </c>
      <c r="S25" s="513">
        <f t="shared" si="4"/>
        <v>7618.295289040283</v>
      </c>
      <c r="T25" s="513">
        <f t="shared" si="4"/>
        <v>7751.5493841937832</v>
      </c>
      <c r="U25" s="513">
        <f t="shared" si="4"/>
        <v>7851.4899555589082</v>
      </c>
      <c r="V25" s="513">
        <f t="shared" si="4"/>
        <v>7926.4453840827528</v>
      </c>
      <c r="W25" s="513">
        <f t="shared" si="4"/>
        <v>7982.6619554756353</v>
      </c>
      <c r="X25" s="513">
        <f t="shared" si="4"/>
        <v>8024.8243840202977</v>
      </c>
      <c r="Y25" s="513">
        <f t="shared" si="4"/>
        <v>8056.4462054287942</v>
      </c>
      <c r="Z25" s="513">
        <f t="shared" si="4"/>
        <v>8080.1625714851671</v>
      </c>
      <c r="AA25" s="513">
        <f t="shared" si="4"/>
        <v>8097.9498460274463</v>
      </c>
      <c r="AB25" s="513">
        <f t="shared" si="4"/>
        <v>8111.2903019341557</v>
      </c>
      <c r="AC25" s="515">
        <f t="shared" si="4"/>
        <v>8121.2956438641877</v>
      </c>
      <c r="AD25" s="1427"/>
      <c r="AE25" s="1427"/>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row>
    <row r="26" spans="1:135" s="529" customFormat="1">
      <c r="B26" s="4176"/>
      <c r="C26" s="1026" t="s">
        <v>1486</v>
      </c>
      <c r="D26" s="884" t="s">
        <v>1482</v>
      </c>
      <c r="E26" s="1980"/>
      <c r="F26" s="1025"/>
      <c r="G26" s="1025"/>
      <c r="H26" s="1025"/>
      <c r="I26" s="702">
        <f>I$22*('28. Consumption and demand'!N95/'28. Consumption and demand'!N$91)</f>
        <v>0.56913157513892976</v>
      </c>
      <c r="J26" s="514">
        <f>J$22*('28. Consumption and demand'!O95/'28. Consumption and demand'!O$91)</f>
        <v>11.594373230957812</v>
      </c>
      <c r="K26" s="513">
        <f>K$22*('28. Consumption and demand'!P95/'28. Consumption and demand'!P$91)</f>
        <v>30.038699030629449</v>
      </c>
      <c r="L26" s="513">
        <f>L$22*('28. Consumption and demand'!Q95/'28. Consumption and demand'!Q$91)</f>
        <v>43.820462024070643</v>
      </c>
      <c r="M26" s="513">
        <f>M$22*('28. Consumption and demand'!R95/'28. Consumption and demand'!R$91)</f>
        <v>53.823560203421408</v>
      </c>
      <c r="N26" s="515">
        <f>N$22*('28. Consumption and demand'!S95/'28. Consumption and demand'!S$91)</f>
        <v>60.904600121266164</v>
      </c>
      <c r="O26" s="514">
        <f t="shared" si="2"/>
        <v>66.654353310130261</v>
      </c>
      <c r="P26" s="513">
        <f t="shared" si="2"/>
        <v>70.99525745165333</v>
      </c>
      <c r="Q26" s="513">
        <f t="shared" ref="Q26:AC26" si="5">+Q$22*(P26/P$22)</f>
        <v>74.250935557795628</v>
      </c>
      <c r="R26" s="513">
        <f t="shared" si="5"/>
        <v>76.69269413740237</v>
      </c>
      <c r="S26" s="513">
        <f t="shared" si="5"/>
        <v>78.524013072107408</v>
      </c>
      <c r="T26" s="513">
        <f t="shared" si="5"/>
        <v>79.897502273136197</v>
      </c>
      <c r="U26" s="513">
        <f t="shared" si="5"/>
        <v>80.927619173907786</v>
      </c>
      <c r="V26" s="513">
        <f t="shared" si="5"/>
        <v>81.700206849486477</v>
      </c>
      <c r="W26" s="513">
        <f t="shared" si="5"/>
        <v>82.279647606170499</v>
      </c>
      <c r="X26" s="513">
        <f t="shared" si="5"/>
        <v>82.714228173683509</v>
      </c>
      <c r="Y26" s="513">
        <f t="shared" si="5"/>
        <v>83.040163599318277</v>
      </c>
      <c r="Z26" s="513">
        <f t="shared" si="5"/>
        <v>83.284615168544349</v>
      </c>
      <c r="AA26" s="513">
        <f t="shared" si="5"/>
        <v>83.467953845463896</v>
      </c>
      <c r="AB26" s="513">
        <f t="shared" si="5"/>
        <v>83.605457853153567</v>
      </c>
      <c r="AC26" s="515">
        <f t="shared" si="5"/>
        <v>83.708585858920813</v>
      </c>
      <c r="AD26" s="1427"/>
      <c r="AE26" s="1427"/>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row>
    <row r="27" spans="1:135" s="529" customFormat="1">
      <c r="B27" s="4176"/>
      <c r="C27" s="3417" t="s">
        <v>1491</v>
      </c>
      <c r="D27" s="884" t="s">
        <v>1487</v>
      </c>
      <c r="E27" s="1980"/>
      <c r="F27" s="1025"/>
      <c r="G27" s="1025"/>
      <c r="H27" s="1025"/>
      <c r="I27" s="702">
        <f>I$22*('28. Consumption and demand'!N96/'28. Consumption and demand'!N$91)</f>
        <v>50.341678918326487</v>
      </c>
      <c r="J27" s="514">
        <f>J$22*('28. Consumption and demand'!O96/'28. Consumption and demand'!O$91)</f>
        <v>989.8342398456889</v>
      </c>
      <c r="K27" s="513">
        <f>K$22*('28. Consumption and demand'!P96/'28. Consumption and demand'!P$91)</f>
        <v>2482.8277120107773</v>
      </c>
      <c r="L27" s="513">
        <f>L$22*('28. Consumption and demand'!Q96/'28. Consumption and demand'!Q$91)</f>
        <v>3513.1287539271962</v>
      </c>
      <c r="M27" s="513">
        <f>M$22*('28. Consumption and demand'!R96/'28. Consumption and demand'!R$91)</f>
        <v>4200.3238232281192</v>
      </c>
      <c r="N27" s="515">
        <f>N$22*('28. Consumption and demand'!S96/'28. Consumption and demand'!S$91)</f>
        <v>4648.9180442115839</v>
      </c>
      <c r="O27" s="514">
        <f t="shared" si="2"/>
        <v>5087.803305690215</v>
      </c>
      <c r="P27" s="513">
        <f t="shared" si="2"/>
        <v>5419.1495020618904</v>
      </c>
      <c r="Q27" s="513">
        <f t="shared" ref="Q27:AC27" si="6">+Q$22*(P27/P$22)</f>
        <v>5667.6591493406468</v>
      </c>
      <c r="R27" s="513">
        <f t="shared" si="6"/>
        <v>5854.0413847997143</v>
      </c>
      <c r="S27" s="513">
        <f t="shared" si="6"/>
        <v>5993.8280613940151</v>
      </c>
      <c r="T27" s="513">
        <f t="shared" si="6"/>
        <v>6098.66806883974</v>
      </c>
      <c r="U27" s="513">
        <f t="shared" si="6"/>
        <v>6177.298074424034</v>
      </c>
      <c r="V27" s="513">
        <f t="shared" si="6"/>
        <v>6236.2705786122551</v>
      </c>
      <c r="W27" s="513">
        <f t="shared" si="6"/>
        <v>6280.4999567534205</v>
      </c>
      <c r="X27" s="513">
        <f t="shared" si="6"/>
        <v>6313.6719903592939</v>
      </c>
      <c r="Y27" s="513">
        <f t="shared" si="6"/>
        <v>6338.5510155637003</v>
      </c>
      <c r="Z27" s="513">
        <f t="shared" si="6"/>
        <v>6357.2102844670044</v>
      </c>
      <c r="AA27" s="513">
        <f t="shared" si="6"/>
        <v>6371.204736144482</v>
      </c>
      <c r="AB27" s="513">
        <f t="shared" si="6"/>
        <v>6381.7005749025911</v>
      </c>
      <c r="AC27" s="515">
        <f t="shared" si="6"/>
        <v>6389.5724539711719</v>
      </c>
      <c r="AD27" s="1427"/>
      <c r="AE27" s="1427"/>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row>
    <row r="28" spans="1:135" s="529" customFormat="1">
      <c r="B28" s="4176"/>
      <c r="C28" s="3417" t="s">
        <v>1492</v>
      </c>
      <c r="D28" s="884" t="s">
        <v>1488</v>
      </c>
      <c r="E28" s="1980"/>
      <c r="F28" s="1025"/>
      <c r="G28" s="1025"/>
      <c r="H28" s="1025"/>
      <c r="I28" s="702">
        <f>I$22*('28. Consumption and demand'!N97/'28. Consumption and demand'!N$91)</f>
        <v>15.595897987374697</v>
      </c>
      <c r="J28" s="514">
        <f>J$22*('28. Consumption and demand'!O97/'28. Consumption and demand'!O$91)</f>
        <v>303.51248546400944</v>
      </c>
      <c r="K28" s="513">
        <f>K$22*('28. Consumption and demand'!P97/'28. Consumption and demand'!P$91)</f>
        <v>753.47197473382403</v>
      </c>
      <c r="L28" s="513">
        <f>L$22*('28. Consumption and demand'!Q97/'28. Consumption and demand'!Q$91)</f>
        <v>1054.476447035662</v>
      </c>
      <c r="M28" s="513">
        <f>M$22*('28. Consumption and demand'!R97/'28. Consumption and demand'!R$91)</f>
        <v>1246.9991753932125</v>
      </c>
      <c r="N28" s="515">
        <f>N$22*('28. Consumption and demand'!S97/'28. Consumption and demand'!S$91)</f>
        <v>1364.8345813430262</v>
      </c>
      <c r="O28" s="514">
        <f t="shared" si="2"/>
        <v>1493.6830093882656</v>
      </c>
      <c r="P28" s="513">
        <f t="shared" si="2"/>
        <v>1590.9599979055442</v>
      </c>
      <c r="Q28" s="513">
        <f t="shared" ref="Q28:AC28" si="7">+Q$22*(P28/P$22)</f>
        <v>1663.9177392935032</v>
      </c>
      <c r="R28" s="513">
        <f t="shared" si="7"/>
        <v>1718.6360453344726</v>
      </c>
      <c r="S28" s="513">
        <f t="shared" si="7"/>
        <v>1759.6747748651994</v>
      </c>
      <c r="T28" s="513">
        <f t="shared" si="7"/>
        <v>1790.4538220132447</v>
      </c>
      <c r="U28" s="513">
        <f t="shared" si="7"/>
        <v>1813.5381073742785</v>
      </c>
      <c r="V28" s="513">
        <f t="shared" si="7"/>
        <v>1830.8513213950539</v>
      </c>
      <c r="W28" s="513">
        <f t="shared" si="7"/>
        <v>1843.8362319106354</v>
      </c>
      <c r="X28" s="513">
        <f t="shared" si="7"/>
        <v>1853.5749147973218</v>
      </c>
      <c r="Y28" s="513">
        <f t="shared" si="7"/>
        <v>1860.8789269623364</v>
      </c>
      <c r="Z28" s="513">
        <f t="shared" si="7"/>
        <v>1866.3569360860972</v>
      </c>
      <c r="AA28" s="513">
        <f t="shared" si="7"/>
        <v>1870.465442928918</v>
      </c>
      <c r="AB28" s="513">
        <f t="shared" si="7"/>
        <v>1873.5468230610336</v>
      </c>
      <c r="AC28" s="515">
        <f t="shared" si="7"/>
        <v>1875.8578581601203</v>
      </c>
      <c r="AD28" s="1427"/>
      <c r="AE28" s="1427"/>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row>
    <row r="29" spans="1:135" s="529" customFormat="1">
      <c r="B29" s="4176"/>
      <c r="C29" s="3417" t="s">
        <v>1493</v>
      </c>
      <c r="D29" s="884" t="s">
        <v>1489</v>
      </c>
      <c r="E29" s="1980"/>
      <c r="F29" s="1025"/>
      <c r="G29" s="1025"/>
      <c r="H29" s="1025"/>
      <c r="I29" s="702">
        <f>I$22*('28. Consumption and demand'!N98/'28. Consumption and demand'!N$91)</f>
        <v>11.141628269076342</v>
      </c>
      <c r="J29" s="514">
        <f>J$22*('28. Consumption and demand'!O98/'28. Consumption and demand'!O$91)</f>
        <v>216.88526900682689</v>
      </c>
      <c r="K29" s="513">
        <f>K$22*('28. Consumption and demand'!P98/'28. Consumption and demand'!P$91)</f>
        <v>538.67937077036834</v>
      </c>
      <c r="L29" s="513">
        <f>L$22*('28. Consumption and demand'!Q98/'28. Consumption and demand'!Q$91)</f>
        <v>754.23650049264745</v>
      </c>
      <c r="M29" s="513">
        <f>M$22*('28. Consumption and demand'!R98/'28. Consumption and demand'!R$91)</f>
        <v>892.60615085103257</v>
      </c>
      <c r="N29" s="515">
        <f>N$22*('28. Consumption and demand'!S98/'28. Consumption and demand'!S$91)</f>
        <v>977.89073369650839</v>
      </c>
      <c r="O29" s="514">
        <f t="shared" si="2"/>
        <v>1070.2093820947741</v>
      </c>
      <c r="P29" s="513">
        <f t="shared" si="2"/>
        <v>1139.9074004284994</v>
      </c>
      <c r="Q29" s="513">
        <f t="shared" ref="Q29:AC29" si="8">+Q$22*(P29/P$22)</f>
        <v>1192.1809141787933</v>
      </c>
      <c r="R29" s="513">
        <f t="shared" si="8"/>
        <v>1231.3860494915136</v>
      </c>
      <c r="S29" s="513">
        <f t="shared" si="8"/>
        <v>1260.789900976054</v>
      </c>
      <c r="T29" s="513">
        <f t="shared" si="8"/>
        <v>1282.8427895894592</v>
      </c>
      <c r="U29" s="513">
        <f t="shared" si="8"/>
        <v>1299.3824560495132</v>
      </c>
      <c r="V29" s="513">
        <f t="shared" si="8"/>
        <v>1311.7872058945536</v>
      </c>
      <c r="W29" s="513">
        <f t="shared" si="8"/>
        <v>1321.0907682783341</v>
      </c>
      <c r="X29" s="513">
        <f t="shared" si="8"/>
        <v>1328.0684400661694</v>
      </c>
      <c r="Y29" s="513">
        <f t="shared" si="8"/>
        <v>1333.3016939070458</v>
      </c>
      <c r="Z29" s="513">
        <f t="shared" si="8"/>
        <v>1337.2266342877031</v>
      </c>
      <c r="AA29" s="513">
        <f t="shared" si="8"/>
        <v>1340.1703395731961</v>
      </c>
      <c r="AB29" s="513">
        <f t="shared" si="8"/>
        <v>1342.3781185373159</v>
      </c>
      <c r="AC29" s="515">
        <f t="shared" si="8"/>
        <v>1344.0339527604056</v>
      </c>
      <c r="AD29" s="1427"/>
      <c r="AE29" s="1427"/>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row>
    <row r="30" spans="1:135" s="529" customFormat="1">
      <c r="B30" s="4176"/>
      <c r="C30" s="3417" t="s">
        <v>1494</v>
      </c>
      <c r="D30" s="884" t="s">
        <v>1490</v>
      </c>
      <c r="E30" s="1980"/>
      <c r="F30" s="1025"/>
      <c r="G30" s="1025"/>
      <c r="H30" s="1025"/>
      <c r="I30" s="702">
        <f>I$22*('28. Consumption and demand'!N99/'28. Consumption and demand'!N$91)</f>
        <v>0.37210017523849187</v>
      </c>
      <c r="J30" s="514">
        <f>J$22*('28. Consumption and demand'!O99/'28. Consumption and demand'!O$91)</f>
        <v>7.5738612544098496</v>
      </c>
      <c r="K30" s="513">
        <f>K$22*('28. Consumption and demand'!P99/'28. Consumption and demand'!P$91)</f>
        <v>19.581946155894894</v>
      </c>
      <c r="L30" s="513">
        <f>L$22*('28. Consumption and demand'!Q99/'28. Consumption and demand'!Q$91)</f>
        <v>28.479166523874007</v>
      </c>
      <c r="M30" s="513">
        <f>M$22*('28. Consumption and demand'!R99/'28. Consumption and demand'!R$91)</f>
        <v>34.833812101680998</v>
      </c>
      <c r="N30" s="515">
        <f>N$22*('28. Consumption and demand'!S99/'28. Consumption and demand'!S$91)</f>
        <v>39.183523202414797</v>
      </c>
      <c r="O30" s="514">
        <f t="shared" si="2"/>
        <v>42.882678718343513</v>
      </c>
      <c r="P30" s="513">
        <f t="shared" si="2"/>
        <v>45.675438506769353</v>
      </c>
      <c r="Q30" s="513">
        <f t="shared" ref="Q30:AC30" si="9">+Q$22*(P30/P$22)</f>
        <v>47.770008348088737</v>
      </c>
      <c r="R30" s="513">
        <f t="shared" si="9"/>
        <v>49.340935729078275</v>
      </c>
      <c r="S30" s="513">
        <f t="shared" si="9"/>
        <v>50.519131264820423</v>
      </c>
      <c r="T30" s="513">
        <f t="shared" si="9"/>
        <v>51.402777916627038</v>
      </c>
      <c r="U30" s="513">
        <f t="shared" si="9"/>
        <v>52.065512905482002</v>
      </c>
      <c r="V30" s="513">
        <f t="shared" si="9"/>
        <v>52.562564147123226</v>
      </c>
      <c r="W30" s="513">
        <f t="shared" si="9"/>
        <v>52.935352578354141</v>
      </c>
      <c r="X30" s="513">
        <f t="shared" si="9"/>
        <v>53.214943901777325</v>
      </c>
      <c r="Y30" s="513">
        <f t="shared" si="9"/>
        <v>53.424637394344714</v>
      </c>
      <c r="Z30" s="513">
        <f t="shared" si="9"/>
        <v>53.581907513770261</v>
      </c>
      <c r="AA30" s="513">
        <f t="shared" si="9"/>
        <v>53.699860103339418</v>
      </c>
      <c r="AB30" s="513">
        <f t="shared" si="9"/>
        <v>53.788324545516282</v>
      </c>
      <c r="AC30" s="515">
        <f t="shared" si="9"/>
        <v>53.854672877148936</v>
      </c>
      <c r="AD30" s="1427"/>
      <c r="AE30" s="1427"/>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row>
    <row r="31" spans="1:135" s="529" customFormat="1" ht="13.5" thickBot="1">
      <c r="B31" s="4177"/>
      <c r="C31" s="1981" t="s">
        <v>63</v>
      </c>
      <c r="D31" s="1061"/>
      <c r="E31" s="1078">
        <f t="shared" ref="E31:O31" si="10">SUM(E23:E30)</f>
        <v>0</v>
      </c>
      <c r="F31" s="1062">
        <f t="shared" si="10"/>
        <v>0</v>
      </c>
      <c r="G31" s="1062">
        <f t="shared" si="10"/>
        <v>0</v>
      </c>
      <c r="H31" s="1062">
        <f t="shared" si="10"/>
        <v>0</v>
      </c>
      <c r="I31" s="706">
        <f t="shared" si="10"/>
        <v>214.20436639901627</v>
      </c>
      <c r="J31" s="1710">
        <f t="shared" si="10"/>
        <v>4233.372545854676</v>
      </c>
      <c r="K31" s="405">
        <f t="shared" si="10"/>
        <v>10669.70155244229</v>
      </c>
      <c r="L31" s="405">
        <f t="shared" si="10"/>
        <v>15166.022718353557</v>
      </c>
      <c r="M31" s="405">
        <f t="shared" si="10"/>
        <v>18207.666146458119</v>
      </c>
      <c r="N31" s="560">
        <f t="shared" si="10"/>
        <v>20222.051503110364</v>
      </c>
      <c r="O31" s="1710">
        <f t="shared" si="10"/>
        <v>22131.132342388115</v>
      </c>
      <c r="P31" s="405">
        <f t="shared" ref="P31:AC31" si="11">SUM(P23:P30)</f>
        <v>23572.435412191764</v>
      </c>
      <c r="Q31" s="405">
        <f t="shared" si="11"/>
        <v>24653.412714544498</v>
      </c>
      <c r="R31" s="405">
        <f t="shared" si="11"/>
        <v>25464.145691309055</v>
      </c>
      <c r="S31" s="405">
        <f t="shared" si="11"/>
        <v>26072.195423882469</v>
      </c>
      <c r="T31" s="405">
        <f t="shared" si="11"/>
        <v>26528.232723312536</v>
      </c>
      <c r="U31" s="405">
        <f t="shared" si="11"/>
        <v>26870.260697885082</v>
      </c>
      <c r="V31" s="405">
        <f t="shared" si="11"/>
        <v>27126.781678814488</v>
      </c>
      <c r="W31" s="405">
        <f t="shared" si="11"/>
        <v>27319.172414511548</v>
      </c>
      <c r="X31" s="405">
        <f t="shared" si="11"/>
        <v>27463.465466284342</v>
      </c>
      <c r="Y31" s="405">
        <f t="shared" si="11"/>
        <v>27571.685255113938</v>
      </c>
      <c r="Z31" s="405">
        <f t="shared" si="11"/>
        <v>27652.850096736132</v>
      </c>
      <c r="AA31" s="405">
        <f t="shared" si="11"/>
        <v>27713.723727952784</v>
      </c>
      <c r="AB31" s="405">
        <f t="shared" si="11"/>
        <v>27759.378951365266</v>
      </c>
      <c r="AC31" s="560">
        <f t="shared" si="11"/>
        <v>27793.620368924629</v>
      </c>
      <c r="AD31" s="1427"/>
      <c r="AE31" s="1427"/>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row>
    <row r="32" spans="1:135" ht="24" customHeight="1">
      <c r="A32" s="798"/>
      <c r="B32" s="1982" t="s">
        <v>63</v>
      </c>
      <c r="C32" s="1983"/>
      <c r="D32" s="1984"/>
      <c r="E32" s="1985">
        <f>E31</f>
        <v>0</v>
      </c>
      <c r="F32" s="1986">
        <f t="shared" ref="F32:AC32" si="12">F31</f>
        <v>0</v>
      </c>
      <c r="G32" s="1986">
        <f t="shared" si="12"/>
        <v>0</v>
      </c>
      <c r="H32" s="1986">
        <f t="shared" si="12"/>
        <v>0</v>
      </c>
      <c r="I32" s="3431">
        <f t="shared" si="12"/>
        <v>214.20436639901627</v>
      </c>
      <c r="J32" s="3434">
        <f t="shared" si="12"/>
        <v>4233.372545854676</v>
      </c>
      <c r="K32" s="3431">
        <f t="shared" si="12"/>
        <v>10669.70155244229</v>
      </c>
      <c r="L32" s="3431">
        <f t="shared" si="12"/>
        <v>15166.022718353557</v>
      </c>
      <c r="M32" s="3431">
        <f t="shared" si="12"/>
        <v>18207.666146458119</v>
      </c>
      <c r="N32" s="3435">
        <f t="shared" si="12"/>
        <v>20222.051503110364</v>
      </c>
      <c r="O32" s="3434">
        <f t="shared" si="12"/>
        <v>22131.132342388115</v>
      </c>
      <c r="P32" s="3431">
        <f t="shared" si="12"/>
        <v>23572.435412191764</v>
      </c>
      <c r="Q32" s="3431">
        <f t="shared" si="12"/>
        <v>24653.412714544498</v>
      </c>
      <c r="R32" s="3431">
        <f t="shared" si="12"/>
        <v>25464.145691309055</v>
      </c>
      <c r="S32" s="3431">
        <f t="shared" si="12"/>
        <v>26072.195423882469</v>
      </c>
      <c r="T32" s="3431">
        <f t="shared" si="12"/>
        <v>26528.232723312536</v>
      </c>
      <c r="U32" s="3431">
        <f t="shared" si="12"/>
        <v>26870.260697885082</v>
      </c>
      <c r="V32" s="3431">
        <f t="shared" si="12"/>
        <v>27126.781678814488</v>
      </c>
      <c r="W32" s="3431">
        <f t="shared" si="12"/>
        <v>27319.172414511548</v>
      </c>
      <c r="X32" s="3431">
        <f t="shared" si="12"/>
        <v>27463.465466284342</v>
      </c>
      <c r="Y32" s="3431">
        <f t="shared" si="12"/>
        <v>27571.685255113938</v>
      </c>
      <c r="Z32" s="3431">
        <f t="shared" si="12"/>
        <v>27652.850096736132</v>
      </c>
      <c r="AA32" s="3431">
        <f t="shared" si="12"/>
        <v>27713.723727952784</v>
      </c>
      <c r="AB32" s="3431">
        <f t="shared" si="12"/>
        <v>27759.378951365266</v>
      </c>
      <c r="AC32" s="3436">
        <f t="shared" si="12"/>
        <v>27793.620368924629</v>
      </c>
      <c r="AF32"/>
    </row>
    <row r="33" spans="1:135" customFormat="1" ht="27" customHeight="1" thickBot="1">
      <c r="I33" s="3433"/>
      <c r="J33" s="3433"/>
      <c r="K33" s="3433"/>
      <c r="L33" s="3433"/>
      <c r="M33" s="3433"/>
      <c r="N33" s="3433"/>
      <c r="O33" s="3433"/>
      <c r="P33" s="3433"/>
      <c r="Q33" s="3433"/>
      <c r="R33" s="3433"/>
      <c r="S33" s="3433"/>
      <c r="T33" s="3433"/>
      <c r="U33" s="3433"/>
      <c r="V33" s="3433"/>
      <c r="W33" s="3433"/>
      <c r="X33" s="3433"/>
      <c r="Y33" s="3433"/>
      <c r="Z33" s="3433"/>
      <c r="AA33" s="3433"/>
      <c r="AB33" s="3433"/>
      <c r="AC33" s="3433"/>
    </row>
    <row r="34" spans="1:135" s="94" customFormat="1" ht="18.75" customHeight="1" thickBot="1">
      <c r="A34" s="308"/>
      <c r="B34" s="858" t="s">
        <v>1518</v>
      </c>
      <c r="C34" s="859"/>
      <c r="D34" s="859"/>
      <c r="E34" s="859"/>
      <c r="F34" s="859"/>
      <c r="G34" s="859"/>
      <c r="H34" s="859"/>
      <c r="I34" s="859"/>
      <c r="J34" s="859"/>
      <c r="K34" s="859"/>
      <c r="L34" s="859"/>
      <c r="M34" s="859"/>
      <c r="N34" s="859"/>
      <c r="O34" s="859"/>
      <c r="P34" s="859"/>
      <c r="Q34" s="859"/>
      <c r="R34" s="859"/>
      <c r="S34" s="859"/>
      <c r="T34" s="859"/>
      <c r="U34" s="859"/>
      <c r="V34" s="859"/>
      <c r="W34" s="859"/>
      <c r="X34" s="859"/>
      <c r="Y34" s="859"/>
      <c r="Z34" s="859"/>
      <c r="AA34" s="859"/>
      <c r="AB34" s="859"/>
      <c r="AC34" s="860"/>
      <c r="AD34"/>
      <c r="AE34"/>
      <c r="AF34"/>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row>
    <row r="35" spans="1:135" s="1427" customFormat="1">
      <c r="A35" s="1429"/>
      <c r="B35" s="4191" t="str">
        <f>+'29.2.1 Gas extenstions cust no'!B34</f>
        <v>Declining block tariff</v>
      </c>
      <c r="C35" s="4178" t="s">
        <v>47</v>
      </c>
      <c r="D35" s="4179"/>
      <c r="E35" s="3424">
        <f>+'29.2.1 Gas extenstions cust no'!D36</f>
        <v>0</v>
      </c>
      <c r="F35" s="3425">
        <f>+'29.2.1 Gas extenstions cust no'!E36</f>
        <v>0</v>
      </c>
      <c r="G35" s="3425">
        <f>+'29.2.1 Gas extenstions cust no'!F36</f>
        <v>0</v>
      </c>
      <c r="H35" s="3425">
        <f>+'29.2.1 Gas extenstions cust no'!G36</f>
        <v>0</v>
      </c>
      <c r="I35" s="3425">
        <f>+'29.2.1 Gas extenstions cust no'!H36</f>
        <v>0.5</v>
      </c>
      <c r="J35" s="3426">
        <f>+'29.2.1 Gas extenstions cust no'!I36</f>
        <v>1.3528886467220786</v>
      </c>
      <c r="K35" s="3425">
        <f>+'29.2.1 Gas extenstions cust no'!J36</f>
        <v>2.3454437784857234</v>
      </c>
      <c r="L35" s="3425">
        <f>+'29.2.1 Gas extenstions cust no'!K36</f>
        <v>3.4648601273084623</v>
      </c>
      <c r="M35" s="3425">
        <f>+'29.2.1 Gas extenstions cust no'!L36</f>
        <v>4.3044223889255129</v>
      </c>
      <c r="N35" s="3427">
        <f>+'29.2.1 Gas extenstions cust no'!M36</f>
        <v>4.9340940851383017</v>
      </c>
      <c r="O35" s="3424">
        <f>+'29.2.1 Gas extenstions cust no'!N36</f>
        <v>5.2039533835152127</v>
      </c>
      <c r="P35" s="3425">
        <f>+'29.2.1 Gas extenstions cust no'!O36</f>
        <v>5.2039533835152127</v>
      </c>
      <c r="Q35" s="3425">
        <f>+'29.2.1 Gas extenstions cust no'!P36</f>
        <v>5.2039533835152127</v>
      </c>
      <c r="R35" s="3425">
        <f>+'29.2.1 Gas extenstions cust no'!Q36</f>
        <v>5.2039533835152127</v>
      </c>
      <c r="S35" s="3425">
        <f>+'29.2.1 Gas extenstions cust no'!R36</f>
        <v>5.2039533835152127</v>
      </c>
      <c r="T35" s="3425">
        <f>+'29.2.1 Gas extenstions cust no'!S36</f>
        <v>5.2039533835152127</v>
      </c>
      <c r="U35" s="3425">
        <f>+'29.2.1 Gas extenstions cust no'!T36</f>
        <v>5.2039533835152127</v>
      </c>
      <c r="V35" s="3425">
        <f>+'29.2.1 Gas extenstions cust no'!U36</f>
        <v>5.2039533835152127</v>
      </c>
      <c r="W35" s="3425">
        <f>+'29.2.1 Gas extenstions cust no'!V36</f>
        <v>5.2039533835152127</v>
      </c>
      <c r="X35" s="3425">
        <f>+'29.2.1 Gas extenstions cust no'!W36</f>
        <v>5.2039533835152127</v>
      </c>
      <c r="Y35" s="3425">
        <f>+'29.2.1 Gas extenstions cust no'!X36</f>
        <v>5.2039533835152127</v>
      </c>
      <c r="Z35" s="3425">
        <f>+'29.2.1 Gas extenstions cust no'!Y36</f>
        <v>5.2039533835152127</v>
      </c>
      <c r="AA35" s="3425">
        <f>+'29.2.1 Gas extenstions cust no'!Z36</f>
        <v>5.2039533835152127</v>
      </c>
      <c r="AB35" s="3425">
        <f>+'29.2.1 Gas extenstions cust no'!AA36</f>
        <v>5.2039533835152127</v>
      </c>
      <c r="AC35" s="3428">
        <f>+'29.2.1 Gas extenstions cust no'!AB36</f>
        <v>5.2039533835152127</v>
      </c>
    </row>
    <row r="36" spans="1:135" s="1427" customFormat="1">
      <c r="A36" s="1429"/>
      <c r="B36" s="4191"/>
      <c r="C36" s="1026" t="s">
        <v>1483</v>
      </c>
      <c r="D36" s="884" t="s">
        <v>1479</v>
      </c>
      <c r="E36" s="1980"/>
      <c r="F36" s="1025"/>
      <c r="G36" s="1025"/>
      <c r="H36" s="1025"/>
      <c r="I36" s="3418">
        <f>+I$35*('28. Consumption and demand'!I102/'28. Consumption and demand'!I$101)</f>
        <v>5.2216504065040654</v>
      </c>
      <c r="J36" s="3437">
        <f>+J$35*('28. Consumption and demand'!J102/'28. Consumption and demand'!J$101)</f>
        <v>13.775024042766775</v>
      </c>
      <c r="K36" s="3418">
        <f>+K$35*('28. Consumption and demand'!K102/'28. Consumption and demand'!K$101)</f>
        <v>23.25443143027697</v>
      </c>
      <c r="L36" s="3418">
        <f>+L$35*('28. Consumption and demand'!L102/'28. Consumption and demand'!L$101)</f>
        <v>35.35940320108984</v>
      </c>
      <c r="M36" s="3418">
        <f>+M$35*('28. Consumption and demand'!M102/'28. Consumption and demand'!M$101)</f>
        <v>45.464029762521534</v>
      </c>
      <c r="N36" s="3420">
        <f>+N$35*('28. Consumption and demand'!N102/'28. Consumption and demand'!N$101)</f>
        <v>51.417243227119329</v>
      </c>
      <c r="O36" s="514">
        <f>+O$35*(N36/N$35)</f>
        <v>54.229394949871995</v>
      </c>
      <c r="P36" s="513">
        <f t="shared" ref="P36:AC36" si="13">+P$35*(O36/O$35)</f>
        <v>54.229394949871995</v>
      </c>
      <c r="Q36" s="513">
        <f t="shared" si="13"/>
        <v>54.229394949871995</v>
      </c>
      <c r="R36" s="513">
        <f t="shared" si="13"/>
        <v>54.229394949871995</v>
      </c>
      <c r="S36" s="513">
        <f t="shared" si="13"/>
        <v>54.229394949871995</v>
      </c>
      <c r="T36" s="513">
        <f t="shared" si="13"/>
        <v>54.229394949871995</v>
      </c>
      <c r="U36" s="513">
        <f t="shared" si="13"/>
        <v>54.229394949871995</v>
      </c>
      <c r="V36" s="513">
        <f t="shared" si="13"/>
        <v>54.229394949871995</v>
      </c>
      <c r="W36" s="513">
        <f t="shared" si="13"/>
        <v>54.229394949871995</v>
      </c>
      <c r="X36" s="513">
        <f t="shared" si="13"/>
        <v>54.229394949871995</v>
      </c>
      <c r="Y36" s="513">
        <f t="shared" si="13"/>
        <v>54.229394949871995</v>
      </c>
      <c r="Z36" s="513">
        <f t="shared" si="13"/>
        <v>54.229394949871995</v>
      </c>
      <c r="AA36" s="513">
        <f t="shared" si="13"/>
        <v>54.229394949871995</v>
      </c>
      <c r="AB36" s="513">
        <f t="shared" si="13"/>
        <v>54.229394949871995</v>
      </c>
      <c r="AC36" s="515">
        <f t="shared" si="13"/>
        <v>54.229394949871995</v>
      </c>
    </row>
    <row r="37" spans="1:135" s="1427" customFormat="1">
      <c r="A37" s="1429"/>
      <c r="B37" s="4191"/>
      <c r="C37" s="1026" t="s">
        <v>1484</v>
      </c>
      <c r="D37" s="884" t="s">
        <v>1480</v>
      </c>
      <c r="E37" s="1980"/>
      <c r="F37" s="1025"/>
      <c r="G37" s="1025"/>
      <c r="H37" s="1025"/>
      <c r="I37" s="3418">
        <f>+I$35*('28. Consumption and demand'!I103/'28. Consumption and demand'!I$101)</f>
        <v>4.4396233062330621</v>
      </c>
      <c r="J37" s="3437">
        <f>+J$35*('28. Consumption and demand'!J103/'28. Consumption and demand'!J$101)</f>
        <v>11.580781067114795</v>
      </c>
      <c r="K37" s="3418">
        <f>+K$35*('28. Consumption and demand'!K103/'28. Consumption and demand'!K$101)</f>
        <v>20.199758180299654</v>
      </c>
      <c r="L37" s="3418">
        <f>+L$35*('28. Consumption and demand'!L103/'28. Consumption and demand'!L$101)</f>
        <v>29.626368307094783</v>
      </c>
      <c r="M37" s="3418">
        <f>+M$35*('28. Consumption and demand'!M103/'28. Consumption and demand'!M$101)</f>
        <v>39.160459352947065</v>
      </c>
      <c r="N37" s="3420">
        <f>+N$35*('28. Consumption and demand'!N103/'28. Consumption and demand'!N$101)</f>
        <v>44.565738885557465</v>
      </c>
      <c r="O37" s="467">
        <f t="shared" ref="O37:AC43" si="14">+O$35*(N37/N$35)</f>
        <v>47.003162821904645</v>
      </c>
      <c r="P37" s="513">
        <f t="shared" si="14"/>
        <v>47.003162821904645</v>
      </c>
      <c r="Q37" s="513">
        <f t="shared" si="14"/>
        <v>47.003162821904645</v>
      </c>
      <c r="R37" s="513">
        <f t="shared" si="14"/>
        <v>47.003162821904645</v>
      </c>
      <c r="S37" s="513">
        <f t="shared" si="14"/>
        <v>47.003162821904645</v>
      </c>
      <c r="T37" s="513">
        <f t="shared" si="14"/>
        <v>47.003162821904645</v>
      </c>
      <c r="U37" s="513">
        <f t="shared" si="14"/>
        <v>47.003162821904645</v>
      </c>
      <c r="V37" s="513">
        <f t="shared" si="14"/>
        <v>47.003162821904645</v>
      </c>
      <c r="W37" s="513">
        <f t="shared" si="14"/>
        <v>47.003162821904645</v>
      </c>
      <c r="X37" s="513">
        <f t="shared" si="14"/>
        <v>47.003162821904645</v>
      </c>
      <c r="Y37" s="513">
        <f t="shared" si="14"/>
        <v>47.003162821904645</v>
      </c>
      <c r="Z37" s="513">
        <f t="shared" si="14"/>
        <v>47.003162821904645</v>
      </c>
      <c r="AA37" s="513">
        <f t="shared" si="14"/>
        <v>47.003162821904645</v>
      </c>
      <c r="AB37" s="513">
        <f t="shared" si="14"/>
        <v>47.003162821904645</v>
      </c>
      <c r="AC37" s="515">
        <f t="shared" si="14"/>
        <v>47.003162821904645</v>
      </c>
    </row>
    <row r="38" spans="1:135" s="1427" customFormat="1">
      <c r="A38" s="1429"/>
      <c r="B38" s="4191"/>
      <c r="C38" s="1026" t="s">
        <v>1485</v>
      </c>
      <c r="D38" s="884" t="s">
        <v>1481</v>
      </c>
      <c r="E38" s="1980"/>
      <c r="F38" s="1025"/>
      <c r="G38" s="1025"/>
      <c r="H38" s="1025"/>
      <c r="I38" s="3418">
        <f>+I$35*('28. Consumption and demand'!I104/'28. Consumption and demand'!I$101)</f>
        <v>28.003289972899729</v>
      </c>
      <c r="J38" s="3437">
        <f>+J$35*('28. Consumption and demand'!J104/'28. Consumption and demand'!J$101)</f>
        <v>68.900828488819968</v>
      </c>
      <c r="K38" s="3418">
        <f>+K$35*('28. Consumption and demand'!K104/'28. Consumption and demand'!K$101)</f>
        <v>121.56000924066463</v>
      </c>
      <c r="L38" s="3418">
        <f>+L$35*('28. Consumption and demand'!L104/'28. Consumption and demand'!L$101)</f>
        <v>176.13649172590078</v>
      </c>
      <c r="M38" s="3418">
        <f>+M$35*('28. Consumption and demand'!M104/'28. Consumption and demand'!M$101)</f>
        <v>223.39588722122858</v>
      </c>
      <c r="N38" s="3420">
        <f>+N$35*('28. Consumption and demand'!N104/'28. Consumption and demand'!N$101)</f>
        <v>253.7353021958813</v>
      </c>
      <c r="O38" s="467">
        <f t="shared" si="14"/>
        <v>267.61279002698632</v>
      </c>
      <c r="P38" s="513">
        <f t="shared" si="14"/>
        <v>267.61279002698632</v>
      </c>
      <c r="Q38" s="513">
        <f t="shared" si="14"/>
        <v>267.61279002698632</v>
      </c>
      <c r="R38" s="513">
        <f t="shared" si="14"/>
        <v>267.61279002698632</v>
      </c>
      <c r="S38" s="513">
        <f t="shared" si="14"/>
        <v>267.61279002698632</v>
      </c>
      <c r="T38" s="513">
        <f t="shared" si="14"/>
        <v>267.61279002698632</v>
      </c>
      <c r="U38" s="513">
        <f t="shared" si="14"/>
        <v>267.61279002698632</v>
      </c>
      <c r="V38" s="513">
        <f t="shared" si="14"/>
        <v>267.61279002698632</v>
      </c>
      <c r="W38" s="513">
        <f t="shared" si="14"/>
        <v>267.61279002698632</v>
      </c>
      <c r="X38" s="513">
        <f t="shared" si="14"/>
        <v>267.61279002698632</v>
      </c>
      <c r="Y38" s="513">
        <f t="shared" si="14"/>
        <v>267.61279002698632</v>
      </c>
      <c r="Z38" s="513">
        <f t="shared" si="14"/>
        <v>267.61279002698632</v>
      </c>
      <c r="AA38" s="513">
        <f t="shared" si="14"/>
        <v>267.61279002698632</v>
      </c>
      <c r="AB38" s="513">
        <f t="shared" si="14"/>
        <v>267.61279002698632</v>
      </c>
      <c r="AC38" s="515">
        <f t="shared" si="14"/>
        <v>267.61279002698632</v>
      </c>
    </row>
    <row r="39" spans="1:135" s="1427" customFormat="1">
      <c r="A39" s="1429"/>
      <c r="B39" s="4191"/>
      <c r="C39" s="1026" t="s">
        <v>1486</v>
      </c>
      <c r="D39" s="884" t="s">
        <v>1482</v>
      </c>
      <c r="E39" s="1980"/>
      <c r="F39" s="1025"/>
      <c r="G39" s="1025"/>
      <c r="H39" s="1025"/>
      <c r="I39" s="3418">
        <f>+I$35*('28. Consumption and demand'!I105/'28. Consumption and demand'!I$101)</f>
        <v>65.324791327913289</v>
      </c>
      <c r="J39" s="3437">
        <f>+J$35*('28. Consumption and demand'!J105/'28. Consumption and demand'!J$101)</f>
        <v>157.16662024815727</v>
      </c>
      <c r="K39" s="3418">
        <f>+K$35*('28. Consumption and demand'!K105/'28. Consumption and demand'!K$101)</f>
        <v>240.50514321242011</v>
      </c>
      <c r="L39" s="3418">
        <f>+L$35*('28. Consumption and demand'!L105/'28. Consumption and demand'!L$101)</f>
        <v>394.17593114507883</v>
      </c>
      <c r="M39" s="3418">
        <f>+M$35*('28. Consumption and demand'!M105/'28. Consumption and demand'!M$101)</f>
        <v>486.18840007069662</v>
      </c>
      <c r="N39" s="3420">
        <f>+N$35*('28. Consumption and demand'!N105/'28. Consumption and demand'!N$101)</f>
        <v>539.02209402587175</v>
      </c>
      <c r="O39" s="467">
        <f t="shared" si="14"/>
        <v>568.50270821634842</v>
      </c>
      <c r="P39" s="513">
        <f t="shared" si="14"/>
        <v>568.50270821634842</v>
      </c>
      <c r="Q39" s="513">
        <f t="shared" si="14"/>
        <v>568.50270821634842</v>
      </c>
      <c r="R39" s="513">
        <f t="shared" si="14"/>
        <v>568.50270821634842</v>
      </c>
      <c r="S39" s="513">
        <f t="shared" si="14"/>
        <v>568.50270821634842</v>
      </c>
      <c r="T39" s="513">
        <f t="shared" si="14"/>
        <v>568.50270821634842</v>
      </c>
      <c r="U39" s="513">
        <f t="shared" si="14"/>
        <v>568.50270821634842</v>
      </c>
      <c r="V39" s="513">
        <f t="shared" si="14"/>
        <v>568.50270821634842</v>
      </c>
      <c r="W39" s="513">
        <f t="shared" si="14"/>
        <v>568.50270821634842</v>
      </c>
      <c r="X39" s="513">
        <f t="shared" si="14"/>
        <v>568.50270821634842</v>
      </c>
      <c r="Y39" s="513">
        <f t="shared" si="14"/>
        <v>568.50270821634842</v>
      </c>
      <c r="Z39" s="513">
        <f t="shared" si="14"/>
        <v>568.50270821634842</v>
      </c>
      <c r="AA39" s="513">
        <f t="shared" si="14"/>
        <v>568.50270821634842</v>
      </c>
      <c r="AB39" s="513">
        <f t="shared" si="14"/>
        <v>568.50270821634842</v>
      </c>
      <c r="AC39" s="515">
        <f t="shared" si="14"/>
        <v>568.50270821634842</v>
      </c>
    </row>
    <row r="40" spans="1:135" s="1427" customFormat="1">
      <c r="A40" s="1429"/>
      <c r="B40" s="4191"/>
      <c r="C40" s="3417" t="s">
        <v>1491</v>
      </c>
      <c r="D40" s="884" t="s">
        <v>1487</v>
      </c>
      <c r="E40" s="1980"/>
      <c r="F40" s="1025"/>
      <c r="G40" s="1025"/>
      <c r="H40" s="1025"/>
      <c r="I40" s="3418">
        <f>+I$35*('28. Consumption and demand'!I106/'28. Consumption and demand'!I$101)</f>
        <v>8.41580487804878</v>
      </c>
      <c r="J40" s="3437">
        <f>+J$35*('28. Consumption and demand'!J106/'28. Consumption and demand'!J$101)</f>
        <v>22.104823863903501</v>
      </c>
      <c r="K40" s="3418">
        <f>+K$35*('28. Consumption and demand'!K106/'28. Consumption and demand'!K$101)</f>
        <v>38.709411391904148</v>
      </c>
      <c r="L40" s="3418">
        <f>+L$35*('28. Consumption and demand'!L106/'28. Consumption and demand'!L$101)</f>
        <v>56.433084002776638</v>
      </c>
      <c r="M40" s="3418">
        <f>+M$35*('28. Consumption and demand'!M106/'28. Consumption and demand'!M$101)</f>
        <v>70.918284353663211</v>
      </c>
      <c r="N40" s="3420">
        <f>+N$35*('28. Consumption and demand'!N106/'28. Consumption and demand'!N$101)</f>
        <v>80.256601969850351</v>
      </c>
      <c r="O40" s="467">
        <f t="shared" si="14"/>
        <v>84.646058255844892</v>
      </c>
      <c r="P40" s="513">
        <f t="shared" si="14"/>
        <v>84.646058255844892</v>
      </c>
      <c r="Q40" s="513">
        <f t="shared" si="14"/>
        <v>84.646058255844892</v>
      </c>
      <c r="R40" s="513">
        <f t="shared" si="14"/>
        <v>84.646058255844892</v>
      </c>
      <c r="S40" s="513">
        <f t="shared" si="14"/>
        <v>84.646058255844892</v>
      </c>
      <c r="T40" s="513">
        <f t="shared" si="14"/>
        <v>84.646058255844892</v>
      </c>
      <c r="U40" s="513">
        <f t="shared" si="14"/>
        <v>84.646058255844892</v>
      </c>
      <c r="V40" s="513">
        <f t="shared" si="14"/>
        <v>84.646058255844892</v>
      </c>
      <c r="W40" s="513">
        <f t="shared" si="14"/>
        <v>84.646058255844892</v>
      </c>
      <c r="X40" s="513">
        <f t="shared" si="14"/>
        <v>84.646058255844892</v>
      </c>
      <c r="Y40" s="513">
        <f t="shared" si="14"/>
        <v>84.646058255844892</v>
      </c>
      <c r="Z40" s="513">
        <f t="shared" si="14"/>
        <v>84.646058255844892</v>
      </c>
      <c r="AA40" s="513">
        <f t="shared" si="14"/>
        <v>84.646058255844892</v>
      </c>
      <c r="AB40" s="513">
        <f t="shared" si="14"/>
        <v>84.646058255844892</v>
      </c>
      <c r="AC40" s="515">
        <f t="shared" si="14"/>
        <v>84.646058255844892</v>
      </c>
    </row>
    <row r="41" spans="1:135" s="1427" customFormat="1">
      <c r="A41" s="1429"/>
      <c r="B41" s="4191"/>
      <c r="C41" s="3417" t="s">
        <v>1492</v>
      </c>
      <c r="D41" s="884" t="s">
        <v>1488</v>
      </c>
      <c r="E41" s="1980"/>
      <c r="F41" s="1025"/>
      <c r="G41" s="1025"/>
      <c r="H41" s="1025"/>
      <c r="I41" s="3418">
        <f>+I$35*('28. Consumption and demand'!I107/'28. Consumption and demand'!I$101)</f>
        <v>6.3431978319783191</v>
      </c>
      <c r="J41" s="3437">
        <f>+J$35*('28. Consumption and demand'!J107/'28. Consumption and demand'!J$101)</f>
        <v>16.466709593815498</v>
      </c>
      <c r="K41" s="3418">
        <f>+K$35*('28. Consumption and demand'!K107/'28. Consumption and demand'!K$101)</f>
        <v>27.969231604748142</v>
      </c>
      <c r="L41" s="3418">
        <f>+L$35*('28. Consumption and demand'!L107/'28. Consumption and demand'!L$101)</f>
        <v>41.561056709642294</v>
      </c>
      <c r="M41" s="3418">
        <f>+M$35*('28. Consumption and demand'!M107/'28. Consumption and demand'!M$101)</f>
        <v>50.847416237224181</v>
      </c>
      <c r="N41" s="3420">
        <f>+N$35*('28. Consumption and demand'!N107/'28. Consumption and demand'!N$101)</f>
        <v>57.993477888606705</v>
      </c>
      <c r="O41" s="467">
        <f t="shared" si="14"/>
        <v>61.165302135046389</v>
      </c>
      <c r="P41" s="513">
        <f t="shared" si="14"/>
        <v>61.165302135046389</v>
      </c>
      <c r="Q41" s="513">
        <f t="shared" si="14"/>
        <v>61.165302135046389</v>
      </c>
      <c r="R41" s="513">
        <f t="shared" si="14"/>
        <v>61.165302135046389</v>
      </c>
      <c r="S41" s="513">
        <f t="shared" si="14"/>
        <v>61.165302135046389</v>
      </c>
      <c r="T41" s="513">
        <f t="shared" si="14"/>
        <v>61.165302135046389</v>
      </c>
      <c r="U41" s="513">
        <f t="shared" si="14"/>
        <v>61.165302135046389</v>
      </c>
      <c r="V41" s="513">
        <f t="shared" si="14"/>
        <v>61.165302135046389</v>
      </c>
      <c r="W41" s="513">
        <f t="shared" si="14"/>
        <v>61.165302135046389</v>
      </c>
      <c r="X41" s="513">
        <f t="shared" si="14"/>
        <v>61.165302135046389</v>
      </c>
      <c r="Y41" s="513">
        <f t="shared" si="14"/>
        <v>61.165302135046389</v>
      </c>
      <c r="Z41" s="513">
        <f t="shared" si="14"/>
        <v>61.165302135046389</v>
      </c>
      <c r="AA41" s="513">
        <f t="shared" si="14"/>
        <v>61.165302135046389</v>
      </c>
      <c r="AB41" s="513">
        <f t="shared" si="14"/>
        <v>61.165302135046389</v>
      </c>
      <c r="AC41" s="515">
        <f t="shared" si="14"/>
        <v>61.165302135046389</v>
      </c>
    </row>
    <row r="42" spans="1:135" s="1427" customFormat="1">
      <c r="A42" s="1429"/>
      <c r="B42" s="4191"/>
      <c r="C42" s="3417" t="s">
        <v>1493</v>
      </c>
      <c r="D42" s="884" t="s">
        <v>1489</v>
      </c>
      <c r="E42" s="1980"/>
      <c r="F42" s="1025"/>
      <c r="G42" s="1025"/>
      <c r="H42" s="1025"/>
      <c r="I42" s="3418">
        <f>+I$35*('28. Consumption and demand'!I108/'28. Consumption and demand'!I$101)</f>
        <v>38.059577235772359</v>
      </c>
      <c r="J42" s="3437">
        <f>+J$35*('28. Consumption and demand'!J108/'28. Consumption and demand'!J$101)</f>
        <v>97.379602418693764</v>
      </c>
      <c r="K42" s="3418">
        <f>+K$35*('28. Consumption and demand'!K108/'28. Consumption and demand'!K$101)</f>
        <v>170.86568835309325</v>
      </c>
      <c r="L42" s="3418">
        <f>+L$35*('28. Consumption and demand'!L108/'28. Consumption and demand'!L$101)</f>
        <v>247.24484952677133</v>
      </c>
      <c r="M42" s="3418">
        <f>+M$35*('28. Consumption and demand'!M108/'28. Consumption and demand'!M$101)</f>
        <v>290.06647774017409</v>
      </c>
      <c r="N42" s="3420">
        <f>+N$35*('28. Consumption and demand'!N108/'28. Consumption and demand'!N$101)</f>
        <v>328.77217448409783</v>
      </c>
      <c r="O42" s="467">
        <f t="shared" si="14"/>
        <v>346.75363709936596</v>
      </c>
      <c r="P42" s="513">
        <f t="shared" si="14"/>
        <v>346.75363709936596</v>
      </c>
      <c r="Q42" s="513">
        <f t="shared" si="14"/>
        <v>346.75363709936596</v>
      </c>
      <c r="R42" s="513">
        <f t="shared" si="14"/>
        <v>346.75363709936596</v>
      </c>
      <c r="S42" s="513">
        <f t="shared" si="14"/>
        <v>346.75363709936596</v>
      </c>
      <c r="T42" s="513">
        <f t="shared" si="14"/>
        <v>346.75363709936596</v>
      </c>
      <c r="U42" s="513">
        <f t="shared" si="14"/>
        <v>346.75363709936596</v>
      </c>
      <c r="V42" s="513">
        <f t="shared" si="14"/>
        <v>346.75363709936596</v>
      </c>
      <c r="W42" s="513">
        <f t="shared" si="14"/>
        <v>346.75363709936596</v>
      </c>
      <c r="X42" s="513">
        <f t="shared" si="14"/>
        <v>346.75363709936596</v>
      </c>
      <c r="Y42" s="513">
        <f t="shared" si="14"/>
        <v>346.75363709936596</v>
      </c>
      <c r="Z42" s="513">
        <f t="shared" si="14"/>
        <v>346.75363709936596</v>
      </c>
      <c r="AA42" s="513">
        <f t="shared" si="14"/>
        <v>346.75363709936596</v>
      </c>
      <c r="AB42" s="513">
        <f t="shared" si="14"/>
        <v>346.75363709936596</v>
      </c>
      <c r="AC42" s="515">
        <f t="shared" si="14"/>
        <v>346.75363709936596</v>
      </c>
    </row>
    <row r="43" spans="1:135" s="1427" customFormat="1">
      <c r="A43" s="1429"/>
      <c r="B43" s="4191"/>
      <c r="C43" s="3417" t="s">
        <v>1494</v>
      </c>
      <c r="D43" s="884" t="s">
        <v>1490</v>
      </c>
      <c r="E43" s="1980"/>
      <c r="F43" s="1025"/>
      <c r="G43" s="1025"/>
      <c r="H43" s="1025"/>
      <c r="I43" s="3418">
        <f>+I$35*('28. Consumption and demand'!I109/'28. Consumption and demand'!I$101)</f>
        <v>68.551642276422768</v>
      </c>
      <c r="J43" s="3437">
        <f>+J$35*('28. Consumption and demand'!J109/'28. Consumption and demand'!J$101)</f>
        <v>166.38594944056132</v>
      </c>
      <c r="K43" s="3418">
        <f>+K$35*('28. Consumption and demand'!K109/'28. Consumption and demand'!K$101)</f>
        <v>285.10518574467488</v>
      </c>
      <c r="L43" s="3418">
        <f>+L$35*('28. Consumption and demand'!L109/'28. Consumption and demand'!L$101)</f>
        <v>393.07056641124581</v>
      </c>
      <c r="M43" s="3418">
        <f>+M$35*('28. Consumption and demand'!M109/'28. Consumption and demand'!M$101)</f>
        <v>462.53884901028317</v>
      </c>
      <c r="N43" s="3420">
        <f>+N$35*('28. Consumption and demand'!N109/'28. Consumption and demand'!N$101)</f>
        <v>515.68494186848318</v>
      </c>
      <c r="O43" s="467">
        <f t="shared" si="14"/>
        <v>543.88918244332956</v>
      </c>
      <c r="P43" s="513">
        <f t="shared" si="14"/>
        <v>543.88918244332956</v>
      </c>
      <c r="Q43" s="513">
        <f t="shared" si="14"/>
        <v>543.88918244332956</v>
      </c>
      <c r="R43" s="513">
        <f t="shared" si="14"/>
        <v>543.88918244332956</v>
      </c>
      <c r="S43" s="513">
        <f t="shared" si="14"/>
        <v>543.88918244332956</v>
      </c>
      <c r="T43" s="513">
        <f t="shared" si="14"/>
        <v>543.88918244332956</v>
      </c>
      <c r="U43" s="513">
        <f t="shared" si="14"/>
        <v>543.88918244332956</v>
      </c>
      <c r="V43" s="513">
        <f t="shared" si="14"/>
        <v>543.88918244332956</v>
      </c>
      <c r="W43" s="513">
        <f t="shared" si="14"/>
        <v>543.88918244332956</v>
      </c>
      <c r="X43" s="513">
        <f t="shared" si="14"/>
        <v>543.88918244332956</v>
      </c>
      <c r="Y43" s="513">
        <f t="shared" si="14"/>
        <v>543.88918244332956</v>
      </c>
      <c r="Z43" s="513">
        <f t="shared" si="14"/>
        <v>543.88918244332956</v>
      </c>
      <c r="AA43" s="513">
        <f t="shared" si="14"/>
        <v>543.88918244332956</v>
      </c>
      <c r="AB43" s="513">
        <f t="shared" si="14"/>
        <v>543.88918244332956</v>
      </c>
      <c r="AC43" s="515">
        <f t="shared" si="14"/>
        <v>543.88918244332956</v>
      </c>
    </row>
    <row r="44" spans="1:135" s="529" customFormat="1" ht="13.5" thickBot="1">
      <c r="B44" s="4192"/>
      <c r="C44" s="1981" t="s">
        <v>63</v>
      </c>
      <c r="D44" s="1061"/>
      <c r="E44" s="559">
        <f t="shared" ref="E44:AC44" si="15">SUM(E35:E43)</f>
        <v>0</v>
      </c>
      <c r="F44" s="405">
        <f t="shared" si="15"/>
        <v>0</v>
      </c>
      <c r="G44" s="405">
        <f t="shared" si="15"/>
        <v>0</v>
      </c>
      <c r="H44" s="405">
        <f t="shared" si="15"/>
        <v>0</v>
      </c>
      <c r="I44" s="706">
        <f t="shared" si="15"/>
        <v>224.85957723577238</v>
      </c>
      <c r="J44" s="1710">
        <f t="shared" si="15"/>
        <v>555.11322781055492</v>
      </c>
      <c r="K44" s="405">
        <f t="shared" si="15"/>
        <v>930.51430293656745</v>
      </c>
      <c r="L44" s="405">
        <f t="shared" si="15"/>
        <v>1377.0726111569088</v>
      </c>
      <c r="M44" s="405">
        <f t="shared" si="15"/>
        <v>1672.884226137664</v>
      </c>
      <c r="N44" s="560">
        <f t="shared" si="15"/>
        <v>1876.3816686306063</v>
      </c>
      <c r="O44" s="1710">
        <f t="shared" si="15"/>
        <v>1979.0061893322136</v>
      </c>
      <c r="P44" s="405">
        <f t="shared" si="15"/>
        <v>1979.0061893322136</v>
      </c>
      <c r="Q44" s="405">
        <f t="shared" si="15"/>
        <v>1979.0061893322136</v>
      </c>
      <c r="R44" s="405">
        <f t="shared" si="15"/>
        <v>1979.0061893322136</v>
      </c>
      <c r="S44" s="405">
        <f t="shared" si="15"/>
        <v>1979.0061893322136</v>
      </c>
      <c r="T44" s="405">
        <f t="shared" si="15"/>
        <v>1979.0061893322136</v>
      </c>
      <c r="U44" s="405">
        <f t="shared" si="15"/>
        <v>1979.0061893322136</v>
      </c>
      <c r="V44" s="405">
        <f t="shared" si="15"/>
        <v>1979.0061893322136</v>
      </c>
      <c r="W44" s="405">
        <f t="shared" si="15"/>
        <v>1979.0061893322136</v>
      </c>
      <c r="X44" s="405">
        <f t="shared" si="15"/>
        <v>1979.0061893322136</v>
      </c>
      <c r="Y44" s="405">
        <f t="shared" si="15"/>
        <v>1979.0061893322136</v>
      </c>
      <c r="Z44" s="405">
        <f t="shared" si="15"/>
        <v>1979.0061893322136</v>
      </c>
      <c r="AA44" s="405">
        <f t="shared" si="15"/>
        <v>1979.0061893322136</v>
      </c>
      <c r="AB44" s="405">
        <f t="shared" si="15"/>
        <v>1979.0061893322136</v>
      </c>
      <c r="AC44" s="560">
        <f t="shared" si="15"/>
        <v>1979.0061893322136</v>
      </c>
      <c r="AD44" s="1427"/>
      <c r="AE44" s="1427"/>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c r="BU44" s="229"/>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c r="DM44" s="229"/>
      <c r="DN44" s="229"/>
      <c r="DO44" s="229"/>
      <c r="DP44" s="229"/>
    </row>
    <row r="45" spans="1:135" ht="24" customHeight="1" thickBot="1">
      <c r="A45" s="798"/>
      <c r="B45" s="4193" t="s">
        <v>63</v>
      </c>
      <c r="C45" s="4194"/>
      <c r="D45" s="4195"/>
      <c r="E45" s="3429">
        <f>E44</f>
        <v>0</v>
      </c>
      <c r="F45" s="405">
        <f t="shared" ref="F45" si="16">F44</f>
        <v>0</v>
      </c>
      <c r="G45" s="405">
        <f t="shared" ref="G45" si="17">G44</f>
        <v>0</v>
      </c>
      <c r="H45" s="405">
        <f t="shared" ref="H45" si="18">H44</f>
        <v>0</v>
      </c>
      <c r="I45" s="405">
        <f t="shared" ref="I45" si="19">I44</f>
        <v>224.85957723577238</v>
      </c>
      <c r="J45" s="3429">
        <f t="shared" ref="J45" si="20">J44</f>
        <v>555.11322781055492</v>
      </c>
      <c r="K45" s="405">
        <f t="shared" ref="K45" si="21">K44</f>
        <v>930.51430293656745</v>
      </c>
      <c r="L45" s="405">
        <f t="shared" ref="L45" si="22">L44</f>
        <v>1377.0726111569088</v>
      </c>
      <c r="M45" s="405">
        <f t="shared" ref="M45" si="23">M44</f>
        <v>1672.884226137664</v>
      </c>
      <c r="N45" s="3430">
        <f t="shared" ref="N45" si="24">N44</f>
        <v>1876.3816686306063</v>
      </c>
      <c r="O45" s="559">
        <f t="shared" ref="O45" si="25">O44</f>
        <v>1979.0061893322136</v>
      </c>
      <c r="P45" s="405">
        <f t="shared" ref="P45" si="26">P44</f>
        <v>1979.0061893322136</v>
      </c>
      <c r="Q45" s="405">
        <f t="shared" ref="Q45" si="27">Q44</f>
        <v>1979.0061893322136</v>
      </c>
      <c r="R45" s="405">
        <f t="shared" ref="R45" si="28">R44</f>
        <v>1979.0061893322136</v>
      </c>
      <c r="S45" s="405">
        <f t="shared" ref="S45" si="29">S44</f>
        <v>1979.0061893322136</v>
      </c>
      <c r="T45" s="405">
        <f t="shared" ref="T45" si="30">T44</f>
        <v>1979.0061893322136</v>
      </c>
      <c r="U45" s="405">
        <f t="shared" ref="U45" si="31">U44</f>
        <v>1979.0061893322136</v>
      </c>
      <c r="V45" s="405">
        <f t="shared" ref="V45" si="32">V44</f>
        <v>1979.0061893322136</v>
      </c>
      <c r="W45" s="405">
        <f t="shared" ref="W45" si="33">W44</f>
        <v>1979.0061893322136</v>
      </c>
      <c r="X45" s="405">
        <f t="shared" ref="X45" si="34">X44</f>
        <v>1979.0061893322136</v>
      </c>
      <c r="Y45" s="405">
        <f t="shared" ref="Y45" si="35">Y44</f>
        <v>1979.0061893322136</v>
      </c>
      <c r="Z45" s="405">
        <f t="shared" ref="Z45" si="36">Z44</f>
        <v>1979.0061893322136</v>
      </c>
      <c r="AA45" s="405">
        <f t="shared" ref="AA45" si="37">AA44</f>
        <v>1979.0061893322136</v>
      </c>
      <c r="AB45" s="405">
        <f t="shared" ref="AB45" si="38">AB44</f>
        <v>1979.0061893322136</v>
      </c>
      <c r="AC45" s="560">
        <f t="shared" ref="AC45" si="39">AC44</f>
        <v>1979.0061893322136</v>
      </c>
      <c r="AF45"/>
    </row>
    <row r="46" spans="1:135" ht="24" customHeight="1" thickBot="1">
      <c r="A46" s="798"/>
      <c r="B46" s="4193" t="s">
        <v>298</v>
      </c>
      <c r="C46" s="4194"/>
      <c r="D46" s="4195"/>
      <c r="E46" s="1987"/>
      <c r="F46" s="1079"/>
      <c r="G46" s="1079"/>
      <c r="H46" s="1079"/>
      <c r="I46" s="1079"/>
      <c r="J46" s="1081"/>
      <c r="K46" s="1079"/>
      <c r="L46" s="1079"/>
      <c r="M46" s="1079"/>
      <c r="N46" s="1079"/>
      <c r="O46" s="1081"/>
      <c r="P46" s="1079"/>
      <c r="Q46" s="1079"/>
      <c r="R46" s="1079"/>
      <c r="S46" s="1079"/>
      <c r="T46" s="1079"/>
      <c r="U46" s="1079"/>
      <c r="V46" s="1079"/>
      <c r="W46" s="1079"/>
      <c r="X46" s="1079"/>
      <c r="Y46" s="1079"/>
      <c r="Z46" s="1079"/>
      <c r="AA46" s="1079"/>
      <c r="AB46" s="1079"/>
      <c r="AC46" s="1080"/>
      <c r="AF46"/>
    </row>
    <row r="47" spans="1:135" customFormat="1" ht="30" customHeight="1" thickBot="1">
      <c r="C47" s="1427"/>
    </row>
    <row r="48" spans="1:135" s="94" customFormat="1" ht="18.75" customHeight="1" thickBot="1">
      <c r="A48" s="308"/>
      <c r="B48" s="858" t="s">
        <v>1519</v>
      </c>
      <c r="C48" s="859"/>
      <c r="D48" s="859"/>
      <c r="E48" s="924"/>
      <c r="F48" s="924"/>
      <c r="G48" s="924"/>
      <c r="H48" s="924"/>
      <c r="I48" s="924"/>
      <c r="J48" s="924"/>
      <c r="K48" s="924"/>
      <c r="L48" s="924"/>
      <c r="M48" s="924"/>
      <c r="N48" s="924"/>
      <c r="O48" s="924"/>
      <c r="P48" s="924"/>
      <c r="Q48" s="924"/>
      <c r="R48" s="924"/>
      <c r="S48" s="924"/>
      <c r="T48" s="924"/>
      <c r="U48" s="924"/>
      <c r="V48" s="924"/>
      <c r="W48" s="924"/>
      <c r="X48" s="924"/>
      <c r="Y48" s="924"/>
      <c r="Z48" s="924"/>
      <c r="AA48" s="924"/>
      <c r="AB48" s="924"/>
      <c r="AC48" s="925"/>
      <c r="AD48"/>
      <c r="AE48"/>
      <c r="AF48"/>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row>
    <row r="49" spans="1:120">
      <c r="A49" s="798"/>
      <c r="B49" s="4173"/>
      <c r="C49" s="4178" t="s">
        <v>47</v>
      </c>
      <c r="D49" s="4179"/>
      <c r="E49" s="1988">
        <f>'29.2.1 Gas extenstions cust no'!D47</f>
        <v>0</v>
      </c>
      <c r="F49" s="1077">
        <f>'29.2.1 Gas extenstions cust no'!E47</f>
        <v>0</v>
      </c>
      <c r="G49" s="1077">
        <f>'29.2.1 Gas extenstions cust no'!E47</f>
        <v>0</v>
      </c>
      <c r="H49" s="1077">
        <f>'29.2.1 Gas extenstions cust no'!F47</f>
        <v>0</v>
      </c>
      <c r="I49" s="1084">
        <f>'29.2.1 Gas extenstions cust no'!H47</f>
        <v>0</v>
      </c>
      <c r="J49" s="1988">
        <f>'29.2.1 Gas extenstions cust no'!I47</f>
        <v>0</v>
      </c>
      <c r="K49" s="1077">
        <f>'29.2.1 Gas extenstions cust no'!J47</f>
        <v>0</v>
      </c>
      <c r="L49" s="1077">
        <f>'29.2.1 Gas extenstions cust no'!K47</f>
        <v>0</v>
      </c>
      <c r="M49" s="1077">
        <f>'29.2.1 Gas extenstions cust no'!L47</f>
        <v>0</v>
      </c>
      <c r="N49" s="1084">
        <f>'29.2.1 Gas extenstions cust no'!M47</f>
        <v>0</v>
      </c>
      <c r="O49" s="1085">
        <f>'29.2.1 Gas extenstions cust no'!N47</f>
        <v>0</v>
      </c>
      <c r="P49" s="1077">
        <f>'29.2.1 Gas extenstions cust no'!O47</f>
        <v>0</v>
      </c>
      <c r="Q49" s="1077">
        <f>'29.2.1 Gas extenstions cust no'!P47</f>
        <v>0</v>
      </c>
      <c r="R49" s="1077">
        <f>'29.2.1 Gas extenstions cust no'!Q47</f>
        <v>0</v>
      </c>
      <c r="S49" s="1077">
        <f>'29.2.1 Gas extenstions cust no'!R47</f>
        <v>0</v>
      </c>
      <c r="T49" s="1077">
        <f>'29.2.1 Gas extenstions cust no'!S47</f>
        <v>0</v>
      </c>
      <c r="U49" s="1077">
        <f>'29.2.1 Gas extenstions cust no'!T47</f>
        <v>0</v>
      </c>
      <c r="V49" s="1077">
        <f>'29.2.1 Gas extenstions cust no'!U47</f>
        <v>0</v>
      </c>
      <c r="W49" s="1077">
        <f>'29.2.1 Gas extenstions cust no'!V47</f>
        <v>0</v>
      </c>
      <c r="X49" s="1077">
        <f>'29.2.1 Gas extenstions cust no'!W47</f>
        <v>0</v>
      </c>
      <c r="Y49" s="1077">
        <f>'29.2.1 Gas extenstions cust no'!X47</f>
        <v>0</v>
      </c>
      <c r="Z49" s="1077">
        <f>'29.2.1 Gas extenstions cust no'!Y47</f>
        <v>0</v>
      </c>
      <c r="AA49" s="1077">
        <f>'29.2.1 Gas extenstions cust no'!Z47</f>
        <v>0</v>
      </c>
      <c r="AB49" s="1077">
        <f>'29.2.1 Gas extenstions cust no'!AA47</f>
        <v>0</v>
      </c>
      <c r="AC49" s="1084">
        <f>'29.2.1 Gas extenstions cust no'!AB47</f>
        <v>0</v>
      </c>
      <c r="AF49"/>
    </row>
    <row r="50" spans="1:120">
      <c r="A50" s="798"/>
      <c r="B50" s="4174"/>
      <c r="C50" s="1026" t="s">
        <v>297</v>
      </c>
      <c r="D50" s="983" t="s">
        <v>296</v>
      </c>
      <c r="E50" s="823"/>
      <c r="F50" s="780"/>
      <c r="G50" s="780"/>
      <c r="H50" s="780"/>
      <c r="I50" s="884"/>
      <c r="J50" s="823"/>
      <c r="K50" s="780"/>
      <c r="L50" s="780"/>
      <c r="M50" s="780"/>
      <c r="N50" s="884"/>
      <c r="O50" s="880"/>
      <c r="P50" s="780"/>
      <c r="Q50" s="780"/>
      <c r="R50" s="780"/>
      <c r="S50" s="780"/>
      <c r="T50" s="780"/>
      <c r="U50" s="780"/>
      <c r="V50" s="780"/>
      <c r="W50" s="780"/>
      <c r="X50" s="780"/>
      <c r="Y50" s="780"/>
      <c r="Z50" s="780"/>
      <c r="AA50" s="780"/>
      <c r="AB50" s="780"/>
      <c r="AC50" s="884"/>
      <c r="AF50"/>
    </row>
    <row r="51" spans="1:120">
      <c r="A51" s="798"/>
      <c r="B51" s="4174"/>
      <c r="C51" s="1026" t="s">
        <v>297</v>
      </c>
      <c r="D51" s="983" t="s">
        <v>296</v>
      </c>
      <c r="E51" s="823"/>
      <c r="F51" s="780"/>
      <c r="G51" s="780"/>
      <c r="H51" s="780"/>
      <c r="I51" s="884"/>
      <c r="J51" s="823"/>
      <c r="K51" s="780"/>
      <c r="L51" s="780"/>
      <c r="M51" s="780"/>
      <c r="N51" s="884"/>
      <c r="O51" s="880"/>
      <c r="P51" s="780"/>
      <c r="Q51" s="780"/>
      <c r="R51" s="780"/>
      <c r="S51" s="780"/>
      <c r="T51" s="780"/>
      <c r="U51" s="780"/>
      <c r="V51" s="780"/>
      <c r="W51" s="780"/>
      <c r="X51" s="780"/>
      <c r="Y51" s="780"/>
      <c r="Z51" s="780"/>
      <c r="AA51" s="780"/>
      <c r="AB51" s="780"/>
      <c r="AC51" s="884"/>
      <c r="AF51"/>
    </row>
    <row r="52" spans="1:120" ht="13.5" thickBot="1">
      <c r="A52" s="798"/>
      <c r="B52" s="4175"/>
      <c r="C52" s="1033" t="s">
        <v>297</v>
      </c>
      <c r="D52" s="1034" t="s">
        <v>296</v>
      </c>
      <c r="E52" s="1932"/>
      <c r="F52" s="886"/>
      <c r="G52" s="886"/>
      <c r="H52" s="886"/>
      <c r="I52" s="887"/>
      <c r="J52" s="1932"/>
      <c r="K52" s="886"/>
      <c r="L52" s="886"/>
      <c r="M52" s="886"/>
      <c r="N52" s="887"/>
      <c r="O52" s="889"/>
      <c r="P52" s="886"/>
      <c r="Q52" s="886"/>
      <c r="R52" s="886"/>
      <c r="S52" s="886"/>
      <c r="T52" s="886"/>
      <c r="U52" s="886"/>
      <c r="V52" s="886"/>
      <c r="W52" s="886"/>
      <c r="X52" s="886"/>
      <c r="Y52" s="886"/>
      <c r="Z52" s="886"/>
      <c r="AA52" s="886"/>
      <c r="AB52" s="886"/>
      <c r="AC52" s="887"/>
      <c r="AF52"/>
    </row>
    <row r="53" spans="1:120" customFormat="1" ht="23.25" customHeight="1" thickBot="1">
      <c r="C53" s="1427"/>
    </row>
    <row r="54" spans="1:120" s="529" customFormat="1" ht="18" customHeight="1">
      <c r="B54" s="4196" t="s">
        <v>124</v>
      </c>
      <c r="C54" s="4197"/>
      <c r="D54" s="4198"/>
      <c r="E54" s="1989">
        <f t="shared" ref="E54:R54" si="40">SUM(E50:E52)</f>
        <v>0</v>
      </c>
      <c r="F54" s="1063">
        <f t="shared" si="40"/>
        <v>0</v>
      </c>
      <c r="G54" s="1063">
        <f t="shared" ref="G54" si="41">SUM(G50:G52)</f>
        <v>0</v>
      </c>
      <c r="H54" s="1063">
        <f t="shared" si="40"/>
        <v>0</v>
      </c>
      <c r="I54" s="1064">
        <f t="shared" si="40"/>
        <v>0</v>
      </c>
      <c r="J54" s="1067">
        <f t="shared" si="40"/>
        <v>0</v>
      </c>
      <c r="K54" s="1063">
        <f t="shared" si="40"/>
        <v>0</v>
      </c>
      <c r="L54" s="1063">
        <f t="shared" si="40"/>
        <v>0</v>
      </c>
      <c r="M54" s="1063">
        <f t="shared" si="40"/>
        <v>0</v>
      </c>
      <c r="N54" s="1082">
        <f t="shared" si="40"/>
        <v>0</v>
      </c>
      <c r="O54" s="1069">
        <f t="shared" si="40"/>
        <v>0</v>
      </c>
      <c r="P54" s="1063">
        <f t="shared" si="40"/>
        <v>0</v>
      </c>
      <c r="Q54" s="1063">
        <f t="shared" si="40"/>
        <v>0</v>
      </c>
      <c r="R54" s="1063">
        <f t="shared" si="40"/>
        <v>0</v>
      </c>
      <c r="S54" s="1063">
        <f t="shared" ref="S54:AC54" si="42">SUM(S50:S52)</f>
        <v>0</v>
      </c>
      <c r="T54" s="1063">
        <f t="shared" si="42"/>
        <v>0</v>
      </c>
      <c r="U54" s="1063">
        <f t="shared" si="42"/>
        <v>0</v>
      </c>
      <c r="V54" s="1063">
        <f t="shared" si="42"/>
        <v>0</v>
      </c>
      <c r="W54" s="1063">
        <f t="shared" si="42"/>
        <v>0</v>
      </c>
      <c r="X54" s="1063">
        <f t="shared" si="42"/>
        <v>0</v>
      </c>
      <c r="Y54" s="1063">
        <f t="shared" si="42"/>
        <v>0</v>
      </c>
      <c r="Z54" s="1063">
        <f t="shared" si="42"/>
        <v>0</v>
      </c>
      <c r="AA54" s="1063">
        <f t="shared" si="42"/>
        <v>0</v>
      </c>
      <c r="AB54" s="1063">
        <f t="shared" si="42"/>
        <v>0</v>
      </c>
      <c r="AC54" s="1064">
        <f t="shared" si="42"/>
        <v>0</v>
      </c>
      <c r="AD54"/>
      <c r="AE54"/>
      <c r="AF54"/>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row>
    <row r="55" spans="1:120" s="529" customFormat="1" ht="18" customHeight="1" thickBot="1">
      <c r="B55" s="4199" t="s">
        <v>123</v>
      </c>
      <c r="C55" s="4200"/>
      <c r="D55" s="4201"/>
      <c r="E55" s="1990">
        <f t="shared" ref="E55:AC55" si="43">IF(ISERROR(E54/E49),0,(E54/E49))</f>
        <v>0</v>
      </c>
      <c r="F55" s="1065">
        <f t="shared" si="43"/>
        <v>0</v>
      </c>
      <c r="G55" s="1065">
        <f t="shared" si="43"/>
        <v>0</v>
      </c>
      <c r="H55" s="1065">
        <f t="shared" si="43"/>
        <v>0</v>
      </c>
      <c r="I55" s="1066">
        <f t="shared" si="43"/>
        <v>0</v>
      </c>
      <c r="J55" s="1068">
        <f t="shared" si="43"/>
        <v>0</v>
      </c>
      <c r="K55" s="1065">
        <f t="shared" si="43"/>
        <v>0</v>
      </c>
      <c r="L55" s="1065">
        <f t="shared" si="43"/>
        <v>0</v>
      </c>
      <c r="M55" s="1065">
        <f t="shared" si="43"/>
        <v>0</v>
      </c>
      <c r="N55" s="1083">
        <f t="shared" si="43"/>
        <v>0</v>
      </c>
      <c r="O55" s="1070">
        <f t="shared" si="43"/>
        <v>0</v>
      </c>
      <c r="P55" s="1065">
        <f t="shared" si="43"/>
        <v>0</v>
      </c>
      <c r="Q55" s="1065">
        <f t="shared" si="43"/>
        <v>0</v>
      </c>
      <c r="R55" s="1065">
        <f t="shared" si="43"/>
        <v>0</v>
      </c>
      <c r="S55" s="1065">
        <f t="shared" si="43"/>
        <v>0</v>
      </c>
      <c r="T55" s="1065">
        <f t="shared" si="43"/>
        <v>0</v>
      </c>
      <c r="U55" s="1065">
        <f t="shared" si="43"/>
        <v>0</v>
      </c>
      <c r="V55" s="1065">
        <f t="shared" si="43"/>
        <v>0</v>
      </c>
      <c r="W55" s="1065">
        <f t="shared" si="43"/>
        <v>0</v>
      </c>
      <c r="X55" s="1065">
        <f t="shared" si="43"/>
        <v>0</v>
      </c>
      <c r="Y55" s="1065">
        <f t="shared" si="43"/>
        <v>0</v>
      </c>
      <c r="Z55" s="1065">
        <f t="shared" si="43"/>
        <v>0</v>
      </c>
      <c r="AA55" s="1065">
        <f t="shared" si="43"/>
        <v>0</v>
      </c>
      <c r="AB55" s="1065">
        <f t="shared" si="43"/>
        <v>0</v>
      </c>
      <c r="AC55" s="1066">
        <f t="shared" si="43"/>
        <v>0</v>
      </c>
      <c r="AD55"/>
      <c r="AE55"/>
      <c r="AF55"/>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row>
    <row r="56" spans="1:120" s="70" customFormat="1" ht="34.5" customHeight="1" thickBot="1">
      <c r="A56" s="76"/>
      <c r="B56" s="3610" t="s">
        <v>125</v>
      </c>
      <c r="C56" s="3868"/>
      <c r="D56" s="4190"/>
      <c r="E56" s="4187"/>
      <c r="F56" s="4187"/>
      <c r="G56" s="4187"/>
      <c r="H56" s="4187"/>
      <c r="I56" s="4187"/>
      <c r="J56" s="4187"/>
      <c r="K56" s="4187"/>
      <c r="L56" s="4187"/>
      <c r="M56" s="4187"/>
      <c r="N56" s="4187"/>
      <c r="O56" s="4187"/>
      <c r="P56" s="4187"/>
      <c r="Q56" s="4187"/>
      <c r="R56" s="4187"/>
      <c r="S56" s="4187"/>
      <c r="T56" s="4187"/>
      <c r="U56" s="4187"/>
      <c r="V56" s="4187"/>
      <c r="W56" s="4187"/>
      <c r="X56" s="4187"/>
      <c r="Y56" s="4187"/>
      <c r="Z56" s="4187"/>
      <c r="AA56" s="4187"/>
      <c r="AB56" s="4187"/>
      <c r="AC56" s="4188"/>
      <c r="AD56"/>
      <c r="AE56"/>
      <c r="AF56"/>
    </row>
    <row r="57" spans="1:120">
      <c r="A57" s="798"/>
    </row>
    <row r="58" spans="1:120">
      <c r="A58" s="798"/>
    </row>
  </sheetData>
  <mergeCells count="25">
    <mergeCell ref="E56:AC56"/>
    <mergeCell ref="D17:D20"/>
    <mergeCell ref="E17:I17"/>
    <mergeCell ref="J17:N17"/>
    <mergeCell ref="O17:AC17"/>
    <mergeCell ref="E18:AC18"/>
    <mergeCell ref="E19:G19"/>
    <mergeCell ref="H19:AC19"/>
    <mergeCell ref="B56:D56"/>
    <mergeCell ref="B35:B44"/>
    <mergeCell ref="C35:D35"/>
    <mergeCell ref="B45:D45"/>
    <mergeCell ref="B46:D46"/>
    <mergeCell ref="B54:D54"/>
    <mergeCell ref="B55:D55"/>
    <mergeCell ref="C49:D49"/>
    <mergeCell ref="B49:B52"/>
    <mergeCell ref="B22:B31"/>
    <mergeCell ref="C22:D22"/>
    <mergeCell ref="B7:H7"/>
    <mergeCell ref="B8:H8"/>
    <mergeCell ref="B9:C9"/>
    <mergeCell ref="B10:H10"/>
    <mergeCell ref="B17:B20"/>
    <mergeCell ref="C17:C20"/>
  </mergeCells>
  <pageMargins left="0.75" right="0.75" top="1" bottom="1" header="0.5" footer="0.5"/>
  <pageSetup paperSize="9" orientation="portrait" r:id="rId1"/>
  <headerFooter alignWithMargins="0"/>
  <customProperties>
    <customPr name="_pios_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autoPageBreaks="0"/>
  </sheetPr>
  <dimension ref="A1:EE51"/>
  <sheetViews>
    <sheetView showGridLines="0" topLeftCell="A4" zoomScale="70" zoomScaleNormal="70" workbookViewId="0">
      <selection activeCell="C29" sqref="C29"/>
    </sheetView>
  </sheetViews>
  <sheetFormatPr defaultRowHeight="12.75"/>
  <cols>
    <col min="1" max="1" width="14.140625" style="1427" customWidth="1"/>
    <col min="2" max="2" width="54.5703125" style="1427" customWidth="1"/>
    <col min="3" max="3" width="57.7109375" style="1427" customWidth="1"/>
    <col min="4" max="27" width="12.7109375" style="1427" customWidth="1"/>
    <col min="28" max="256" width="9.140625" style="1427"/>
    <col min="257" max="257" width="14.140625" style="1427" customWidth="1"/>
    <col min="258" max="258" width="66.28515625" style="1427" bestFit="1" customWidth="1"/>
    <col min="259" max="259" width="10" style="1427" bestFit="1" customWidth="1"/>
    <col min="260" max="261" width="8.5703125" style="1427" bestFit="1" customWidth="1"/>
    <col min="262" max="262" width="17.42578125" style="1427" bestFit="1" customWidth="1"/>
    <col min="263" max="263" width="17.28515625" style="1427" bestFit="1" customWidth="1"/>
    <col min="264" max="265" width="10.7109375" style="1427" customWidth="1"/>
    <col min="266" max="267" width="10.7109375" style="1427" bestFit="1" customWidth="1"/>
    <col min="268" max="268" width="10.7109375" style="1427" customWidth="1"/>
    <col min="269" max="271" width="10.7109375" style="1427" bestFit="1" customWidth="1"/>
    <col min="272" max="273" width="10.7109375" style="1427" customWidth="1"/>
    <col min="274" max="275" width="10.7109375" style="1427" bestFit="1" customWidth="1"/>
    <col min="276" max="512" width="9.140625" style="1427"/>
    <col min="513" max="513" width="14.140625" style="1427" customWidth="1"/>
    <col min="514" max="514" width="66.28515625" style="1427" bestFit="1" customWidth="1"/>
    <col min="515" max="515" width="10" style="1427" bestFit="1" customWidth="1"/>
    <col min="516" max="517" width="8.5703125" style="1427" bestFit="1" customWidth="1"/>
    <col min="518" max="518" width="17.42578125" style="1427" bestFit="1" customWidth="1"/>
    <col min="519" max="519" width="17.28515625" style="1427" bestFit="1" customWidth="1"/>
    <col min="520" max="521" width="10.7109375" style="1427" customWidth="1"/>
    <col min="522" max="523" width="10.7109375" style="1427" bestFit="1" customWidth="1"/>
    <col min="524" max="524" width="10.7109375" style="1427" customWidth="1"/>
    <col min="525" max="527" width="10.7109375" style="1427" bestFit="1" customWidth="1"/>
    <col min="528" max="529" width="10.7109375" style="1427" customWidth="1"/>
    <col min="530" max="531" width="10.7109375" style="1427" bestFit="1" customWidth="1"/>
    <col min="532" max="768" width="9.140625" style="1427"/>
    <col min="769" max="769" width="14.140625" style="1427" customWidth="1"/>
    <col min="770" max="770" width="66.28515625" style="1427" bestFit="1" customWidth="1"/>
    <col min="771" max="771" width="10" style="1427" bestFit="1" customWidth="1"/>
    <col min="772" max="773" width="8.5703125" style="1427" bestFit="1" customWidth="1"/>
    <col min="774" max="774" width="17.42578125" style="1427" bestFit="1" customWidth="1"/>
    <col min="775" max="775" width="17.28515625" style="1427" bestFit="1" customWidth="1"/>
    <col min="776" max="777" width="10.7109375" style="1427" customWidth="1"/>
    <col min="778" max="779" width="10.7109375" style="1427" bestFit="1" customWidth="1"/>
    <col min="780" max="780" width="10.7109375" style="1427" customWidth="1"/>
    <col min="781" max="783" width="10.7109375" style="1427" bestFit="1" customWidth="1"/>
    <col min="784" max="785" width="10.7109375" style="1427" customWidth="1"/>
    <col min="786" max="787" width="10.7109375" style="1427" bestFit="1" customWidth="1"/>
    <col min="788" max="1024" width="9.140625" style="1427"/>
    <col min="1025" max="1025" width="14.140625" style="1427" customWidth="1"/>
    <col min="1026" max="1026" width="66.28515625" style="1427" bestFit="1" customWidth="1"/>
    <col min="1027" max="1027" width="10" style="1427" bestFit="1" customWidth="1"/>
    <col min="1028" max="1029" width="8.5703125" style="1427" bestFit="1" customWidth="1"/>
    <col min="1030" max="1030" width="17.42578125" style="1427" bestFit="1" customWidth="1"/>
    <col min="1031" max="1031" width="17.28515625" style="1427" bestFit="1" customWidth="1"/>
    <col min="1032" max="1033" width="10.7109375" style="1427" customWidth="1"/>
    <col min="1034" max="1035" width="10.7109375" style="1427" bestFit="1" customWidth="1"/>
    <col min="1036" max="1036" width="10.7109375" style="1427" customWidth="1"/>
    <col min="1037" max="1039" width="10.7109375" style="1427" bestFit="1" customWidth="1"/>
    <col min="1040" max="1041" width="10.7109375" style="1427" customWidth="1"/>
    <col min="1042" max="1043" width="10.7109375" style="1427" bestFit="1" customWidth="1"/>
    <col min="1044" max="1280" width="9.140625" style="1427"/>
    <col min="1281" max="1281" width="14.140625" style="1427" customWidth="1"/>
    <col min="1282" max="1282" width="66.28515625" style="1427" bestFit="1" customWidth="1"/>
    <col min="1283" max="1283" width="10" style="1427" bestFit="1" customWidth="1"/>
    <col min="1284" max="1285" width="8.5703125" style="1427" bestFit="1" customWidth="1"/>
    <col min="1286" max="1286" width="17.42578125" style="1427" bestFit="1" customWidth="1"/>
    <col min="1287" max="1287" width="17.28515625" style="1427" bestFit="1" customWidth="1"/>
    <col min="1288" max="1289" width="10.7109375" style="1427" customWidth="1"/>
    <col min="1290" max="1291" width="10.7109375" style="1427" bestFit="1" customWidth="1"/>
    <col min="1292" max="1292" width="10.7109375" style="1427" customWidth="1"/>
    <col min="1293" max="1295" width="10.7109375" style="1427" bestFit="1" customWidth="1"/>
    <col min="1296" max="1297" width="10.7109375" style="1427" customWidth="1"/>
    <col min="1298" max="1299" width="10.7109375" style="1427" bestFit="1" customWidth="1"/>
    <col min="1300" max="1536" width="9.140625" style="1427"/>
    <col min="1537" max="1537" width="14.140625" style="1427" customWidth="1"/>
    <col min="1538" max="1538" width="66.28515625" style="1427" bestFit="1" customWidth="1"/>
    <col min="1539" max="1539" width="10" style="1427" bestFit="1" customWidth="1"/>
    <col min="1540" max="1541" width="8.5703125" style="1427" bestFit="1" customWidth="1"/>
    <col min="1542" max="1542" width="17.42578125" style="1427" bestFit="1" customWidth="1"/>
    <col min="1543" max="1543" width="17.28515625" style="1427" bestFit="1" customWidth="1"/>
    <col min="1544" max="1545" width="10.7109375" style="1427" customWidth="1"/>
    <col min="1546" max="1547" width="10.7109375" style="1427" bestFit="1" customWidth="1"/>
    <col min="1548" max="1548" width="10.7109375" style="1427" customWidth="1"/>
    <col min="1549" max="1551" width="10.7109375" style="1427" bestFit="1" customWidth="1"/>
    <col min="1552" max="1553" width="10.7109375" style="1427" customWidth="1"/>
    <col min="1554" max="1555" width="10.7109375" style="1427" bestFit="1" customWidth="1"/>
    <col min="1556" max="1792" width="9.140625" style="1427"/>
    <col min="1793" max="1793" width="14.140625" style="1427" customWidth="1"/>
    <col min="1794" max="1794" width="66.28515625" style="1427" bestFit="1" customWidth="1"/>
    <col min="1795" max="1795" width="10" style="1427" bestFit="1" customWidth="1"/>
    <col min="1796" max="1797" width="8.5703125" style="1427" bestFit="1" customWidth="1"/>
    <col min="1798" max="1798" width="17.42578125" style="1427" bestFit="1" customWidth="1"/>
    <col min="1799" max="1799" width="17.28515625" style="1427" bestFit="1" customWidth="1"/>
    <col min="1800" max="1801" width="10.7109375" style="1427" customWidth="1"/>
    <col min="1802" max="1803" width="10.7109375" style="1427" bestFit="1" customWidth="1"/>
    <col min="1804" max="1804" width="10.7109375" style="1427" customWidth="1"/>
    <col min="1805" max="1807" width="10.7109375" style="1427" bestFit="1" customWidth="1"/>
    <col min="1808" max="1809" width="10.7109375" style="1427" customWidth="1"/>
    <col min="1810" max="1811" width="10.7109375" style="1427" bestFit="1" customWidth="1"/>
    <col min="1812" max="2048" width="9.140625" style="1427"/>
    <col min="2049" max="2049" width="14.140625" style="1427" customWidth="1"/>
    <col min="2050" max="2050" width="66.28515625" style="1427" bestFit="1" customWidth="1"/>
    <col min="2051" max="2051" width="10" style="1427" bestFit="1" customWidth="1"/>
    <col min="2052" max="2053" width="8.5703125" style="1427" bestFit="1" customWidth="1"/>
    <col min="2054" max="2054" width="17.42578125" style="1427" bestFit="1" customWidth="1"/>
    <col min="2055" max="2055" width="17.28515625" style="1427" bestFit="1" customWidth="1"/>
    <col min="2056" max="2057" width="10.7109375" style="1427" customWidth="1"/>
    <col min="2058" max="2059" width="10.7109375" style="1427" bestFit="1" customWidth="1"/>
    <col min="2060" max="2060" width="10.7109375" style="1427" customWidth="1"/>
    <col min="2061" max="2063" width="10.7109375" style="1427" bestFit="1" customWidth="1"/>
    <col min="2064" max="2065" width="10.7109375" style="1427" customWidth="1"/>
    <col min="2066" max="2067" width="10.7109375" style="1427" bestFit="1" customWidth="1"/>
    <col min="2068" max="2304" width="9.140625" style="1427"/>
    <col min="2305" max="2305" width="14.140625" style="1427" customWidth="1"/>
    <col min="2306" max="2306" width="66.28515625" style="1427" bestFit="1" customWidth="1"/>
    <col min="2307" max="2307" width="10" style="1427" bestFit="1" customWidth="1"/>
    <col min="2308" max="2309" width="8.5703125" style="1427" bestFit="1" customWidth="1"/>
    <col min="2310" max="2310" width="17.42578125" style="1427" bestFit="1" customWidth="1"/>
    <col min="2311" max="2311" width="17.28515625" style="1427" bestFit="1" customWidth="1"/>
    <col min="2312" max="2313" width="10.7109375" style="1427" customWidth="1"/>
    <col min="2314" max="2315" width="10.7109375" style="1427" bestFit="1" customWidth="1"/>
    <col min="2316" max="2316" width="10.7109375" style="1427" customWidth="1"/>
    <col min="2317" max="2319" width="10.7109375" style="1427" bestFit="1" customWidth="1"/>
    <col min="2320" max="2321" width="10.7109375" style="1427" customWidth="1"/>
    <col min="2322" max="2323" width="10.7109375" style="1427" bestFit="1" customWidth="1"/>
    <col min="2324" max="2560" width="9.140625" style="1427"/>
    <col min="2561" max="2561" width="14.140625" style="1427" customWidth="1"/>
    <col min="2562" max="2562" width="66.28515625" style="1427" bestFit="1" customWidth="1"/>
    <col min="2563" max="2563" width="10" style="1427" bestFit="1" customWidth="1"/>
    <col min="2564" max="2565" width="8.5703125" style="1427" bestFit="1" customWidth="1"/>
    <col min="2566" max="2566" width="17.42578125" style="1427" bestFit="1" customWidth="1"/>
    <col min="2567" max="2567" width="17.28515625" style="1427" bestFit="1" customWidth="1"/>
    <col min="2568" max="2569" width="10.7109375" style="1427" customWidth="1"/>
    <col min="2570" max="2571" width="10.7109375" style="1427" bestFit="1" customWidth="1"/>
    <col min="2572" max="2572" width="10.7109375" style="1427" customWidth="1"/>
    <col min="2573" max="2575" width="10.7109375" style="1427" bestFit="1" customWidth="1"/>
    <col min="2576" max="2577" width="10.7109375" style="1427" customWidth="1"/>
    <col min="2578" max="2579" width="10.7109375" style="1427" bestFit="1" customWidth="1"/>
    <col min="2580" max="2816" width="9.140625" style="1427"/>
    <col min="2817" max="2817" width="14.140625" style="1427" customWidth="1"/>
    <col min="2818" max="2818" width="66.28515625" style="1427" bestFit="1" customWidth="1"/>
    <col min="2819" max="2819" width="10" style="1427" bestFit="1" customWidth="1"/>
    <col min="2820" max="2821" width="8.5703125" style="1427" bestFit="1" customWidth="1"/>
    <col min="2822" max="2822" width="17.42578125" style="1427" bestFit="1" customWidth="1"/>
    <col min="2823" max="2823" width="17.28515625" style="1427" bestFit="1" customWidth="1"/>
    <col min="2824" max="2825" width="10.7109375" style="1427" customWidth="1"/>
    <col min="2826" max="2827" width="10.7109375" style="1427" bestFit="1" customWidth="1"/>
    <col min="2828" max="2828" width="10.7109375" style="1427" customWidth="1"/>
    <col min="2829" max="2831" width="10.7109375" style="1427" bestFit="1" customWidth="1"/>
    <col min="2832" max="2833" width="10.7109375" style="1427" customWidth="1"/>
    <col min="2834" max="2835" width="10.7109375" style="1427" bestFit="1" customWidth="1"/>
    <col min="2836" max="3072" width="9.140625" style="1427"/>
    <col min="3073" max="3073" width="14.140625" style="1427" customWidth="1"/>
    <col min="3074" max="3074" width="66.28515625" style="1427" bestFit="1" customWidth="1"/>
    <col min="3075" max="3075" width="10" style="1427" bestFit="1" customWidth="1"/>
    <col min="3076" max="3077" width="8.5703125" style="1427" bestFit="1" customWidth="1"/>
    <col min="3078" max="3078" width="17.42578125" style="1427" bestFit="1" customWidth="1"/>
    <col min="3079" max="3079" width="17.28515625" style="1427" bestFit="1" customWidth="1"/>
    <col min="3080" max="3081" width="10.7109375" style="1427" customWidth="1"/>
    <col min="3082" max="3083" width="10.7109375" style="1427" bestFit="1" customWidth="1"/>
    <col min="3084" max="3084" width="10.7109375" style="1427" customWidth="1"/>
    <col min="3085" max="3087" width="10.7109375" style="1427" bestFit="1" customWidth="1"/>
    <col min="3088" max="3089" width="10.7109375" style="1427" customWidth="1"/>
    <col min="3090" max="3091" width="10.7109375" style="1427" bestFit="1" customWidth="1"/>
    <col min="3092" max="3328" width="9.140625" style="1427"/>
    <col min="3329" max="3329" width="14.140625" style="1427" customWidth="1"/>
    <col min="3330" max="3330" width="66.28515625" style="1427" bestFit="1" customWidth="1"/>
    <col min="3331" max="3331" width="10" style="1427" bestFit="1" customWidth="1"/>
    <col min="3332" max="3333" width="8.5703125" style="1427" bestFit="1" customWidth="1"/>
    <col min="3334" max="3334" width="17.42578125" style="1427" bestFit="1" customWidth="1"/>
    <col min="3335" max="3335" width="17.28515625" style="1427" bestFit="1" customWidth="1"/>
    <col min="3336" max="3337" width="10.7109375" style="1427" customWidth="1"/>
    <col min="3338" max="3339" width="10.7109375" style="1427" bestFit="1" customWidth="1"/>
    <col min="3340" max="3340" width="10.7109375" style="1427" customWidth="1"/>
    <col min="3341" max="3343" width="10.7109375" style="1427" bestFit="1" customWidth="1"/>
    <col min="3344" max="3345" width="10.7109375" style="1427" customWidth="1"/>
    <col min="3346" max="3347" width="10.7109375" style="1427" bestFit="1" customWidth="1"/>
    <col min="3348" max="3584" width="9.140625" style="1427"/>
    <col min="3585" max="3585" width="14.140625" style="1427" customWidth="1"/>
    <col min="3586" max="3586" width="66.28515625" style="1427" bestFit="1" customWidth="1"/>
    <col min="3587" max="3587" width="10" style="1427" bestFit="1" customWidth="1"/>
    <col min="3588" max="3589" width="8.5703125" style="1427" bestFit="1" customWidth="1"/>
    <col min="3590" max="3590" width="17.42578125" style="1427" bestFit="1" customWidth="1"/>
    <col min="3591" max="3591" width="17.28515625" style="1427" bestFit="1" customWidth="1"/>
    <col min="3592" max="3593" width="10.7109375" style="1427" customWidth="1"/>
    <col min="3594" max="3595" width="10.7109375" style="1427" bestFit="1" customWidth="1"/>
    <col min="3596" max="3596" width="10.7109375" style="1427" customWidth="1"/>
    <col min="3597" max="3599" width="10.7109375" style="1427" bestFit="1" customWidth="1"/>
    <col min="3600" max="3601" width="10.7109375" style="1427" customWidth="1"/>
    <col min="3602" max="3603" width="10.7109375" style="1427" bestFit="1" customWidth="1"/>
    <col min="3604" max="3840" width="9.140625" style="1427"/>
    <col min="3841" max="3841" width="14.140625" style="1427" customWidth="1"/>
    <col min="3842" max="3842" width="66.28515625" style="1427" bestFit="1" customWidth="1"/>
    <col min="3843" max="3843" width="10" style="1427" bestFit="1" customWidth="1"/>
    <col min="3844" max="3845" width="8.5703125" style="1427" bestFit="1" customWidth="1"/>
    <col min="3846" max="3846" width="17.42578125" style="1427" bestFit="1" customWidth="1"/>
    <col min="3847" max="3847" width="17.28515625" style="1427" bestFit="1" customWidth="1"/>
    <col min="3848" max="3849" width="10.7109375" style="1427" customWidth="1"/>
    <col min="3850" max="3851" width="10.7109375" style="1427" bestFit="1" customWidth="1"/>
    <col min="3852" max="3852" width="10.7109375" style="1427" customWidth="1"/>
    <col min="3853" max="3855" width="10.7109375" style="1427" bestFit="1" customWidth="1"/>
    <col min="3856" max="3857" width="10.7109375" style="1427" customWidth="1"/>
    <col min="3858" max="3859" width="10.7109375" style="1427" bestFit="1" customWidth="1"/>
    <col min="3860" max="4096" width="9.140625" style="1427"/>
    <col min="4097" max="4097" width="14.140625" style="1427" customWidth="1"/>
    <col min="4098" max="4098" width="66.28515625" style="1427" bestFit="1" customWidth="1"/>
    <col min="4099" max="4099" width="10" style="1427" bestFit="1" customWidth="1"/>
    <col min="4100" max="4101" width="8.5703125" style="1427" bestFit="1" customWidth="1"/>
    <col min="4102" max="4102" width="17.42578125" style="1427" bestFit="1" customWidth="1"/>
    <col min="4103" max="4103" width="17.28515625" style="1427" bestFit="1" customWidth="1"/>
    <col min="4104" max="4105" width="10.7109375" style="1427" customWidth="1"/>
    <col min="4106" max="4107" width="10.7109375" style="1427" bestFit="1" customWidth="1"/>
    <col min="4108" max="4108" width="10.7109375" style="1427" customWidth="1"/>
    <col min="4109" max="4111" width="10.7109375" style="1427" bestFit="1" customWidth="1"/>
    <col min="4112" max="4113" width="10.7109375" style="1427" customWidth="1"/>
    <col min="4114" max="4115" width="10.7109375" style="1427" bestFit="1" customWidth="1"/>
    <col min="4116" max="4352" width="9.140625" style="1427"/>
    <col min="4353" max="4353" width="14.140625" style="1427" customWidth="1"/>
    <col min="4354" max="4354" width="66.28515625" style="1427" bestFit="1" customWidth="1"/>
    <col min="4355" max="4355" width="10" style="1427" bestFit="1" customWidth="1"/>
    <col min="4356" max="4357" width="8.5703125" style="1427" bestFit="1" customWidth="1"/>
    <col min="4358" max="4358" width="17.42578125" style="1427" bestFit="1" customWidth="1"/>
    <col min="4359" max="4359" width="17.28515625" style="1427" bestFit="1" customWidth="1"/>
    <col min="4360" max="4361" width="10.7109375" style="1427" customWidth="1"/>
    <col min="4362" max="4363" width="10.7109375" style="1427" bestFit="1" customWidth="1"/>
    <col min="4364" max="4364" width="10.7109375" style="1427" customWidth="1"/>
    <col min="4365" max="4367" width="10.7109375" style="1427" bestFit="1" customWidth="1"/>
    <col min="4368" max="4369" width="10.7109375" style="1427" customWidth="1"/>
    <col min="4370" max="4371" width="10.7109375" style="1427" bestFit="1" customWidth="1"/>
    <col min="4372" max="4608" width="9.140625" style="1427"/>
    <col min="4609" max="4609" width="14.140625" style="1427" customWidth="1"/>
    <col min="4610" max="4610" width="66.28515625" style="1427" bestFit="1" customWidth="1"/>
    <col min="4611" max="4611" width="10" style="1427" bestFit="1" customWidth="1"/>
    <col min="4612" max="4613" width="8.5703125" style="1427" bestFit="1" customWidth="1"/>
    <col min="4614" max="4614" width="17.42578125" style="1427" bestFit="1" customWidth="1"/>
    <col min="4615" max="4615" width="17.28515625" style="1427" bestFit="1" customWidth="1"/>
    <col min="4616" max="4617" width="10.7109375" style="1427" customWidth="1"/>
    <col min="4618" max="4619" width="10.7109375" style="1427" bestFit="1" customWidth="1"/>
    <col min="4620" max="4620" width="10.7109375" style="1427" customWidth="1"/>
    <col min="4621" max="4623" width="10.7109375" style="1427" bestFit="1" customWidth="1"/>
    <col min="4624" max="4625" width="10.7109375" style="1427" customWidth="1"/>
    <col min="4626" max="4627" width="10.7109375" style="1427" bestFit="1" customWidth="1"/>
    <col min="4628" max="4864" width="9.140625" style="1427"/>
    <col min="4865" max="4865" width="14.140625" style="1427" customWidth="1"/>
    <col min="4866" max="4866" width="66.28515625" style="1427" bestFit="1" customWidth="1"/>
    <col min="4867" max="4867" width="10" style="1427" bestFit="1" customWidth="1"/>
    <col min="4868" max="4869" width="8.5703125" style="1427" bestFit="1" customWidth="1"/>
    <col min="4870" max="4870" width="17.42578125" style="1427" bestFit="1" customWidth="1"/>
    <col min="4871" max="4871" width="17.28515625" style="1427" bestFit="1" customWidth="1"/>
    <col min="4872" max="4873" width="10.7109375" style="1427" customWidth="1"/>
    <col min="4874" max="4875" width="10.7109375" style="1427" bestFit="1" customWidth="1"/>
    <col min="4876" max="4876" width="10.7109375" style="1427" customWidth="1"/>
    <col min="4877" max="4879" width="10.7109375" style="1427" bestFit="1" customWidth="1"/>
    <col min="4880" max="4881" width="10.7109375" style="1427" customWidth="1"/>
    <col min="4882" max="4883" width="10.7109375" style="1427" bestFit="1" customWidth="1"/>
    <col min="4884" max="5120" width="9.140625" style="1427"/>
    <col min="5121" max="5121" width="14.140625" style="1427" customWidth="1"/>
    <col min="5122" max="5122" width="66.28515625" style="1427" bestFit="1" customWidth="1"/>
    <col min="5123" max="5123" width="10" style="1427" bestFit="1" customWidth="1"/>
    <col min="5124" max="5125" width="8.5703125" style="1427" bestFit="1" customWidth="1"/>
    <col min="5126" max="5126" width="17.42578125" style="1427" bestFit="1" customWidth="1"/>
    <col min="5127" max="5127" width="17.28515625" style="1427" bestFit="1" customWidth="1"/>
    <col min="5128" max="5129" width="10.7109375" style="1427" customWidth="1"/>
    <col min="5130" max="5131" width="10.7109375" style="1427" bestFit="1" customWidth="1"/>
    <col min="5132" max="5132" width="10.7109375" style="1427" customWidth="1"/>
    <col min="5133" max="5135" width="10.7109375" style="1427" bestFit="1" customWidth="1"/>
    <col min="5136" max="5137" width="10.7109375" style="1427" customWidth="1"/>
    <col min="5138" max="5139" width="10.7109375" style="1427" bestFit="1" customWidth="1"/>
    <col min="5140" max="5376" width="9.140625" style="1427"/>
    <col min="5377" max="5377" width="14.140625" style="1427" customWidth="1"/>
    <col min="5378" max="5378" width="66.28515625" style="1427" bestFit="1" customWidth="1"/>
    <col min="5379" max="5379" width="10" style="1427" bestFit="1" customWidth="1"/>
    <col min="5380" max="5381" width="8.5703125" style="1427" bestFit="1" customWidth="1"/>
    <col min="5382" max="5382" width="17.42578125" style="1427" bestFit="1" customWidth="1"/>
    <col min="5383" max="5383" width="17.28515625" style="1427" bestFit="1" customWidth="1"/>
    <col min="5384" max="5385" width="10.7109375" style="1427" customWidth="1"/>
    <col min="5386" max="5387" width="10.7109375" style="1427" bestFit="1" customWidth="1"/>
    <col min="5388" max="5388" width="10.7109375" style="1427" customWidth="1"/>
    <col min="5389" max="5391" width="10.7109375" style="1427" bestFit="1" customWidth="1"/>
    <col min="5392" max="5393" width="10.7109375" style="1427" customWidth="1"/>
    <col min="5394" max="5395" width="10.7109375" style="1427" bestFit="1" customWidth="1"/>
    <col min="5396" max="5632" width="9.140625" style="1427"/>
    <col min="5633" max="5633" width="14.140625" style="1427" customWidth="1"/>
    <col min="5634" max="5634" width="66.28515625" style="1427" bestFit="1" customWidth="1"/>
    <col min="5635" max="5635" width="10" style="1427" bestFit="1" customWidth="1"/>
    <col min="5636" max="5637" width="8.5703125" style="1427" bestFit="1" customWidth="1"/>
    <col min="5638" max="5638" width="17.42578125" style="1427" bestFit="1" customWidth="1"/>
    <col min="5639" max="5639" width="17.28515625" style="1427" bestFit="1" customWidth="1"/>
    <col min="5640" max="5641" width="10.7109375" style="1427" customWidth="1"/>
    <col min="5642" max="5643" width="10.7109375" style="1427" bestFit="1" customWidth="1"/>
    <col min="5644" max="5644" width="10.7109375" style="1427" customWidth="1"/>
    <col min="5645" max="5647" width="10.7109375" style="1427" bestFit="1" customWidth="1"/>
    <col min="5648" max="5649" width="10.7109375" style="1427" customWidth="1"/>
    <col min="5650" max="5651" width="10.7109375" style="1427" bestFit="1" customWidth="1"/>
    <col min="5652" max="5888" width="9.140625" style="1427"/>
    <col min="5889" max="5889" width="14.140625" style="1427" customWidth="1"/>
    <col min="5890" max="5890" width="66.28515625" style="1427" bestFit="1" customWidth="1"/>
    <col min="5891" max="5891" width="10" style="1427" bestFit="1" customWidth="1"/>
    <col min="5892" max="5893" width="8.5703125" style="1427" bestFit="1" customWidth="1"/>
    <col min="5894" max="5894" width="17.42578125" style="1427" bestFit="1" customWidth="1"/>
    <col min="5895" max="5895" width="17.28515625" style="1427" bestFit="1" customWidth="1"/>
    <col min="5896" max="5897" width="10.7109375" style="1427" customWidth="1"/>
    <col min="5898" max="5899" width="10.7109375" style="1427" bestFit="1" customWidth="1"/>
    <col min="5900" max="5900" width="10.7109375" style="1427" customWidth="1"/>
    <col min="5901" max="5903" width="10.7109375" style="1427" bestFit="1" customWidth="1"/>
    <col min="5904" max="5905" width="10.7109375" style="1427" customWidth="1"/>
    <col min="5906" max="5907" width="10.7109375" style="1427" bestFit="1" customWidth="1"/>
    <col min="5908" max="6144" width="9.140625" style="1427"/>
    <col min="6145" max="6145" width="14.140625" style="1427" customWidth="1"/>
    <col min="6146" max="6146" width="66.28515625" style="1427" bestFit="1" customWidth="1"/>
    <col min="6147" max="6147" width="10" style="1427" bestFit="1" customWidth="1"/>
    <col min="6148" max="6149" width="8.5703125" style="1427" bestFit="1" customWidth="1"/>
    <col min="6150" max="6150" width="17.42578125" style="1427" bestFit="1" customWidth="1"/>
    <col min="6151" max="6151" width="17.28515625" style="1427" bestFit="1" customWidth="1"/>
    <col min="6152" max="6153" width="10.7109375" style="1427" customWidth="1"/>
    <col min="6154" max="6155" width="10.7109375" style="1427" bestFit="1" customWidth="1"/>
    <col min="6156" max="6156" width="10.7109375" style="1427" customWidth="1"/>
    <col min="6157" max="6159" width="10.7109375" style="1427" bestFit="1" customWidth="1"/>
    <col min="6160" max="6161" width="10.7109375" style="1427" customWidth="1"/>
    <col min="6162" max="6163" width="10.7109375" style="1427" bestFit="1" customWidth="1"/>
    <col min="6164" max="6400" width="9.140625" style="1427"/>
    <col min="6401" max="6401" width="14.140625" style="1427" customWidth="1"/>
    <col min="6402" max="6402" width="66.28515625" style="1427" bestFit="1" customWidth="1"/>
    <col min="6403" max="6403" width="10" style="1427" bestFit="1" customWidth="1"/>
    <col min="6404" max="6405" width="8.5703125" style="1427" bestFit="1" customWidth="1"/>
    <col min="6406" max="6406" width="17.42578125" style="1427" bestFit="1" customWidth="1"/>
    <col min="6407" max="6407" width="17.28515625" style="1427" bestFit="1" customWidth="1"/>
    <col min="6408" max="6409" width="10.7109375" style="1427" customWidth="1"/>
    <col min="6410" max="6411" width="10.7109375" style="1427" bestFit="1" customWidth="1"/>
    <col min="6412" max="6412" width="10.7109375" style="1427" customWidth="1"/>
    <col min="6413" max="6415" width="10.7109375" style="1427" bestFit="1" customWidth="1"/>
    <col min="6416" max="6417" width="10.7109375" style="1427" customWidth="1"/>
    <col min="6418" max="6419" width="10.7109375" style="1427" bestFit="1" customWidth="1"/>
    <col min="6420" max="6656" width="9.140625" style="1427"/>
    <col min="6657" max="6657" width="14.140625" style="1427" customWidth="1"/>
    <col min="6658" max="6658" width="66.28515625" style="1427" bestFit="1" customWidth="1"/>
    <col min="6659" max="6659" width="10" style="1427" bestFit="1" customWidth="1"/>
    <col min="6660" max="6661" width="8.5703125" style="1427" bestFit="1" customWidth="1"/>
    <col min="6662" max="6662" width="17.42578125" style="1427" bestFit="1" customWidth="1"/>
    <col min="6663" max="6663" width="17.28515625" style="1427" bestFit="1" customWidth="1"/>
    <col min="6664" max="6665" width="10.7109375" style="1427" customWidth="1"/>
    <col min="6666" max="6667" width="10.7109375" style="1427" bestFit="1" customWidth="1"/>
    <col min="6668" max="6668" width="10.7109375" style="1427" customWidth="1"/>
    <col min="6669" max="6671" width="10.7109375" style="1427" bestFit="1" customWidth="1"/>
    <col min="6672" max="6673" width="10.7109375" style="1427" customWidth="1"/>
    <col min="6674" max="6675" width="10.7109375" style="1427" bestFit="1" customWidth="1"/>
    <col min="6676" max="6912" width="9.140625" style="1427"/>
    <col min="6913" max="6913" width="14.140625" style="1427" customWidth="1"/>
    <col min="6914" max="6914" width="66.28515625" style="1427" bestFit="1" customWidth="1"/>
    <col min="6915" max="6915" width="10" style="1427" bestFit="1" customWidth="1"/>
    <col min="6916" max="6917" width="8.5703125" style="1427" bestFit="1" customWidth="1"/>
    <col min="6918" max="6918" width="17.42578125" style="1427" bestFit="1" customWidth="1"/>
    <col min="6919" max="6919" width="17.28515625" style="1427" bestFit="1" customWidth="1"/>
    <col min="6920" max="6921" width="10.7109375" style="1427" customWidth="1"/>
    <col min="6922" max="6923" width="10.7109375" style="1427" bestFit="1" customWidth="1"/>
    <col min="6924" max="6924" width="10.7109375" style="1427" customWidth="1"/>
    <col min="6925" max="6927" width="10.7109375" style="1427" bestFit="1" customWidth="1"/>
    <col min="6928" max="6929" width="10.7109375" style="1427" customWidth="1"/>
    <col min="6930" max="6931" width="10.7109375" style="1427" bestFit="1" customWidth="1"/>
    <col min="6932" max="7168" width="9.140625" style="1427"/>
    <col min="7169" max="7169" width="14.140625" style="1427" customWidth="1"/>
    <col min="7170" max="7170" width="66.28515625" style="1427" bestFit="1" customWidth="1"/>
    <col min="7171" max="7171" width="10" style="1427" bestFit="1" customWidth="1"/>
    <col min="7172" max="7173" width="8.5703125" style="1427" bestFit="1" customWidth="1"/>
    <col min="7174" max="7174" width="17.42578125" style="1427" bestFit="1" customWidth="1"/>
    <col min="7175" max="7175" width="17.28515625" style="1427" bestFit="1" customWidth="1"/>
    <col min="7176" max="7177" width="10.7109375" style="1427" customWidth="1"/>
    <col min="7178" max="7179" width="10.7109375" style="1427" bestFit="1" customWidth="1"/>
    <col min="7180" max="7180" width="10.7109375" style="1427" customWidth="1"/>
    <col min="7181" max="7183" width="10.7109375" style="1427" bestFit="1" customWidth="1"/>
    <col min="7184" max="7185" width="10.7109375" style="1427" customWidth="1"/>
    <col min="7186" max="7187" width="10.7109375" style="1427" bestFit="1" customWidth="1"/>
    <col min="7188" max="7424" width="9.140625" style="1427"/>
    <col min="7425" max="7425" width="14.140625" style="1427" customWidth="1"/>
    <col min="7426" max="7426" width="66.28515625" style="1427" bestFit="1" customWidth="1"/>
    <col min="7427" max="7427" width="10" style="1427" bestFit="1" customWidth="1"/>
    <col min="7428" max="7429" width="8.5703125" style="1427" bestFit="1" customWidth="1"/>
    <col min="7430" max="7430" width="17.42578125" style="1427" bestFit="1" customWidth="1"/>
    <col min="7431" max="7431" width="17.28515625" style="1427" bestFit="1" customWidth="1"/>
    <col min="7432" max="7433" width="10.7109375" style="1427" customWidth="1"/>
    <col min="7434" max="7435" width="10.7109375" style="1427" bestFit="1" customWidth="1"/>
    <col min="7436" max="7436" width="10.7109375" style="1427" customWidth="1"/>
    <col min="7437" max="7439" width="10.7109375" style="1427" bestFit="1" customWidth="1"/>
    <col min="7440" max="7441" width="10.7109375" style="1427" customWidth="1"/>
    <col min="7442" max="7443" width="10.7109375" style="1427" bestFit="1" customWidth="1"/>
    <col min="7444" max="7680" width="9.140625" style="1427"/>
    <col min="7681" max="7681" width="14.140625" style="1427" customWidth="1"/>
    <col min="7682" max="7682" width="66.28515625" style="1427" bestFit="1" customWidth="1"/>
    <col min="7683" max="7683" width="10" style="1427" bestFit="1" customWidth="1"/>
    <col min="7684" max="7685" width="8.5703125" style="1427" bestFit="1" customWidth="1"/>
    <col min="7686" max="7686" width="17.42578125" style="1427" bestFit="1" customWidth="1"/>
    <col min="7687" max="7687" width="17.28515625" style="1427" bestFit="1" customWidth="1"/>
    <col min="7688" max="7689" width="10.7109375" style="1427" customWidth="1"/>
    <col min="7690" max="7691" width="10.7109375" style="1427" bestFit="1" customWidth="1"/>
    <col min="7692" max="7692" width="10.7109375" style="1427" customWidth="1"/>
    <col min="7693" max="7695" width="10.7109375" style="1427" bestFit="1" customWidth="1"/>
    <col min="7696" max="7697" width="10.7109375" style="1427" customWidth="1"/>
    <col min="7698" max="7699" width="10.7109375" style="1427" bestFit="1" customWidth="1"/>
    <col min="7700" max="7936" width="9.140625" style="1427"/>
    <col min="7937" max="7937" width="14.140625" style="1427" customWidth="1"/>
    <col min="7938" max="7938" width="66.28515625" style="1427" bestFit="1" customWidth="1"/>
    <col min="7939" max="7939" width="10" style="1427" bestFit="1" customWidth="1"/>
    <col min="7940" max="7941" width="8.5703125" style="1427" bestFit="1" customWidth="1"/>
    <col min="7942" max="7942" width="17.42578125" style="1427" bestFit="1" customWidth="1"/>
    <col min="7943" max="7943" width="17.28515625" style="1427" bestFit="1" customWidth="1"/>
    <col min="7944" max="7945" width="10.7109375" style="1427" customWidth="1"/>
    <col min="7946" max="7947" width="10.7109375" style="1427" bestFit="1" customWidth="1"/>
    <col min="7948" max="7948" width="10.7109375" style="1427" customWidth="1"/>
    <col min="7949" max="7951" width="10.7109375" style="1427" bestFit="1" customWidth="1"/>
    <col min="7952" max="7953" width="10.7109375" style="1427" customWidth="1"/>
    <col min="7954" max="7955" width="10.7109375" style="1427" bestFit="1" customWidth="1"/>
    <col min="7956" max="8192" width="9.140625" style="1427"/>
    <col min="8193" max="8193" width="14.140625" style="1427" customWidth="1"/>
    <col min="8194" max="8194" width="66.28515625" style="1427" bestFit="1" customWidth="1"/>
    <col min="8195" max="8195" width="10" style="1427" bestFit="1" customWidth="1"/>
    <col min="8196" max="8197" width="8.5703125" style="1427" bestFit="1" customWidth="1"/>
    <col min="8198" max="8198" width="17.42578125" style="1427" bestFit="1" customWidth="1"/>
    <col min="8199" max="8199" width="17.28515625" style="1427" bestFit="1" customWidth="1"/>
    <col min="8200" max="8201" width="10.7109375" style="1427" customWidth="1"/>
    <col min="8202" max="8203" width="10.7109375" style="1427" bestFit="1" customWidth="1"/>
    <col min="8204" max="8204" width="10.7109375" style="1427" customWidth="1"/>
    <col min="8205" max="8207" width="10.7109375" style="1427" bestFit="1" customWidth="1"/>
    <col min="8208" max="8209" width="10.7109375" style="1427" customWidth="1"/>
    <col min="8210" max="8211" width="10.7109375" style="1427" bestFit="1" customWidth="1"/>
    <col min="8212" max="8448" width="9.140625" style="1427"/>
    <col min="8449" max="8449" width="14.140625" style="1427" customWidth="1"/>
    <col min="8450" max="8450" width="66.28515625" style="1427" bestFit="1" customWidth="1"/>
    <col min="8451" max="8451" width="10" style="1427" bestFit="1" customWidth="1"/>
    <col min="8452" max="8453" width="8.5703125" style="1427" bestFit="1" customWidth="1"/>
    <col min="8454" max="8454" width="17.42578125" style="1427" bestFit="1" customWidth="1"/>
    <col min="8455" max="8455" width="17.28515625" style="1427" bestFit="1" customWidth="1"/>
    <col min="8456" max="8457" width="10.7109375" style="1427" customWidth="1"/>
    <col min="8458" max="8459" width="10.7109375" style="1427" bestFit="1" customWidth="1"/>
    <col min="8460" max="8460" width="10.7109375" style="1427" customWidth="1"/>
    <col min="8461" max="8463" width="10.7109375" style="1427" bestFit="1" customWidth="1"/>
    <col min="8464" max="8465" width="10.7109375" style="1427" customWidth="1"/>
    <col min="8466" max="8467" width="10.7109375" style="1427" bestFit="1" customWidth="1"/>
    <col min="8468" max="8704" width="9.140625" style="1427"/>
    <col min="8705" max="8705" width="14.140625" style="1427" customWidth="1"/>
    <col min="8706" max="8706" width="66.28515625" style="1427" bestFit="1" customWidth="1"/>
    <col min="8707" max="8707" width="10" style="1427" bestFit="1" customWidth="1"/>
    <col min="8708" max="8709" width="8.5703125" style="1427" bestFit="1" customWidth="1"/>
    <col min="8710" max="8710" width="17.42578125" style="1427" bestFit="1" customWidth="1"/>
    <col min="8711" max="8711" width="17.28515625" style="1427" bestFit="1" customWidth="1"/>
    <col min="8712" max="8713" width="10.7109375" style="1427" customWidth="1"/>
    <col min="8714" max="8715" width="10.7109375" style="1427" bestFit="1" customWidth="1"/>
    <col min="8716" max="8716" width="10.7109375" style="1427" customWidth="1"/>
    <col min="8717" max="8719" width="10.7109375" style="1427" bestFit="1" customWidth="1"/>
    <col min="8720" max="8721" width="10.7109375" style="1427" customWidth="1"/>
    <col min="8722" max="8723" width="10.7109375" style="1427" bestFit="1" customWidth="1"/>
    <col min="8724" max="8960" width="9.140625" style="1427"/>
    <col min="8961" max="8961" width="14.140625" style="1427" customWidth="1"/>
    <col min="8962" max="8962" width="66.28515625" style="1427" bestFit="1" customWidth="1"/>
    <col min="8963" max="8963" width="10" style="1427" bestFit="1" customWidth="1"/>
    <col min="8964" max="8965" width="8.5703125" style="1427" bestFit="1" customWidth="1"/>
    <col min="8966" max="8966" width="17.42578125" style="1427" bestFit="1" customWidth="1"/>
    <col min="8967" max="8967" width="17.28515625" style="1427" bestFit="1" customWidth="1"/>
    <col min="8968" max="8969" width="10.7109375" style="1427" customWidth="1"/>
    <col min="8970" max="8971" width="10.7109375" style="1427" bestFit="1" customWidth="1"/>
    <col min="8972" max="8972" width="10.7109375" style="1427" customWidth="1"/>
    <col min="8973" max="8975" width="10.7109375" style="1427" bestFit="1" customWidth="1"/>
    <col min="8976" max="8977" width="10.7109375" style="1427" customWidth="1"/>
    <col min="8978" max="8979" width="10.7109375" style="1427" bestFit="1" customWidth="1"/>
    <col min="8980" max="9216" width="9.140625" style="1427"/>
    <col min="9217" max="9217" width="14.140625" style="1427" customWidth="1"/>
    <col min="9218" max="9218" width="66.28515625" style="1427" bestFit="1" customWidth="1"/>
    <col min="9219" max="9219" width="10" style="1427" bestFit="1" customWidth="1"/>
    <col min="9220" max="9221" width="8.5703125" style="1427" bestFit="1" customWidth="1"/>
    <col min="9222" max="9222" width="17.42578125" style="1427" bestFit="1" customWidth="1"/>
    <col min="9223" max="9223" width="17.28515625" style="1427" bestFit="1" customWidth="1"/>
    <col min="9224" max="9225" width="10.7109375" style="1427" customWidth="1"/>
    <col min="9226" max="9227" width="10.7109375" style="1427" bestFit="1" customWidth="1"/>
    <col min="9228" max="9228" width="10.7109375" style="1427" customWidth="1"/>
    <col min="9229" max="9231" width="10.7109375" style="1427" bestFit="1" customWidth="1"/>
    <col min="9232" max="9233" width="10.7109375" style="1427" customWidth="1"/>
    <col min="9234" max="9235" width="10.7109375" style="1427" bestFit="1" customWidth="1"/>
    <col min="9236" max="9472" width="9.140625" style="1427"/>
    <col min="9473" max="9473" width="14.140625" style="1427" customWidth="1"/>
    <col min="9474" max="9474" width="66.28515625" style="1427" bestFit="1" customWidth="1"/>
    <col min="9475" max="9475" width="10" style="1427" bestFit="1" customWidth="1"/>
    <col min="9476" max="9477" width="8.5703125" style="1427" bestFit="1" customWidth="1"/>
    <col min="9478" max="9478" width="17.42578125" style="1427" bestFit="1" customWidth="1"/>
    <col min="9479" max="9479" width="17.28515625" style="1427" bestFit="1" customWidth="1"/>
    <col min="9480" max="9481" width="10.7109375" style="1427" customWidth="1"/>
    <col min="9482" max="9483" width="10.7109375" style="1427" bestFit="1" customWidth="1"/>
    <col min="9484" max="9484" width="10.7109375" style="1427" customWidth="1"/>
    <col min="9485" max="9487" width="10.7109375" style="1427" bestFit="1" customWidth="1"/>
    <col min="9488" max="9489" width="10.7109375" style="1427" customWidth="1"/>
    <col min="9490" max="9491" width="10.7109375" style="1427" bestFit="1" customWidth="1"/>
    <col min="9492" max="9728" width="9.140625" style="1427"/>
    <col min="9729" max="9729" width="14.140625" style="1427" customWidth="1"/>
    <col min="9730" max="9730" width="66.28515625" style="1427" bestFit="1" customWidth="1"/>
    <col min="9731" max="9731" width="10" style="1427" bestFit="1" customWidth="1"/>
    <col min="9732" max="9733" width="8.5703125" style="1427" bestFit="1" customWidth="1"/>
    <col min="9734" max="9734" width="17.42578125" style="1427" bestFit="1" customWidth="1"/>
    <col min="9735" max="9735" width="17.28515625" style="1427" bestFit="1" customWidth="1"/>
    <col min="9736" max="9737" width="10.7109375" style="1427" customWidth="1"/>
    <col min="9738" max="9739" width="10.7109375" style="1427" bestFit="1" customWidth="1"/>
    <col min="9740" max="9740" width="10.7109375" style="1427" customWidth="1"/>
    <col min="9741" max="9743" width="10.7109375" style="1427" bestFit="1" customWidth="1"/>
    <col min="9744" max="9745" width="10.7109375" style="1427" customWidth="1"/>
    <col min="9746" max="9747" width="10.7109375" style="1427" bestFit="1" customWidth="1"/>
    <col min="9748" max="9984" width="9.140625" style="1427"/>
    <col min="9985" max="9985" width="14.140625" style="1427" customWidth="1"/>
    <col min="9986" max="9986" width="66.28515625" style="1427" bestFit="1" customWidth="1"/>
    <col min="9987" max="9987" width="10" style="1427" bestFit="1" customWidth="1"/>
    <col min="9988" max="9989" width="8.5703125" style="1427" bestFit="1" customWidth="1"/>
    <col min="9990" max="9990" width="17.42578125" style="1427" bestFit="1" customWidth="1"/>
    <col min="9991" max="9991" width="17.28515625" style="1427" bestFit="1" customWidth="1"/>
    <col min="9992" max="9993" width="10.7109375" style="1427" customWidth="1"/>
    <col min="9994" max="9995" width="10.7109375" style="1427" bestFit="1" customWidth="1"/>
    <col min="9996" max="9996" width="10.7109375" style="1427" customWidth="1"/>
    <col min="9997" max="9999" width="10.7109375" style="1427" bestFit="1" customWidth="1"/>
    <col min="10000" max="10001" width="10.7109375" style="1427" customWidth="1"/>
    <col min="10002" max="10003" width="10.7109375" style="1427" bestFit="1" customWidth="1"/>
    <col min="10004" max="10240" width="9.140625" style="1427"/>
    <col min="10241" max="10241" width="14.140625" style="1427" customWidth="1"/>
    <col min="10242" max="10242" width="66.28515625" style="1427" bestFit="1" customWidth="1"/>
    <col min="10243" max="10243" width="10" style="1427" bestFit="1" customWidth="1"/>
    <col min="10244" max="10245" width="8.5703125" style="1427" bestFit="1" customWidth="1"/>
    <col min="10246" max="10246" width="17.42578125" style="1427" bestFit="1" customWidth="1"/>
    <col min="10247" max="10247" width="17.28515625" style="1427" bestFit="1" customWidth="1"/>
    <col min="10248" max="10249" width="10.7109375" style="1427" customWidth="1"/>
    <col min="10250" max="10251" width="10.7109375" style="1427" bestFit="1" customWidth="1"/>
    <col min="10252" max="10252" width="10.7109375" style="1427" customWidth="1"/>
    <col min="10253" max="10255" width="10.7109375" style="1427" bestFit="1" customWidth="1"/>
    <col min="10256" max="10257" width="10.7109375" style="1427" customWidth="1"/>
    <col min="10258" max="10259" width="10.7109375" style="1427" bestFit="1" customWidth="1"/>
    <col min="10260" max="10496" width="9.140625" style="1427"/>
    <col min="10497" max="10497" width="14.140625" style="1427" customWidth="1"/>
    <col min="10498" max="10498" width="66.28515625" style="1427" bestFit="1" customWidth="1"/>
    <col min="10499" max="10499" width="10" style="1427" bestFit="1" customWidth="1"/>
    <col min="10500" max="10501" width="8.5703125" style="1427" bestFit="1" customWidth="1"/>
    <col min="10502" max="10502" width="17.42578125" style="1427" bestFit="1" customWidth="1"/>
    <col min="10503" max="10503" width="17.28515625" style="1427" bestFit="1" customWidth="1"/>
    <col min="10504" max="10505" width="10.7109375" style="1427" customWidth="1"/>
    <col min="10506" max="10507" width="10.7109375" style="1427" bestFit="1" customWidth="1"/>
    <col min="10508" max="10508" width="10.7109375" style="1427" customWidth="1"/>
    <col min="10509" max="10511" width="10.7109375" style="1427" bestFit="1" customWidth="1"/>
    <col min="10512" max="10513" width="10.7109375" style="1427" customWidth="1"/>
    <col min="10514" max="10515" width="10.7109375" style="1427" bestFit="1" customWidth="1"/>
    <col min="10516" max="10752" width="9.140625" style="1427"/>
    <col min="10753" max="10753" width="14.140625" style="1427" customWidth="1"/>
    <col min="10754" max="10754" width="66.28515625" style="1427" bestFit="1" customWidth="1"/>
    <col min="10755" max="10755" width="10" style="1427" bestFit="1" customWidth="1"/>
    <col min="10756" max="10757" width="8.5703125" style="1427" bestFit="1" customWidth="1"/>
    <col min="10758" max="10758" width="17.42578125" style="1427" bestFit="1" customWidth="1"/>
    <col min="10759" max="10759" width="17.28515625" style="1427" bestFit="1" customWidth="1"/>
    <col min="10760" max="10761" width="10.7109375" style="1427" customWidth="1"/>
    <col min="10762" max="10763" width="10.7109375" style="1427" bestFit="1" customWidth="1"/>
    <col min="10764" max="10764" width="10.7109375" style="1427" customWidth="1"/>
    <col min="10765" max="10767" width="10.7109375" style="1427" bestFit="1" customWidth="1"/>
    <col min="10768" max="10769" width="10.7109375" style="1427" customWidth="1"/>
    <col min="10770" max="10771" width="10.7109375" style="1427" bestFit="1" customWidth="1"/>
    <col min="10772" max="11008" width="9.140625" style="1427"/>
    <col min="11009" max="11009" width="14.140625" style="1427" customWidth="1"/>
    <col min="11010" max="11010" width="66.28515625" style="1427" bestFit="1" customWidth="1"/>
    <col min="11011" max="11011" width="10" style="1427" bestFit="1" customWidth="1"/>
    <col min="11012" max="11013" width="8.5703125" style="1427" bestFit="1" customWidth="1"/>
    <col min="11014" max="11014" width="17.42578125" style="1427" bestFit="1" customWidth="1"/>
    <col min="11015" max="11015" width="17.28515625" style="1427" bestFit="1" customWidth="1"/>
    <col min="11016" max="11017" width="10.7109375" style="1427" customWidth="1"/>
    <col min="11018" max="11019" width="10.7109375" style="1427" bestFit="1" customWidth="1"/>
    <col min="11020" max="11020" width="10.7109375" style="1427" customWidth="1"/>
    <col min="11021" max="11023" width="10.7109375" style="1427" bestFit="1" customWidth="1"/>
    <col min="11024" max="11025" width="10.7109375" style="1427" customWidth="1"/>
    <col min="11026" max="11027" width="10.7109375" style="1427" bestFit="1" customWidth="1"/>
    <col min="11028" max="11264" width="9.140625" style="1427"/>
    <col min="11265" max="11265" width="14.140625" style="1427" customWidth="1"/>
    <col min="11266" max="11266" width="66.28515625" style="1427" bestFit="1" customWidth="1"/>
    <col min="11267" max="11267" width="10" style="1427" bestFit="1" customWidth="1"/>
    <col min="11268" max="11269" width="8.5703125" style="1427" bestFit="1" customWidth="1"/>
    <col min="11270" max="11270" width="17.42578125" style="1427" bestFit="1" customWidth="1"/>
    <col min="11271" max="11271" width="17.28515625" style="1427" bestFit="1" customWidth="1"/>
    <col min="11272" max="11273" width="10.7109375" style="1427" customWidth="1"/>
    <col min="11274" max="11275" width="10.7109375" style="1427" bestFit="1" customWidth="1"/>
    <col min="11276" max="11276" width="10.7109375" style="1427" customWidth="1"/>
    <col min="11277" max="11279" width="10.7109375" style="1427" bestFit="1" customWidth="1"/>
    <col min="11280" max="11281" width="10.7109375" style="1427" customWidth="1"/>
    <col min="11282" max="11283" width="10.7109375" style="1427" bestFit="1" customWidth="1"/>
    <col min="11284" max="11520" width="9.140625" style="1427"/>
    <col min="11521" max="11521" width="14.140625" style="1427" customWidth="1"/>
    <col min="11522" max="11522" width="66.28515625" style="1427" bestFit="1" customWidth="1"/>
    <col min="11523" max="11523" width="10" style="1427" bestFit="1" customWidth="1"/>
    <col min="11524" max="11525" width="8.5703125" style="1427" bestFit="1" customWidth="1"/>
    <col min="11526" max="11526" width="17.42578125" style="1427" bestFit="1" customWidth="1"/>
    <col min="11527" max="11527" width="17.28515625" style="1427" bestFit="1" customWidth="1"/>
    <col min="11528" max="11529" width="10.7109375" style="1427" customWidth="1"/>
    <col min="11530" max="11531" width="10.7109375" style="1427" bestFit="1" customWidth="1"/>
    <col min="11532" max="11532" width="10.7109375" style="1427" customWidth="1"/>
    <col min="11533" max="11535" width="10.7109375" style="1427" bestFit="1" customWidth="1"/>
    <col min="11536" max="11537" width="10.7109375" style="1427" customWidth="1"/>
    <col min="11538" max="11539" width="10.7109375" style="1427" bestFit="1" customWidth="1"/>
    <col min="11540" max="11776" width="9.140625" style="1427"/>
    <col min="11777" max="11777" width="14.140625" style="1427" customWidth="1"/>
    <col min="11778" max="11778" width="66.28515625" style="1427" bestFit="1" customWidth="1"/>
    <col min="11779" max="11779" width="10" style="1427" bestFit="1" customWidth="1"/>
    <col min="11780" max="11781" width="8.5703125" style="1427" bestFit="1" customWidth="1"/>
    <col min="11782" max="11782" width="17.42578125" style="1427" bestFit="1" customWidth="1"/>
    <col min="11783" max="11783" width="17.28515625" style="1427" bestFit="1" customWidth="1"/>
    <col min="11784" max="11785" width="10.7109375" style="1427" customWidth="1"/>
    <col min="11786" max="11787" width="10.7109375" style="1427" bestFit="1" customWidth="1"/>
    <col min="11788" max="11788" width="10.7109375" style="1427" customWidth="1"/>
    <col min="11789" max="11791" width="10.7109375" style="1427" bestFit="1" customWidth="1"/>
    <col min="11792" max="11793" width="10.7109375" style="1427" customWidth="1"/>
    <col min="11794" max="11795" width="10.7109375" style="1427" bestFit="1" customWidth="1"/>
    <col min="11796" max="12032" width="9.140625" style="1427"/>
    <col min="12033" max="12033" width="14.140625" style="1427" customWidth="1"/>
    <col min="12034" max="12034" width="66.28515625" style="1427" bestFit="1" customWidth="1"/>
    <col min="12035" max="12035" width="10" style="1427" bestFit="1" customWidth="1"/>
    <col min="12036" max="12037" width="8.5703125" style="1427" bestFit="1" customWidth="1"/>
    <col min="12038" max="12038" width="17.42578125" style="1427" bestFit="1" customWidth="1"/>
    <col min="12039" max="12039" width="17.28515625" style="1427" bestFit="1" customWidth="1"/>
    <col min="12040" max="12041" width="10.7109375" style="1427" customWidth="1"/>
    <col min="12042" max="12043" width="10.7109375" style="1427" bestFit="1" customWidth="1"/>
    <col min="12044" max="12044" width="10.7109375" style="1427" customWidth="1"/>
    <col min="12045" max="12047" width="10.7109375" style="1427" bestFit="1" customWidth="1"/>
    <col min="12048" max="12049" width="10.7109375" style="1427" customWidth="1"/>
    <col min="12050" max="12051" width="10.7109375" style="1427" bestFit="1" customWidth="1"/>
    <col min="12052" max="12288" width="9.140625" style="1427"/>
    <col min="12289" max="12289" width="14.140625" style="1427" customWidth="1"/>
    <col min="12290" max="12290" width="66.28515625" style="1427" bestFit="1" customWidth="1"/>
    <col min="12291" max="12291" width="10" style="1427" bestFit="1" customWidth="1"/>
    <col min="12292" max="12293" width="8.5703125" style="1427" bestFit="1" customWidth="1"/>
    <col min="12294" max="12294" width="17.42578125" style="1427" bestFit="1" customWidth="1"/>
    <col min="12295" max="12295" width="17.28515625" style="1427" bestFit="1" customWidth="1"/>
    <col min="12296" max="12297" width="10.7109375" style="1427" customWidth="1"/>
    <col min="12298" max="12299" width="10.7109375" style="1427" bestFit="1" customWidth="1"/>
    <col min="12300" max="12300" width="10.7109375" style="1427" customWidth="1"/>
    <col min="12301" max="12303" width="10.7109375" style="1427" bestFit="1" customWidth="1"/>
    <col min="12304" max="12305" width="10.7109375" style="1427" customWidth="1"/>
    <col min="12306" max="12307" width="10.7109375" style="1427" bestFit="1" customWidth="1"/>
    <col min="12308" max="12544" width="9.140625" style="1427"/>
    <col min="12545" max="12545" width="14.140625" style="1427" customWidth="1"/>
    <col min="12546" max="12546" width="66.28515625" style="1427" bestFit="1" customWidth="1"/>
    <col min="12547" max="12547" width="10" style="1427" bestFit="1" customWidth="1"/>
    <col min="12548" max="12549" width="8.5703125" style="1427" bestFit="1" customWidth="1"/>
    <col min="12550" max="12550" width="17.42578125" style="1427" bestFit="1" customWidth="1"/>
    <col min="12551" max="12551" width="17.28515625" style="1427" bestFit="1" customWidth="1"/>
    <col min="12552" max="12553" width="10.7109375" style="1427" customWidth="1"/>
    <col min="12554" max="12555" width="10.7109375" style="1427" bestFit="1" customWidth="1"/>
    <col min="12556" max="12556" width="10.7109375" style="1427" customWidth="1"/>
    <col min="12557" max="12559" width="10.7109375" style="1427" bestFit="1" customWidth="1"/>
    <col min="12560" max="12561" width="10.7109375" style="1427" customWidth="1"/>
    <col min="12562" max="12563" width="10.7109375" style="1427" bestFit="1" customWidth="1"/>
    <col min="12564" max="12800" width="9.140625" style="1427"/>
    <col min="12801" max="12801" width="14.140625" style="1427" customWidth="1"/>
    <col min="12802" max="12802" width="66.28515625" style="1427" bestFit="1" customWidth="1"/>
    <col min="12803" max="12803" width="10" style="1427" bestFit="1" customWidth="1"/>
    <col min="12804" max="12805" width="8.5703125" style="1427" bestFit="1" customWidth="1"/>
    <col min="12806" max="12806" width="17.42578125" style="1427" bestFit="1" customWidth="1"/>
    <col min="12807" max="12807" width="17.28515625" style="1427" bestFit="1" customWidth="1"/>
    <col min="12808" max="12809" width="10.7109375" style="1427" customWidth="1"/>
    <col min="12810" max="12811" width="10.7109375" style="1427" bestFit="1" customWidth="1"/>
    <col min="12812" max="12812" width="10.7109375" style="1427" customWidth="1"/>
    <col min="12813" max="12815" width="10.7109375" style="1427" bestFit="1" customWidth="1"/>
    <col min="12816" max="12817" width="10.7109375" style="1427" customWidth="1"/>
    <col min="12818" max="12819" width="10.7109375" style="1427" bestFit="1" customWidth="1"/>
    <col min="12820" max="13056" width="9.140625" style="1427"/>
    <col min="13057" max="13057" width="14.140625" style="1427" customWidth="1"/>
    <col min="13058" max="13058" width="66.28515625" style="1427" bestFit="1" customWidth="1"/>
    <col min="13059" max="13059" width="10" style="1427" bestFit="1" customWidth="1"/>
    <col min="13060" max="13061" width="8.5703125" style="1427" bestFit="1" customWidth="1"/>
    <col min="13062" max="13062" width="17.42578125" style="1427" bestFit="1" customWidth="1"/>
    <col min="13063" max="13063" width="17.28515625" style="1427" bestFit="1" customWidth="1"/>
    <col min="13064" max="13065" width="10.7109375" style="1427" customWidth="1"/>
    <col min="13066" max="13067" width="10.7109375" style="1427" bestFit="1" customWidth="1"/>
    <col min="13068" max="13068" width="10.7109375" style="1427" customWidth="1"/>
    <col min="13069" max="13071" width="10.7109375" style="1427" bestFit="1" customWidth="1"/>
    <col min="13072" max="13073" width="10.7109375" style="1427" customWidth="1"/>
    <col min="13074" max="13075" width="10.7109375" style="1427" bestFit="1" customWidth="1"/>
    <col min="13076" max="13312" width="9.140625" style="1427"/>
    <col min="13313" max="13313" width="14.140625" style="1427" customWidth="1"/>
    <col min="13314" max="13314" width="66.28515625" style="1427" bestFit="1" customWidth="1"/>
    <col min="13315" max="13315" width="10" style="1427" bestFit="1" customWidth="1"/>
    <col min="13316" max="13317" width="8.5703125" style="1427" bestFit="1" customWidth="1"/>
    <col min="13318" max="13318" width="17.42578125" style="1427" bestFit="1" customWidth="1"/>
    <col min="13319" max="13319" width="17.28515625" style="1427" bestFit="1" customWidth="1"/>
    <col min="13320" max="13321" width="10.7109375" style="1427" customWidth="1"/>
    <col min="13322" max="13323" width="10.7109375" style="1427" bestFit="1" customWidth="1"/>
    <col min="13324" max="13324" width="10.7109375" style="1427" customWidth="1"/>
    <col min="13325" max="13327" width="10.7109375" style="1427" bestFit="1" customWidth="1"/>
    <col min="13328" max="13329" width="10.7109375" style="1427" customWidth="1"/>
    <col min="13330" max="13331" width="10.7109375" style="1427" bestFit="1" customWidth="1"/>
    <col min="13332" max="13568" width="9.140625" style="1427"/>
    <col min="13569" max="13569" width="14.140625" style="1427" customWidth="1"/>
    <col min="13570" max="13570" width="66.28515625" style="1427" bestFit="1" customWidth="1"/>
    <col min="13571" max="13571" width="10" style="1427" bestFit="1" customWidth="1"/>
    <col min="13572" max="13573" width="8.5703125" style="1427" bestFit="1" customWidth="1"/>
    <col min="13574" max="13574" width="17.42578125" style="1427" bestFit="1" customWidth="1"/>
    <col min="13575" max="13575" width="17.28515625" style="1427" bestFit="1" customWidth="1"/>
    <col min="13576" max="13577" width="10.7109375" style="1427" customWidth="1"/>
    <col min="13578" max="13579" width="10.7109375" style="1427" bestFit="1" customWidth="1"/>
    <col min="13580" max="13580" width="10.7109375" style="1427" customWidth="1"/>
    <col min="13581" max="13583" width="10.7109375" style="1427" bestFit="1" customWidth="1"/>
    <col min="13584" max="13585" width="10.7109375" style="1427" customWidth="1"/>
    <col min="13586" max="13587" width="10.7109375" style="1427" bestFit="1" customWidth="1"/>
    <col min="13588" max="13824" width="9.140625" style="1427"/>
    <col min="13825" max="13825" width="14.140625" style="1427" customWidth="1"/>
    <col min="13826" max="13826" width="66.28515625" style="1427" bestFit="1" customWidth="1"/>
    <col min="13827" max="13827" width="10" style="1427" bestFit="1" customWidth="1"/>
    <col min="13828" max="13829" width="8.5703125" style="1427" bestFit="1" customWidth="1"/>
    <col min="13830" max="13830" width="17.42578125" style="1427" bestFit="1" customWidth="1"/>
    <col min="13831" max="13831" width="17.28515625" style="1427" bestFit="1" customWidth="1"/>
    <col min="13832" max="13833" width="10.7109375" style="1427" customWidth="1"/>
    <col min="13834" max="13835" width="10.7109375" style="1427" bestFit="1" customWidth="1"/>
    <col min="13836" max="13836" width="10.7109375" style="1427" customWidth="1"/>
    <col min="13837" max="13839" width="10.7109375" style="1427" bestFit="1" customWidth="1"/>
    <col min="13840" max="13841" width="10.7109375" style="1427" customWidth="1"/>
    <col min="13842" max="13843" width="10.7109375" style="1427" bestFit="1" customWidth="1"/>
    <col min="13844" max="14080" width="9.140625" style="1427"/>
    <col min="14081" max="14081" width="14.140625" style="1427" customWidth="1"/>
    <col min="14082" max="14082" width="66.28515625" style="1427" bestFit="1" customWidth="1"/>
    <col min="14083" max="14083" width="10" style="1427" bestFit="1" customWidth="1"/>
    <col min="14084" max="14085" width="8.5703125" style="1427" bestFit="1" customWidth="1"/>
    <col min="14086" max="14086" width="17.42578125" style="1427" bestFit="1" customWidth="1"/>
    <col min="14087" max="14087" width="17.28515625" style="1427" bestFit="1" customWidth="1"/>
    <col min="14088" max="14089" width="10.7109375" style="1427" customWidth="1"/>
    <col min="14090" max="14091" width="10.7109375" style="1427" bestFit="1" customWidth="1"/>
    <col min="14092" max="14092" width="10.7109375" style="1427" customWidth="1"/>
    <col min="14093" max="14095" width="10.7109375" style="1427" bestFit="1" customWidth="1"/>
    <col min="14096" max="14097" width="10.7109375" style="1427" customWidth="1"/>
    <col min="14098" max="14099" width="10.7109375" style="1427" bestFit="1" customWidth="1"/>
    <col min="14100" max="14336" width="9.140625" style="1427"/>
    <col min="14337" max="14337" width="14.140625" style="1427" customWidth="1"/>
    <col min="14338" max="14338" width="66.28515625" style="1427" bestFit="1" customWidth="1"/>
    <col min="14339" max="14339" width="10" style="1427" bestFit="1" customWidth="1"/>
    <col min="14340" max="14341" width="8.5703125" style="1427" bestFit="1" customWidth="1"/>
    <col min="14342" max="14342" width="17.42578125" style="1427" bestFit="1" customWidth="1"/>
    <col min="14343" max="14343" width="17.28515625" style="1427" bestFit="1" customWidth="1"/>
    <col min="14344" max="14345" width="10.7109375" style="1427" customWidth="1"/>
    <col min="14346" max="14347" width="10.7109375" style="1427" bestFit="1" customWidth="1"/>
    <col min="14348" max="14348" width="10.7109375" style="1427" customWidth="1"/>
    <col min="14349" max="14351" width="10.7109375" style="1427" bestFit="1" customWidth="1"/>
    <col min="14352" max="14353" width="10.7109375" style="1427" customWidth="1"/>
    <col min="14354" max="14355" width="10.7109375" style="1427" bestFit="1" customWidth="1"/>
    <col min="14356" max="14592" width="9.140625" style="1427"/>
    <col min="14593" max="14593" width="14.140625" style="1427" customWidth="1"/>
    <col min="14594" max="14594" width="66.28515625" style="1427" bestFit="1" customWidth="1"/>
    <col min="14595" max="14595" width="10" style="1427" bestFit="1" customWidth="1"/>
    <col min="14596" max="14597" width="8.5703125" style="1427" bestFit="1" customWidth="1"/>
    <col min="14598" max="14598" width="17.42578125" style="1427" bestFit="1" customWidth="1"/>
    <col min="14599" max="14599" width="17.28515625" style="1427" bestFit="1" customWidth="1"/>
    <col min="14600" max="14601" width="10.7109375" style="1427" customWidth="1"/>
    <col min="14602" max="14603" width="10.7109375" style="1427" bestFit="1" customWidth="1"/>
    <col min="14604" max="14604" width="10.7109375" style="1427" customWidth="1"/>
    <col min="14605" max="14607" width="10.7109375" style="1427" bestFit="1" customWidth="1"/>
    <col min="14608" max="14609" width="10.7109375" style="1427" customWidth="1"/>
    <col min="14610" max="14611" width="10.7109375" style="1427" bestFit="1" customWidth="1"/>
    <col min="14612" max="14848" width="9.140625" style="1427"/>
    <col min="14849" max="14849" width="14.140625" style="1427" customWidth="1"/>
    <col min="14850" max="14850" width="66.28515625" style="1427" bestFit="1" customWidth="1"/>
    <col min="14851" max="14851" width="10" style="1427" bestFit="1" customWidth="1"/>
    <col min="14852" max="14853" width="8.5703125" style="1427" bestFit="1" customWidth="1"/>
    <col min="14854" max="14854" width="17.42578125" style="1427" bestFit="1" customWidth="1"/>
    <col min="14855" max="14855" width="17.28515625" style="1427" bestFit="1" customWidth="1"/>
    <col min="14856" max="14857" width="10.7109375" style="1427" customWidth="1"/>
    <col min="14858" max="14859" width="10.7109375" style="1427" bestFit="1" customWidth="1"/>
    <col min="14860" max="14860" width="10.7109375" style="1427" customWidth="1"/>
    <col min="14861" max="14863" width="10.7109375" style="1427" bestFit="1" customWidth="1"/>
    <col min="14864" max="14865" width="10.7109375" style="1427" customWidth="1"/>
    <col min="14866" max="14867" width="10.7109375" style="1427" bestFit="1" customWidth="1"/>
    <col min="14868" max="15104" width="9.140625" style="1427"/>
    <col min="15105" max="15105" width="14.140625" style="1427" customWidth="1"/>
    <col min="15106" max="15106" width="66.28515625" style="1427" bestFit="1" customWidth="1"/>
    <col min="15107" max="15107" width="10" style="1427" bestFit="1" customWidth="1"/>
    <col min="15108" max="15109" width="8.5703125" style="1427" bestFit="1" customWidth="1"/>
    <col min="15110" max="15110" width="17.42578125" style="1427" bestFit="1" customWidth="1"/>
    <col min="15111" max="15111" width="17.28515625" style="1427" bestFit="1" customWidth="1"/>
    <col min="15112" max="15113" width="10.7109375" style="1427" customWidth="1"/>
    <col min="15114" max="15115" width="10.7109375" style="1427" bestFit="1" customWidth="1"/>
    <col min="15116" max="15116" width="10.7109375" style="1427" customWidth="1"/>
    <col min="15117" max="15119" width="10.7109375" style="1427" bestFit="1" customWidth="1"/>
    <col min="15120" max="15121" width="10.7109375" style="1427" customWidth="1"/>
    <col min="15122" max="15123" width="10.7109375" style="1427" bestFit="1" customWidth="1"/>
    <col min="15124" max="15360" width="9.140625" style="1427"/>
    <col min="15361" max="15361" width="14.140625" style="1427" customWidth="1"/>
    <col min="15362" max="15362" width="66.28515625" style="1427" bestFit="1" customWidth="1"/>
    <col min="15363" max="15363" width="10" style="1427" bestFit="1" customWidth="1"/>
    <col min="15364" max="15365" width="8.5703125" style="1427" bestFit="1" customWidth="1"/>
    <col min="15366" max="15366" width="17.42578125" style="1427" bestFit="1" customWidth="1"/>
    <col min="15367" max="15367" width="17.28515625" style="1427" bestFit="1" customWidth="1"/>
    <col min="15368" max="15369" width="10.7109375" style="1427" customWidth="1"/>
    <col min="15370" max="15371" width="10.7109375" style="1427" bestFit="1" customWidth="1"/>
    <col min="15372" max="15372" width="10.7109375" style="1427" customWidth="1"/>
    <col min="15373" max="15375" width="10.7109375" style="1427" bestFit="1" customWidth="1"/>
    <col min="15376" max="15377" width="10.7109375" style="1427" customWidth="1"/>
    <col min="15378" max="15379" width="10.7109375" style="1427" bestFit="1" customWidth="1"/>
    <col min="15380" max="15616" width="9.140625" style="1427"/>
    <col min="15617" max="15617" width="14.140625" style="1427" customWidth="1"/>
    <col min="15618" max="15618" width="66.28515625" style="1427" bestFit="1" customWidth="1"/>
    <col min="15619" max="15619" width="10" style="1427" bestFit="1" customWidth="1"/>
    <col min="15620" max="15621" width="8.5703125" style="1427" bestFit="1" customWidth="1"/>
    <col min="15622" max="15622" width="17.42578125" style="1427" bestFit="1" customWidth="1"/>
    <col min="15623" max="15623" width="17.28515625" style="1427" bestFit="1" customWidth="1"/>
    <col min="15624" max="15625" width="10.7109375" style="1427" customWidth="1"/>
    <col min="15626" max="15627" width="10.7109375" style="1427" bestFit="1" customWidth="1"/>
    <col min="15628" max="15628" width="10.7109375" style="1427" customWidth="1"/>
    <col min="15629" max="15631" width="10.7109375" style="1427" bestFit="1" customWidth="1"/>
    <col min="15632" max="15633" width="10.7109375" style="1427" customWidth="1"/>
    <col min="15634" max="15635" width="10.7109375" style="1427" bestFit="1" customWidth="1"/>
    <col min="15636" max="15872" width="9.140625" style="1427"/>
    <col min="15873" max="15873" width="14.140625" style="1427" customWidth="1"/>
    <col min="15874" max="15874" width="66.28515625" style="1427" bestFit="1" customWidth="1"/>
    <col min="15875" max="15875" width="10" style="1427" bestFit="1" customWidth="1"/>
    <col min="15876" max="15877" width="8.5703125" style="1427" bestFit="1" customWidth="1"/>
    <col min="15878" max="15878" width="17.42578125" style="1427" bestFit="1" customWidth="1"/>
    <col min="15879" max="15879" width="17.28515625" style="1427" bestFit="1" customWidth="1"/>
    <col min="15880" max="15881" width="10.7109375" style="1427" customWidth="1"/>
    <col min="15882" max="15883" width="10.7109375" style="1427" bestFit="1" customWidth="1"/>
    <col min="15884" max="15884" width="10.7109375" style="1427" customWidth="1"/>
    <col min="15885" max="15887" width="10.7109375" style="1427" bestFit="1" customWidth="1"/>
    <col min="15888" max="15889" width="10.7109375" style="1427" customWidth="1"/>
    <col min="15890" max="15891" width="10.7109375" style="1427" bestFit="1" customWidth="1"/>
    <col min="15892" max="16128" width="9.140625" style="1427"/>
    <col min="16129" max="16129" width="14.140625" style="1427" customWidth="1"/>
    <col min="16130" max="16130" width="66.28515625" style="1427" bestFit="1" customWidth="1"/>
    <col min="16131" max="16131" width="10" style="1427" bestFit="1" customWidth="1"/>
    <col min="16132" max="16133" width="8.5703125" style="1427" bestFit="1" customWidth="1"/>
    <col min="16134" max="16134" width="17.42578125" style="1427" bestFit="1" customWidth="1"/>
    <col min="16135" max="16135" width="17.28515625" style="1427" bestFit="1" customWidth="1"/>
    <col min="16136" max="16137" width="10.7109375" style="1427" customWidth="1"/>
    <col min="16138" max="16139" width="10.7109375" style="1427" bestFit="1" customWidth="1"/>
    <col min="16140" max="16140" width="10.7109375" style="1427" customWidth="1"/>
    <col min="16141" max="16143" width="10.7109375" style="1427" bestFit="1" customWidth="1"/>
    <col min="16144" max="16145" width="10.7109375" style="1427" customWidth="1"/>
    <col min="16146" max="16147" width="10.7109375" style="1427" bestFit="1" customWidth="1"/>
    <col min="16148" max="16384" width="9.140625" style="1427"/>
  </cols>
  <sheetData>
    <row r="1" spans="1:135" s="1435"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1427"/>
      <c r="AC1" s="1427"/>
      <c r="AD1" s="1427"/>
      <c r="AE1" s="1427"/>
    </row>
    <row r="2" spans="1:135" s="1435" customFormat="1" ht="24.95" customHeight="1">
      <c r="B2" s="3054" t="str">
        <f>INDEX(dms_TradingNameFull_List,MATCH(dms_TradingName,dms_TradingName_List))</f>
        <v>AusNet Gas Services</v>
      </c>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7"/>
      <c r="AC2" s="1427"/>
      <c r="AD2" s="1427"/>
      <c r="AE2" s="1427"/>
    </row>
    <row r="3" spans="1:135" s="1435" customFormat="1" ht="24.95" customHeight="1">
      <c r="B3" s="3054" t="str">
        <f ca="1">IF(SUM(dms_SingleYear_Model)&gt;0,CRY,CONCATENATE(FRCP_y1," to ",dms_MultiYear_FinalYear_Result))</f>
        <v>2018 to 2022</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7"/>
      <c r="AC3" s="1427"/>
      <c r="AD3" s="1427"/>
      <c r="AE3" s="1427"/>
    </row>
    <row r="4" spans="1:135" s="1435" customFormat="1" ht="24" customHeight="1">
      <c r="B4" s="10" t="s">
        <v>1505</v>
      </c>
      <c r="C4" s="12"/>
      <c r="D4" s="12"/>
      <c r="E4" s="12"/>
      <c r="F4" s="12"/>
      <c r="G4" s="12"/>
      <c r="H4" s="12"/>
      <c r="I4" s="12"/>
      <c r="J4" s="12"/>
      <c r="K4" s="12"/>
      <c r="L4" s="12"/>
      <c r="M4" s="12"/>
      <c r="N4" s="12"/>
      <c r="O4" s="12"/>
      <c r="P4" s="12"/>
      <c r="Q4" s="12"/>
      <c r="R4" s="12"/>
      <c r="S4" s="12"/>
      <c r="T4" s="12"/>
      <c r="U4" s="12"/>
      <c r="V4" s="12"/>
      <c r="W4" s="12"/>
      <c r="X4" s="12"/>
      <c r="Y4" s="12"/>
      <c r="Z4" s="12"/>
      <c r="AA4" s="12"/>
      <c r="AB4" s="1427"/>
      <c r="AC4" s="1427"/>
      <c r="AD4" s="1427"/>
      <c r="AE4" s="1427"/>
    </row>
    <row r="5" spans="1:135">
      <c r="A5" s="409"/>
      <c r="B5" s="1429"/>
      <c r="C5" s="1429"/>
      <c r="D5" s="1429"/>
      <c r="E5" s="1429"/>
      <c r="F5" s="1429"/>
      <c r="G5" s="1429"/>
      <c r="H5" s="1429"/>
      <c r="I5" s="1429"/>
      <c r="J5" s="1429"/>
      <c r="K5" s="1429"/>
      <c r="L5" s="1429"/>
      <c r="M5" s="1429"/>
      <c r="N5" s="1429"/>
      <c r="O5" s="1429"/>
      <c r="P5" s="1429"/>
      <c r="Q5" s="1429"/>
      <c r="R5" s="1429"/>
      <c r="S5" s="1429"/>
      <c r="T5" s="1429"/>
      <c r="U5" s="1429"/>
      <c r="V5" s="1429"/>
      <c r="W5" s="1429"/>
      <c r="X5" s="1429"/>
      <c r="Y5" s="1429"/>
      <c r="Z5" s="1429"/>
      <c r="AA5" s="1429"/>
    </row>
    <row r="6" spans="1:135">
      <c r="A6" s="1429"/>
      <c r="B6" s="1429"/>
      <c r="C6" s="1429"/>
      <c r="D6" s="1429"/>
      <c r="E6" s="1429"/>
      <c r="F6" s="1429"/>
      <c r="G6" s="1429"/>
      <c r="H6" s="1429"/>
      <c r="I6" s="1429"/>
      <c r="J6" s="1429"/>
      <c r="K6" s="1429"/>
      <c r="L6" s="1429"/>
      <c r="M6" s="1429"/>
      <c r="N6" s="1429"/>
      <c r="O6" s="1429"/>
      <c r="P6" s="1429"/>
      <c r="Q6" s="1429"/>
      <c r="R6" s="1429"/>
      <c r="S6" s="1429"/>
      <c r="T6" s="1429"/>
      <c r="U6" s="1429"/>
      <c r="V6" s="1429"/>
      <c r="W6" s="1429"/>
      <c r="X6" s="1429"/>
      <c r="Y6" s="1429"/>
      <c r="Z6" s="1429"/>
      <c r="AA6" s="1429"/>
    </row>
    <row r="7" spans="1:135">
      <c r="A7" s="1429"/>
      <c r="B7" s="4097" t="s">
        <v>59</v>
      </c>
      <c r="C7" s="4097"/>
      <c r="D7" s="4097"/>
      <c r="E7" s="4097"/>
      <c r="F7" s="4097"/>
      <c r="G7" s="4097"/>
      <c r="H7" s="1429"/>
      <c r="I7" s="1429"/>
      <c r="J7" s="1429"/>
      <c r="K7" s="1429"/>
      <c r="L7" s="1429"/>
      <c r="M7" s="1429"/>
      <c r="N7" s="1429"/>
      <c r="O7" s="1429"/>
      <c r="P7" s="1429"/>
      <c r="Q7" s="1429"/>
      <c r="R7" s="1429"/>
      <c r="S7" s="1429"/>
      <c r="T7" s="1429"/>
      <c r="U7" s="1429"/>
      <c r="V7" s="1429"/>
      <c r="W7" s="1429"/>
      <c r="X7" s="1429"/>
      <c r="Y7" s="1429"/>
      <c r="Z7" s="1429"/>
      <c r="AA7" s="1429"/>
    </row>
    <row r="8" spans="1:135">
      <c r="A8" s="1429"/>
      <c r="B8" s="4061" t="s">
        <v>244</v>
      </c>
      <c r="C8" s="4061"/>
      <c r="D8" s="4061"/>
      <c r="E8" s="4061"/>
      <c r="F8" s="4061"/>
      <c r="G8" s="4061"/>
      <c r="H8" s="1429"/>
      <c r="I8" s="1429"/>
      <c r="J8" s="1429"/>
      <c r="K8" s="1429"/>
      <c r="L8" s="1429"/>
      <c r="M8" s="1429"/>
      <c r="N8" s="1429"/>
      <c r="O8" s="1429"/>
      <c r="P8" s="1429"/>
      <c r="Q8" s="1429"/>
      <c r="R8" s="1429"/>
      <c r="S8" s="1429"/>
      <c r="T8" s="1429"/>
      <c r="U8" s="1429"/>
      <c r="V8" s="1429"/>
      <c r="W8" s="1429"/>
      <c r="X8" s="1429"/>
      <c r="Y8" s="1429"/>
      <c r="Z8" s="1429"/>
      <c r="AA8" s="1429"/>
    </row>
    <row r="9" spans="1:135" ht="29.25" customHeight="1">
      <c r="A9" s="1429"/>
      <c r="B9" s="4061" t="s">
        <v>511</v>
      </c>
      <c r="C9" s="4061"/>
      <c r="D9" s="4061"/>
      <c r="E9" s="4061"/>
      <c r="F9" s="4061"/>
      <c r="G9" s="4061"/>
      <c r="H9" s="1429"/>
      <c r="I9" s="1429"/>
      <c r="J9" s="1429"/>
      <c r="K9" s="1429"/>
      <c r="L9" s="1429"/>
      <c r="M9" s="1429"/>
      <c r="N9" s="1429"/>
      <c r="O9" s="1429"/>
      <c r="P9" s="1429"/>
      <c r="Q9" s="1429"/>
      <c r="R9" s="1429"/>
      <c r="S9" s="1429"/>
      <c r="T9" s="1429"/>
      <c r="U9" s="1429"/>
      <c r="V9" s="1429"/>
      <c r="W9" s="1429"/>
      <c r="X9" s="1429"/>
      <c r="Y9" s="1429"/>
      <c r="Z9" s="1429"/>
      <c r="AA9" s="1429"/>
    </row>
    <row r="10" spans="1:135" ht="27" customHeight="1">
      <c r="A10" s="1429"/>
      <c r="B10" s="4144" t="s">
        <v>421</v>
      </c>
      <c r="C10" s="4145"/>
      <c r="D10" s="4145"/>
      <c r="E10" s="4145"/>
      <c r="F10" s="4145"/>
      <c r="G10" s="4145"/>
      <c r="H10" s="1429"/>
      <c r="I10" s="1429"/>
      <c r="J10" s="1429"/>
      <c r="K10" s="1429"/>
      <c r="L10" s="1429"/>
      <c r="M10" s="1429"/>
      <c r="N10" s="1429"/>
      <c r="O10" s="1429"/>
      <c r="P10" s="1429"/>
      <c r="Q10" s="1429"/>
      <c r="R10" s="1429"/>
      <c r="S10" s="1429"/>
      <c r="T10" s="1429"/>
      <c r="U10" s="1429"/>
      <c r="V10" s="1429"/>
      <c r="W10" s="1429"/>
      <c r="X10" s="1429"/>
      <c r="Y10" s="1429"/>
      <c r="Z10" s="1429"/>
      <c r="AA10" s="1429"/>
    </row>
    <row r="11" spans="1:135" ht="35.25" customHeight="1">
      <c r="A11" s="1429"/>
      <c r="C11" s="1429"/>
      <c r="D11" s="1429"/>
      <c r="E11" s="1429"/>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row>
    <row r="12" spans="1:135">
      <c r="A12" s="1429"/>
      <c r="B12" s="1059" t="s">
        <v>270</v>
      </c>
      <c r="C12" s="1429"/>
      <c r="D12" s="1429"/>
      <c r="E12" s="1429"/>
      <c r="F12" s="1429"/>
      <c r="G12" s="1429"/>
      <c r="H12" s="1429"/>
      <c r="I12" s="1429"/>
      <c r="J12" s="1429"/>
      <c r="K12" s="1429"/>
      <c r="L12" s="1429"/>
      <c r="M12" s="1429"/>
      <c r="N12" s="1429"/>
      <c r="O12" s="1429"/>
      <c r="P12" s="1429"/>
      <c r="Q12" s="1429"/>
      <c r="R12" s="1429"/>
      <c r="S12" s="1429"/>
      <c r="T12" s="1429"/>
      <c r="U12" s="1429"/>
      <c r="V12" s="1429"/>
      <c r="W12" s="1429"/>
      <c r="X12" s="1429"/>
      <c r="Y12" s="1429"/>
      <c r="Z12" s="1429"/>
      <c r="AA12" s="1429"/>
    </row>
    <row r="13" spans="1:135" ht="24.75" customHeight="1">
      <c r="A13" s="1429"/>
      <c r="B13" s="1060" t="s">
        <v>1507</v>
      </c>
      <c r="C13" s="1429"/>
      <c r="D13" s="1429"/>
      <c r="E13" s="1429"/>
      <c r="F13" s="1429"/>
      <c r="G13" s="1429"/>
      <c r="H13" s="1429"/>
      <c r="I13" s="1429"/>
      <c r="J13" s="1429"/>
      <c r="K13" s="1429"/>
      <c r="L13" s="1429"/>
      <c r="M13" s="1429"/>
      <c r="N13" s="1429"/>
      <c r="O13" s="1429"/>
      <c r="P13" s="1429"/>
      <c r="Q13" s="1429"/>
      <c r="R13" s="1429"/>
      <c r="S13" s="1429"/>
      <c r="T13" s="1429"/>
      <c r="U13" s="1429"/>
      <c r="V13" s="1429"/>
      <c r="W13" s="1429"/>
      <c r="X13" s="1429"/>
      <c r="Y13" s="1429"/>
      <c r="Z13" s="1429"/>
      <c r="AA13" s="1429"/>
    </row>
    <row r="14" spans="1:135" ht="32.25" customHeight="1">
      <c r="A14" s="1429"/>
      <c r="C14" s="1429"/>
      <c r="D14" s="1429"/>
      <c r="E14" s="1429"/>
      <c r="F14" s="1429"/>
      <c r="G14" s="1429"/>
      <c r="H14" s="1429"/>
      <c r="I14" s="1429"/>
      <c r="J14" s="1429"/>
      <c r="K14" s="1429"/>
      <c r="L14" s="1429"/>
      <c r="M14" s="1429"/>
      <c r="N14" s="1429"/>
      <c r="O14" s="1429"/>
      <c r="P14" s="1429"/>
      <c r="Q14" s="1429"/>
      <c r="R14" s="1429"/>
      <c r="S14" s="1429"/>
      <c r="T14" s="1429"/>
      <c r="U14" s="1429"/>
      <c r="V14" s="1429"/>
      <c r="W14" s="1429"/>
      <c r="X14" s="1429"/>
      <c r="Y14" s="1429"/>
      <c r="Z14" s="1429"/>
      <c r="AA14" s="1429"/>
    </row>
    <row r="15" spans="1:135" ht="13.5" thickBot="1">
      <c r="A15" s="1429"/>
    </row>
    <row r="16" spans="1:135" s="94" customFormat="1" ht="18.75" customHeight="1" thickBot="1">
      <c r="A16" s="308"/>
      <c r="B16" s="856" t="s">
        <v>1520</v>
      </c>
      <c r="C16" s="1976"/>
      <c r="D16" s="1680"/>
      <c r="E16" s="1680"/>
      <c r="F16" s="1680"/>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1"/>
      <c r="AC16" s="1427"/>
      <c r="AD16" s="1427"/>
      <c r="AE16" s="1427"/>
      <c r="AF16" s="1427"/>
      <c r="DF16" s="1427"/>
      <c r="DG16" s="1427"/>
      <c r="DH16" s="1427"/>
      <c r="DI16" s="1427"/>
      <c r="DJ16" s="1427"/>
      <c r="DK16" s="1427"/>
      <c r="DL16" s="1427"/>
      <c r="DM16" s="1427"/>
      <c r="DN16" s="1427"/>
      <c r="DO16" s="1427"/>
      <c r="DP16" s="1427"/>
      <c r="DQ16" s="1427"/>
      <c r="DR16" s="1427"/>
      <c r="DS16" s="1427"/>
      <c r="DT16" s="1427"/>
      <c r="DU16" s="1427"/>
      <c r="DV16" s="1427"/>
      <c r="DW16" s="1427"/>
      <c r="DX16" s="1427"/>
      <c r="DY16" s="1427"/>
      <c r="DZ16" s="1427"/>
      <c r="EA16" s="1427"/>
      <c r="EB16" s="1427"/>
      <c r="EC16" s="1427"/>
      <c r="ED16" s="1427"/>
      <c r="EE16" s="1427"/>
    </row>
    <row r="17" spans="1:135" ht="20.25" customHeight="1">
      <c r="A17" s="1429"/>
      <c r="B17" s="4148"/>
      <c r="C17" s="4149"/>
      <c r="D17" s="4146" t="s">
        <v>37</v>
      </c>
      <c r="E17" s="4147"/>
      <c r="F17" s="4147"/>
      <c r="G17" s="4147"/>
      <c r="H17" s="4147"/>
      <c r="I17" s="4080" t="s">
        <v>73</v>
      </c>
      <c r="J17" s="4080"/>
      <c r="K17" s="4080"/>
      <c r="L17" s="4080"/>
      <c r="M17" s="4080"/>
      <c r="N17" s="4154" t="s">
        <v>272</v>
      </c>
      <c r="O17" s="4154"/>
      <c r="P17" s="4154"/>
      <c r="Q17" s="4154"/>
      <c r="R17" s="4154"/>
      <c r="S17" s="4154"/>
      <c r="T17" s="4154"/>
      <c r="U17" s="4154"/>
      <c r="V17" s="4154"/>
      <c r="W17" s="4154"/>
      <c r="X17" s="4154"/>
      <c r="Y17" s="4154"/>
      <c r="Z17" s="4154"/>
      <c r="AA17" s="4154"/>
      <c r="AB17" s="4155"/>
    </row>
    <row r="18" spans="1:135" ht="20.25" customHeight="1">
      <c r="A18" s="1429"/>
      <c r="B18" s="4150"/>
      <c r="C18" s="4151"/>
      <c r="D18" s="4156" t="s">
        <v>366</v>
      </c>
      <c r="E18" s="4157"/>
      <c r="F18" s="4157"/>
      <c r="G18" s="4157"/>
      <c r="H18" s="4157"/>
      <c r="I18" s="4157"/>
      <c r="J18" s="4157"/>
      <c r="K18" s="4157"/>
      <c r="L18" s="4157"/>
      <c r="M18" s="4157"/>
      <c r="N18" s="4157"/>
      <c r="O18" s="4157"/>
      <c r="P18" s="4157"/>
      <c r="Q18" s="4157"/>
      <c r="R18" s="4157"/>
      <c r="S18" s="4157"/>
      <c r="T18" s="4157"/>
      <c r="U18" s="4157"/>
      <c r="V18" s="4157"/>
      <c r="W18" s="4157"/>
      <c r="X18" s="4157"/>
      <c r="Y18" s="4157"/>
      <c r="Z18" s="4157"/>
      <c r="AA18" s="4157"/>
      <c r="AB18" s="4158"/>
    </row>
    <row r="19" spans="1:135" ht="20.25" customHeight="1">
      <c r="A19" s="1429"/>
      <c r="B19" s="4150"/>
      <c r="C19" s="4151"/>
      <c r="D19" s="4156" t="s">
        <v>54</v>
      </c>
      <c r="E19" s="4157"/>
      <c r="F19" s="4162"/>
      <c r="G19" s="4159" t="s">
        <v>411</v>
      </c>
      <c r="H19" s="4160"/>
      <c r="I19" s="4160"/>
      <c r="J19" s="4160"/>
      <c r="K19" s="4160"/>
      <c r="L19" s="4160"/>
      <c r="M19" s="4160"/>
      <c r="N19" s="4160"/>
      <c r="O19" s="4160"/>
      <c r="P19" s="4160"/>
      <c r="Q19" s="4160"/>
      <c r="R19" s="4160"/>
      <c r="S19" s="4160"/>
      <c r="T19" s="4160"/>
      <c r="U19" s="4160"/>
      <c r="V19" s="4160"/>
      <c r="W19" s="4160"/>
      <c r="X19" s="4160"/>
      <c r="Y19" s="4160"/>
      <c r="Z19" s="4160"/>
      <c r="AA19" s="4160"/>
      <c r="AB19" s="4161"/>
    </row>
    <row r="20" spans="1:135" ht="20.25" customHeight="1" thickBot="1">
      <c r="A20" s="1429"/>
      <c r="B20" s="4152"/>
      <c r="C20" s="4153"/>
      <c r="D20" s="1028">
        <f>CRCP_y1</f>
        <v>2013</v>
      </c>
      <c r="E20" s="1028">
        <f>CRCP_y2</f>
        <v>2014</v>
      </c>
      <c r="F20" s="1028">
        <f>CRCP_y3</f>
        <v>2015</v>
      </c>
      <c r="G20" s="1028">
        <f>CRCP_y4</f>
        <v>2016</v>
      </c>
      <c r="H20" s="1028">
        <f>CRCP_y5</f>
        <v>2017</v>
      </c>
      <c r="I20" s="1027" t="str">
        <f>CONCATENATE(IF(dms_RPT="Calendar",H20+1,(LEFT(H20,4)+1&amp;"-"&amp;IF(MID(H20,6,2)&lt;"09","0"&amp;RIGHT(H20,1)+1,RIGHT(H20,2)+1))))</f>
        <v>2018</v>
      </c>
      <c r="J20" s="1027" t="str">
        <f t="shared" ref="J20:AB20" si="0">CONCATENATE(IF(dms_RPT="Calendar",I20+1,(LEFT(I20,4)+1&amp;"-"&amp;IF(MID(I20,6,2)&lt;"09","0"&amp;RIGHT(I20,1)+1,RIGHT(I20,2)+1))))</f>
        <v>2019</v>
      </c>
      <c r="K20" s="1027" t="str">
        <f t="shared" si="0"/>
        <v>2020</v>
      </c>
      <c r="L20" s="1027" t="str">
        <f t="shared" si="0"/>
        <v>2021</v>
      </c>
      <c r="M20" s="1027" t="str">
        <f t="shared" si="0"/>
        <v>2022</v>
      </c>
      <c r="N20" s="1028" t="str">
        <f t="shared" si="0"/>
        <v>2023</v>
      </c>
      <c r="O20" s="1028" t="str">
        <f t="shared" si="0"/>
        <v>2024</v>
      </c>
      <c r="P20" s="1028" t="str">
        <f t="shared" si="0"/>
        <v>2025</v>
      </c>
      <c r="Q20" s="1028" t="str">
        <f t="shared" si="0"/>
        <v>2026</v>
      </c>
      <c r="R20" s="1028" t="str">
        <f t="shared" si="0"/>
        <v>2027</v>
      </c>
      <c r="S20" s="1028" t="str">
        <f t="shared" si="0"/>
        <v>2028</v>
      </c>
      <c r="T20" s="1028" t="str">
        <f t="shared" si="0"/>
        <v>2029</v>
      </c>
      <c r="U20" s="1028" t="str">
        <f t="shared" si="0"/>
        <v>2030</v>
      </c>
      <c r="V20" s="1028" t="str">
        <f t="shared" si="0"/>
        <v>2031</v>
      </c>
      <c r="W20" s="1028" t="str">
        <f t="shared" si="0"/>
        <v>2032</v>
      </c>
      <c r="X20" s="1028" t="str">
        <f t="shared" si="0"/>
        <v>2033</v>
      </c>
      <c r="Y20" s="1028" t="str">
        <f t="shared" si="0"/>
        <v>2034</v>
      </c>
      <c r="Z20" s="1028" t="str">
        <f t="shared" si="0"/>
        <v>2035</v>
      </c>
      <c r="AA20" s="1028" t="str">
        <f t="shared" si="0"/>
        <v>2036</v>
      </c>
      <c r="AB20" s="1028" t="str">
        <f t="shared" si="0"/>
        <v>2037</v>
      </c>
    </row>
    <row r="21" spans="1:135" s="94" customFormat="1" ht="18.75" customHeight="1" thickBot="1">
      <c r="A21" s="308"/>
      <c r="B21" s="1607" t="s">
        <v>1521</v>
      </c>
      <c r="C21" s="1605"/>
      <c r="D21" s="1605"/>
      <c r="E21" s="1605"/>
      <c r="F21" s="1605"/>
      <c r="G21" s="1605"/>
      <c r="H21" s="1605"/>
      <c r="I21" s="1605"/>
      <c r="J21" s="1605"/>
      <c r="K21" s="1605"/>
      <c r="L21" s="1605"/>
      <c r="M21" s="1605"/>
      <c r="N21" s="1605"/>
      <c r="O21" s="1605"/>
      <c r="P21" s="1605"/>
      <c r="Q21" s="1605"/>
      <c r="R21" s="1605"/>
      <c r="S21" s="1605"/>
      <c r="T21" s="1605"/>
      <c r="U21" s="1605"/>
      <c r="V21" s="1605"/>
      <c r="W21" s="1605"/>
      <c r="X21" s="1605"/>
      <c r="Y21" s="1605"/>
      <c r="Z21" s="1605"/>
      <c r="AA21" s="1605"/>
      <c r="AB21" s="1606"/>
      <c r="AC21" s="1427"/>
      <c r="AD21" s="1427"/>
      <c r="AE21" s="1427"/>
      <c r="AF21" s="1427"/>
      <c r="DF21" s="1427"/>
      <c r="DG21" s="1427"/>
      <c r="DH21" s="1427"/>
      <c r="DI21" s="1427"/>
      <c r="DJ21" s="1427"/>
      <c r="DK21" s="1427"/>
      <c r="DL21" s="1427"/>
      <c r="DM21" s="1427"/>
      <c r="DN21" s="1427"/>
      <c r="DO21" s="1427"/>
      <c r="DP21" s="1427"/>
      <c r="DQ21" s="1427"/>
      <c r="DR21" s="1427"/>
      <c r="DS21" s="1427"/>
      <c r="DT21" s="1427"/>
      <c r="DU21" s="1427"/>
      <c r="DV21" s="1427"/>
      <c r="DW21" s="1427"/>
      <c r="DX21" s="1427"/>
      <c r="DY21" s="1427"/>
      <c r="DZ21" s="1427"/>
      <c r="EA21" s="1427"/>
      <c r="EB21" s="1427"/>
      <c r="EC21" s="1427"/>
      <c r="ED21" s="1427"/>
      <c r="EE21" s="1427"/>
    </row>
    <row r="22" spans="1:135" s="1960" customFormat="1" ht="25.5" customHeight="1">
      <c r="A22" s="1958"/>
      <c r="B22" s="1961" t="s">
        <v>1530</v>
      </c>
      <c r="C22" s="1975"/>
      <c r="D22" s="1962"/>
      <c r="E22" s="1962"/>
      <c r="F22" s="1962"/>
      <c r="G22" s="1962"/>
      <c r="H22" s="1962"/>
      <c r="I22" s="1962"/>
      <c r="J22" s="1962"/>
      <c r="K22" s="1962"/>
      <c r="L22" s="1962"/>
      <c r="M22" s="1962"/>
      <c r="N22" s="1962"/>
      <c r="O22" s="1962"/>
      <c r="P22" s="1962"/>
      <c r="Q22" s="1962"/>
      <c r="R22" s="1962"/>
      <c r="S22" s="1962"/>
      <c r="T22" s="1962"/>
      <c r="U22" s="1962"/>
      <c r="V22" s="1962"/>
      <c r="W22" s="1962"/>
      <c r="X22" s="1962"/>
      <c r="Y22" s="1962"/>
      <c r="Z22" s="1962"/>
      <c r="AA22" s="1962"/>
      <c r="AB22" s="1963"/>
      <c r="AC22" s="1959"/>
      <c r="AD22" s="1959"/>
      <c r="AE22" s="1959"/>
      <c r="AF22" s="1959"/>
      <c r="DF22" s="1959"/>
      <c r="DG22" s="1959"/>
      <c r="DH22" s="1959"/>
      <c r="DI22" s="1959"/>
      <c r="DJ22" s="1959"/>
      <c r="DK22" s="1959"/>
      <c r="DL22" s="1959"/>
      <c r="DM22" s="1959"/>
      <c r="DN22" s="1959"/>
      <c r="DO22" s="1959"/>
      <c r="DP22" s="1959"/>
      <c r="DQ22" s="1959"/>
      <c r="DR22" s="1959"/>
      <c r="DS22" s="1959"/>
      <c r="DT22" s="1959"/>
      <c r="DU22" s="1959"/>
      <c r="DV22" s="1959"/>
      <c r="DW22" s="1959"/>
      <c r="DX22" s="1959"/>
      <c r="DY22" s="1959"/>
      <c r="DZ22" s="1959"/>
      <c r="EA22" s="1959"/>
      <c r="EB22" s="1959"/>
      <c r="EC22" s="1959"/>
      <c r="ED22" s="1959"/>
      <c r="EE22" s="1959"/>
    </row>
    <row r="23" spans="1:135" s="94" customFormat="1">
      <c r="A23" s="308"/>
      <c r="B23" s="4163" t="s">
        <v>1502</v>
      </c>
      <c r="C23" s="3398" t="s">
        <v>756</v>
      </c>
      <c r="D23" s="823"/>
      <c r="E23" s="518">
        <f>D24</f>
        <v>0</v>
      </c>
      <c r="F23" s="518">
        <f t="shared" ref="F23:AB23" si="1">E24</f>
        <v>0</v>
      </c>
      <c r="G23" s="518">
        <f>E24</f>
        <v>0</v>
      </c>
      <c r="H23" s="1453">
        <f>F24</f>
        <v>0</v>
      </c>
      <c r="I23" s="517">
        <f t="shared" si="1"/>
        <v>0</v>
      </c>
      <c r="J23" s="518">
        <f t="shared" si="1"/>
        <v>368.20674296075708</v>
      </c>
      <c r="K23" s="518">
        <f t="shared" si="1"/>
        <v>644.36180018132495</v>
      </c>
      <c r="L23" s="518">
        <f t="shared" si="1"/>
        <v>851.47809309675085</v>
      </c>
      <c r="M23" s="519">
        <f t="shared" si="1"/>
        <v>1006.8153127833202</v>
      </c>
      <c r="N23" s="571">
        <f t="shared" si="1"/>
        <v>1123.3182275482473</v>
      </c>
      <c r="O23" s="518">
        <f t="shared" si="1"/>
        <v>1211.7142236419973</v>
      </c>
      <c r="P23" s="518">
        <f t="shared" si="1"/>
        <v>1278.0112207123098</v>
      </c>
      <c r="Q23" s="518">
        <f t="shared" si="1"/>
        <v>1327.7339685150441</v>
      </c>
      <c r="R23" s="518">
        <f t="shared" si="1"/>
        <v>1365.0260293670949</v>
      </c>
      <c r="S23" s="518">
        <f t="shared" si="1"/>
        <v>1392.995075006133</v>
      </c>
      <c r="T23" s="518">
        <f t="shared" si="1"/>
        <v>1413.9718592354116</v>
      </c>
      <c r="U23" s="518">
        <f t="shared" si="1"/>
        <v>1429.7044474073705</v>
      </c>
      <c r="V23" s="518">
        <f t="shared" si="1"/>
        <v>1441.5038885363397</v>
      </c>
      <c r="W23" s="518">
        <f t="shared" si="1"/>
        <v>1450.3534693830666</v>
      </c>
      <c r="X23" s="518">
        <f t="shared" si="1"/>
        <v>1456.9906550181117</v>
      </c>
      <c r="Y23" s="518">
        <f t="shared" si="1"/>
        <v>1461.9685442443956</v>
      </c>
      <c r="Z23" s="518">
        <f t="shared" si="1"/>
        <v>1465.7019611641085</v>
      </c>
      <c r="AA23" s="518">
        <f t="shared" si="1"/>
        <v>1468.5020238538932</v>
      </c>
      <c r="AB23" s="519">
        <f t="shared" si="1"/>
        <v>1470.6020708712317</v>
      </c>
      <c r="AC23" s="1427"/>
      <c r="AD23" s="1427"/>
      <c r="AE23" s="1427"/>
      <c r="AF23" s="1427"/>
    </row>
    <row r="24" spans="1:135" s="94" customFormat="1">
      <c r="A24" s="308"/>
      <c r="B24" s="4164"/>
      <c r="C24" s="3398" t="s">
        <v>757</v>
      </c>
      <c r="D24" s="823"/>
      <c r="E24" s="780"/>
      <c r="F24" s="780"/>
      <c r="G24" s="780"/>
      <c r="H24" s="702">
        <v>0</v>
      </c>
      <c r="I24" s="514">
        <v>368.20674296075708</v>
      </c>
      <c r="J24" s="513">
        <v>644.36180018132495</v>
      </c>
      <c r="K24" s="513">
        <v>851.47809309675085</v>
      </c>
      <c r="L24" s="513">
        <v>1006.8153127833202</v>
      </c>
      <c r="M24" s="515">
        <v>1123.3182275482473</v>
      </c>
      <c r="N24" s="467">
        <v>1211.7142236419973</v>
      </c>
      <c r="O24" s="467">
        <v>1278.0112207123098</v>
      </c>
      <c r="P24" s="467">
        <v>1327.7339685150441</v>
      </c>
      <c r="Q24" s="467">
        <v>1365.0260293670949</v>
      </c>
      <c r="R24" s="467">
        <v>1392.995075006133</v>
      </c>
      <c r="S24" s="467">
        <v>1413.9718592354116</v>
      </c>
      <c r="T24" s="467">
        <v>1429.7044474073705</v>
      </c>
      <c r="U24" s="467">
        <v>1441.5038885363397</v>
      </c>
      <c r="V24" s="467">
        <v>1450.3534693830666</v>
      </c>
      <c r="W24" s="467">
        <v>1456.9906550181117</v>
      </c>
      <c r="X24" s="467">
        <v>1461.9685442443956</v>
      </c>
      <c r="Y24" s="467">
        <v>1465.7019611641085</v>
      </c>
      <c r="Z24" s="467">
        <v>1468.5020238538932</v>
      </c>
      <c r="AA24" s="513">
        <v>1470.6020708712317</v>
      </c>
      <c r="AB24" s="515">
        <v>1472.1771061342356</v>
      </c>
      <c r="AC24" s="1427"/>
      <c r="AD24" s="1427"/>
      <c r="AE24" s="1427"/>
      <c r="AF24" s="1427"/>
    </row>
    <row r="25" spans="1:135" s="94" customFormat="1">
      <c r="A25" s="308"/>
      <c r="B25" s="4164"/>
      <c r="C25" s="3398" t="s">
        <v>68</v>
      </c>
      <c r="D25" s="517">
        <f t="shared" ref="D25:AB25" si="2">IF(ISERROR(AVERAGE(D23:D24)),0,AVERAGE(D23:D24))</f>
        <v>0</v>
      </c>
      <c r="E25" s="518">
        <f t="shared" si="2"/>
        <v>0</v>
      </c>
      <c r="F25" s="518">
        <f t="shared" si="2"/>
        <v>0</v>
      </c>
      <c r="G25" s="518">
        <f t="shared" si="2"/>
        <v>0</v>
      </c>
      <c r="H25" s="1453">
        <f t="shared" si="2"/>
        <v>0</v>
      </c>
      <c r="I25" s="517">
        <f t="shared" si="2"/>
        <v>184.10337148037854</v>
      </c>
      <c r="J25" s="518">
        <f t="shared" si="2"/>
        <v>506.28427157104102</v>
      </c>
      <c r="K25" s="518">
        <f t="shared" si="2"/>
        <v>747.9199466390379</v>
      </c>
      <c r="L25" s="518">
        <f t="shared" si="2"/>
        <v>929.14670294003554</v>
      </c>
      <c r="M25" s="519">
        <f t="shared" si="2"/>
        <v>1065.0667701657837</v>
      </c>
      <c r="N25" s="571">
        <f t="shared" si="2"/>
        <v>1167.5162255951223</v>
      </c>
      <c r="O25" s="518">
        <f t="shared" si="2"/>
        <v>1244.8627221771535</v>
      </c>
      <c r="P25" s="518">
        <f t="shared" si="2"/>
        <v>1302.8725946136769</v>
      </c>
      <c r="Q25" s="518">
        <f t="shared" si="2"/>
        <v>1346.3799989410695</v>
      </c>
      <c r="R25" s="518">
        <f t="shared" si="2"/>
        <v>1379.0105521866139</v>
      </c>
      <c r="S25" s="518">
        <f t="shared" si="2"/>
        <v>1403.4834671207723</v>
      </c>
      <c r="T25" s="518">
        <f t="shared" si="2"/>
        <v>1421.838153321391</v>
      </c>
      <c r="U25" s="518">
        <f t="shared" si="2"/>
        <v>1435.6041679718551</v>
      </c>
      <c r="V25" s="518">
        <f t="shared" si="2"/>
        <v>1445.9286789597031</v>
      </c>
      <c r="W25" s="518">
        <f t="shared" si="2"/>
        <v>1453.6720622005892</v>
      </c>
      <c r="X25" s="518">
        <f t="shared" si="2"/>
        <v>1459.4795996312537</v>
      </c>
      <c r="Y25" s="518">
        <f t="shared" si="2"/>
        <v>1463.8352527042521</v>
      </c>
      <c r="Z25" s="518">
        <f t="shared" si="2"/>
        <v>1467.1019925090009</v>
      </c>
      <c r="AA25" s="518">
        <f t="shared" si="2"/>
        <v>1469.5520473625625</v>
      </c>
      <c r="AB25" s="519">
        <f t="shared" si="2"/>
        <v>1471.3895885027337</v>
      </c>
      <c r="AC25" s="1427"/>
      <c r="AD25" s="1427"/>
      <c r="AE25" s="1427"/>
      <c r="AF25" s="1427"/>
    </row>
    <row r="26" spans="1:135" s="94" customFormat="1">
      <c r="A26" s="308"/>
      <c r="B26" s="4164"/>
      <c r="C26" s="3398" t="s">
        <v>69</v>
      </c>
      <c r="D26" s="823"/>
      <c r="E26" s="780"/>
      <c r="F26" s="780"/>
      <c r="G26" s="780"/>
      <c r="H26" s="702">
        <f>+H24-H23+H27</f>
        <v>0</v>
      </c>
      <c r="I26" s="514">
        <f t="shared" ref="I26:AB26" si="3">+I24-I23+I27</f>
        <v>368.20674296075708</v>
      </c>
      <c r="J26" s="513">
        <f t="shared" si="3"/>
        <v>276.15505722056787</v>
      </c>
      <c r="K26" s="513">
        <f t="shared" si="3"/>
        <v>207.1162929154259</v>
      </c>
      <c r="L26" s="513">
        <f t="shared" si="3"/>
        <v>155.33721968656937</v>
      </c>
      <c r="M26" s="515">
        <f t="shared" si="3"/>
        <v>116.50291476492703</v>
      </c>
      <c r="N26" s="467">
        <f t="shared" si="3"/>
        <v>88.39599609375</v>
      </c>
      <c r="O26" s="513">
        <f t="shared" si="3"/>
        <v>66.2969970703125</v>
      </c>
      <c r="P26" s="513">
        <f t="shared" si="3"/>
        <v>49.722747802734375</v>
      </c>
      <c r="Q26" s="513">
        <f t="shared" si="3"/>
        <v>37.292060852050781</v>
      </c>
      <c r="R26" s="513">
        <f t="shared" si="3"/>
        <v>27.969045639038086</v>
      </c>
      <c r="S26" s="513">
        <f t="shared" si="3"/>
        <v>20.976784229278564</v>
      </c>
      <c r="T26" s="513">
        <f t="shared" si="3"/>
        <v>15.732588171958923</v>
      </c>
      <c r="U26" s="513">
        <f t="shared" si="3"/>
        <v>11.799441128969193</v>
      </c>
      <c r="V26" s="513">
        <f t="shared" si="3"/>
        <v>8.8495808467268944</v>
      </c>
      <c r="W26" s="513">
        <f t="shared" si="3"/>
        <v>6.6371856350451708</v>
      </c>
      <c r="X26" s="513">
        <f t="shared" si="3"/>
        <v>4.9778892262838781</v>
      </c>
      <c r="Y26" s="513">
        <f t="shared" si="3"/>
        <v>3.7334169197129086</v>
      </c>
      <c r="Z26" s="513">
        <f t="shared" si="3"/>
        <v>2.8000626897846814</v>
      </c>
      <c r="AA26" s="513">
        <f t="shared" si="3"/>
        <v>2.1000470173385111</v>
      </c>
      <c r="AB26" s="515">
        <f t="shared" si="3"/>
        <v>1.5750352630038833</v>
      </c>
      <c r="AC26" s="1427"/>
      <c r="AD26" s="1427"/>
      <c r="AE26" s="1427"/>
      <c r="AF26" s="1427"/>
    </row>
    <row r="27" spans="1:135" s="94" customFormat="1" ht="13.5" thickBot="1">
      <c r="A27" s="308"/>
      <c r="B27" s="4165"/>
      <c r="C27" s="1974" t="s">
        <v>58</v>
      </c>
      <c r="D27" s="885"/>
      <c r="E27" s="886"/>
      <c r="F27" s="886"/>
      <c r="G27" s="886"/>
      <c r="H27" s="1034">
        <v>0</v>
      </c>
      <c r="I27" s="885">
        <v>0</v>
      </c>
      <c r="J27" s="886">
        <v>0</v>
      </c>
      <c r="K27" s="886">
        <v>0</v>
      </c>
      <c r="L27" s="886">
        <v>0</v>
      </c>
      <c r="M27" s="887">
        <v>0</v>
      </c>
      <c r="N27" s="1790">
        <v>0</v>
      </c>
      <c r="O27" s="465">
        <v>0</v>
      </c>
      <c r="P27" s="465">
        <v>0</v>
      </c>
      <c r="Q27" s="465">
        <v>0</v>
      </c>
      <c r="R27" s="465">
        <v>0</v>
      </c>
      <c r="S27" s="465">
        <v>0</v>
      </c>
      <c r="T27" s="465">
        <v>0</v>
      </c>
      <c r="U27" s="465">
        <v>0</v>
      </c>
      <c r="V27" s="465">
        <v>0</v>
      </c>
      <c r="W27" s="465">
        <v>0</v>
      </c>
      <c r="X27" s="465">
        <v>0</v>
      </c>
      <c r="Y27" s="465">
        <v>0</v>
      </c>
      <c r="Z27" s="465">
        <v>0</v>
      </c>
      <c r="AA27" s="465">
        <v>0</v>
      </c>
      <c r="AB27" s="643">
        <v>0</v>
      </c>
      <c r="AC27" s="1427"/>
      <c r="AD27" s="1427"/>
      <c r="AE27" s="1427"/>
      <c r="AF27" s="1427"/>
    </row>
    <row r="28" spans="1:135" s="94" customFormat="1">
      <c r="A28" s="308"/>
      <c r="B28" s="4166" t="s">
        <v>63</v>
      </c>
      <c r="C28" s="1964" t="s">
        <v>756</v>
      </c>
      <c r="D28" s="533">
        <f>+D23</f>
        <v>0</v>
      </c>
      <c r="E28" s="534">
        <f t="shared" ref="E28:AB28" si="4">+E23</f>
        <v>0</v>
      </c>
      <c r="F28" s="534">
        <f t="shared" si="4"/>
        <v>0</v>
      </c>
      <c r="G28" s="534">
        <f t="shared" si="4"/>
        <v>0</v>
      </c>
      <c r="H28" s="1464">
        <f t="shared" si="4"/>
        <v>0</v>
      </c>
      <c r="I28" s="533">
        <f t="shared" si="4"/>
        <v>0</v>
      </c>
      <c r="J28" s="534">
        <f t="shared" si="4"/>
        <v>368.20674296075708</v>
      </c>
      <c r="K28" s="534">
        <f t="shared" si="4"/>
        <v>644.36180018132495</v>
      </c>
      <c r="L28" s="534">
        <f t="shared" si="4"/>
        <v>851.47809309675085</v>
      </c>
      <c r="M28" s="479">
        <f t="shared" si="4"/>
        <v>1006.8153127833202</v>
      </c>
      <c r="N28" s="1286">
        <f t="shared" si="4"/>
        <v>1123.3182275482473</v>
      </c>
      <c r="O28" s="534">
        <f t="shared" si="4"/>
        <v>1211.7142236419973</v>
      </c>
      <c r="P28" s="534">
        <f t="shared" si="4"/>
        <v>1278.0112207123098</v>
      </c>
      <c r="Q28" s="534">
        <f t="shared" si="4"/>
        <v>1327.7339685150441</v>
      </c>
      <c r="R28" s="534">
        <f t="shared" si="4"/>
        <v>1365.0260293670949</v>
      </c>
      <c r="S28" s="534">
        <f t="shared" si="4"/>
        <v>1392.995075006133</v>
      </c>
      <c r="T28" s="534">
        <f t="shared" si="4"/>
        <v>1413.9718592354116</v>
      </c>
      <c r="U28" s="534">
        <f t="shared" si="4"/>
        <v>1429.7044474073705</v>
      </c>
      <c r="V28" s="534">
        <f t="shared" si="4"/>
        <v>1441.5038885363397</v>
      </c>
      <c r="W28" s="534">
        <f t="shared" si="4"/>
        <v>1450.3534693830666</v>
      </c>
      <c r="X28" s="534">
        <f t="shared" si="4"/>
        <v>1456.9906550181117</v>
      </c>
      <c r="Y28" s="534">
        <f t="shared" si="4"/>
        <v>1461.9685442443956</v>
      </c>
      <c r="Z28" s="534">
        <f t="shared" si="4"/>
        <v>1465.7019611641085</v>
      </c>
      <c r="AA28" s="534">
        <f t="shared" si="4"/>
        <v>1468.5020238538932</v>
      </c>
      <c r="AB28" s="1966">
        <f t="shared" si="4"/>
        <v>1470.6020708712317</v>
      </c>
      <c r="AC28" s="1427"/>
      <c r="AD28" s="1427"/>
      <c r="AE28" s="1427"/>
      <c r="AF28" s="1427"/>
    </row>
    <row r="29" spans="1:135" s="94" customFormat="1">
      <c r="A29" s="308"/>
      <c r="B29" s="4167"/>
      <c r="C29" s="1964" t="s">
        <v>757</v>
      </c>
      <c r="D29" s="533">
        <f t="shared" ref="D29:AB32" si="5">+D24</f>
        <v>0</v>
      </c>
      <c r="E29" s="534">
        <f t="shared" si="5"/>
        <v>0</v>
      </c>
      <c r="F29" s="534">
        <f t="shared" si="5"/>
        <v>0</v>
      </c>
      <c r="G29" s="534">
        <f t="shared" si="5"/>
        <v>0</v>
      </c>
      <c r="H29" s="1464">
        <f t="shared" si="5"/>
        <v>0</v>
      </c>
      <c r="I29" s="533">
        <f t="shared" si="5"/>
        <v>368.20674296075708</v>
      </c>
      <c r="J29" s="534">
        <f t="shared" si="5"/>
        <v>644.36180018132495</v>
      </c>
      <c r="K29" s="534">
        <f t="shared" si="5"/>
        <v>851.47809309675085</v>
      </c>
      <c r="L29" s="534">
        <f t="shared" si="5"/>
        <v>1006.8153127833202</v>
      </c>
      <c r="M29" s="479">
        <f t="shared" si="5"/>
        <v>1123.3182275482473</v>
      </c>
      <c r="N29" s="1286">
        <f t="shared" si="5"/>
        <v>1211.7142236419973</v>
      </c>
      <c r="O29" s="534">
        <f t="shared" si="5"/>
        <v>1278.0112207123098</v>
      </c>
      <c r="P29" s="534">
        <f t="shared" si="5"/>
        <v>1327.7339685150441</v>
      </c>
      <c r="Q29" s="534">
        <f t="shared" si="5"/>
        <v>1365.0260293670949</v>
      </c>
      <c r="R29" s="534">
        <f t="shared" si="5"/>
        <v>1392.995075006133</v>
      </c>
      <c r="S29" s="534">
        <f t="shared" si="5"/>
        <v>1413.9718592354116</v>
      </c>
      <c r="T29" s="534">
        <f t="shared" si="5"/>
        <v>1429.7044474073705</v>
      </c>
      <c r="U29" s="534">
        <f t="shared" si="5"/>
        <v>1441.5038885363397</v>
      </c>
      <c r="V29" s="534">
        <f t="shared" si="5"/>
        <v>1450.3534693830666</v>
      </c>
      <c r="W29" s="534">
        <f t="shared" si="5"/>
        <v>1456.9906550181117</v>
      </c>
      <c r="X29" s="534">
        <f t="shared" si="5"/>
        <v>1461.9685442443956</v>
      </c>
      <c r="Y29" s="534">
        <f t="shared" si="5"/>
        <v>1465.7019611641085</v>
      </c>
      <c r="Z29" s="534">
        <f t="shared" si="5"/>
        <v>1468.5020238538932</v>
      </c>
      <c r="AA29" s="534">
        <f t="shared" si="5"/>
        <v>1470.6020708712317</v>
      </c>
      <c r="AB29" s="1966">
        <f t="shared" si="5"/>
        <v>1472.1771061342356</v>
      </c>
      <c r="AC29" s="1427"/>
      <c r="AD29" s="1427"/>
      <c r="AE29" s="1427"/>
      <c r="AF29" s="1427"/>
    </row>
    <row r="30" spans="1:135" s="94" customFormat="1">
      <c r="A30" s="308"/>
      <c r="B30" s="4167"/>
      <c r="C30" s="1965" t="s">
        <v>68</v>
      </c>
      <c r="D30" s="533">
        <f t="shared" si="5"/>
        <v>0</v>
      </c>
      <c r="E30" s="534">
        <f t="shared" si="5"/>
        <v>0</v>
      </c>
      <c r="F30" s="534">
        <f t="shared" si="5"/>
        <v>0</v>
      </c>
      <c r="G30" s="534">
        <f t="shared" si="5"/>
        <v>0</v>
      </c>
      <c r="H30" s="1464">
        <f t="shared" si="5"/>
        <v>0</v>
      </c>
      <c r="I30" s="533">
        <f t="shared" si="5"/>
        <v>184.10337148037854</v>
      </c>
      <c r="J30" s="534">
        <f t="shared" si="5"/>
        <v>506.28427157104102</v>
      </c>
      <c r="K30" s="534">
        <f t="shared" si="5"/>
        <v>747.9199466390379</v>
      </c>
      <c r="L30" s="534">
        <f t="shared" si="5"/>
        <v>929.14670294003554</v>
      </c>
      <c r="M30" s="479">
        <f t="shared" si="5"/>
        <v>1065.0667701657837</v>
      </c>
      <c r="N30" s="1286">
        <f t="shared" si="5"/>
        <v>1167.5162255951223</v>
      </c>
      <c r="O30" s="534">
        <f t="shared" si="5"/>
        <v>1244.8627221771535</v>
      </c>
      <c r="P30" s="534">
        <f t="shared" si="5"/>
        <v>1302.8725946136769</v>
      </c>
      <c r="Q30" s="534">
        <f t="shared" si="5"/>
        <v>1346.3799989410695</v>
      </c>
      <c r="R30" s="534">
        <f t="shared" si="5"/>
        <v>1379.0105521866139</v>
      </c>
      <c r="S30" s="534">
        <f t="shared" si="5"/>
        <v>1403.4834671207723</v>
      </c>
      <c r="T30" s="534">
        <f t="shared" si="5"/>
        <v>1421.838153321391</v>
      </c>
      <c r="U30" s="534">
        <f t="shared" si="5"/>
        <v>1435.6041679718551</v>
      </c>
      <c r="V30" s="534">
        <f t="shared" si="5"/>
        <v>1445.9286789597031</v>
      </c>
      <c r="W30" s="534">
        <f t="shared" si="5"/>
        <v>1453.6720622005892</v>
      </c>
      <c r="X30" s="534">
        <f t="shared" si="5"/>
        <v>1459.4795996312537</v>
      </c>
      <c r="Y30" s="534">
        <f t="shared" si="5"/>
        <v>1463.8352527042521</v>
      </c>
      <c r="Z30" s="534">
        <f t="shared" si="5"/>
        <v>1467.1019925090009</v>
      </c>
      <c r="AA30" s="534">
        <f t="shared" si="5"/>
        <v>1469.5520473625625</v>
      </c>
      <c r="AB30" s="1966">
        <f t="shared" si="5"/>
        <v>1471.3895885027337</v>
      </c>
      <c r="AC30" s="1427"/>
      <c r="AD30" s="1427"/>
      <c r="AE30" s="1427"/>
      <c r="AF30" s="1427"/>
    </row>
    <row r="31" spans="1:135" s="94" customFormat="1">
      <c r="A31" s="308"/>
      <c r="B31" s="4167"/>
      <c r="C31" s="1965" t="s">
        <v>69</v>
      </c>
      <c r="D31" s="533">
        <f t="shared" si="5"/>
        <v>0</v>
      </c>
      <c r="E31" s="534">
        <f t="shared" si="5"/>
        <v>0</v>
      </c>
      <c r="F31" s="534">
        <f t="shared" si="5"/>
        <v>0</v>
      </c>
      <c r="G31" s="534">
        <f t="shared" si="5"/>
        <v>0</v>
      </c>
      <c r="H31" s="1464">
        <f t="shared" si="5"/>
        <v>0</v>
      </c>
      <c r="I31" s="533">
        <f t="shared" si="5"/>
        <v>368.20674296075708</v>
      </c>
      <c r="J31" s="534">
        <f t="shared" si="5"/>
        <v>276.15505722056787</v>
      </c>
      <c r="K31" s="534">
        <f t="shared" si="5"/>
        <v>207.1162929154259</v>
      </c>
      <c r="L31" s="534">
        <f t="shared" si="5"/>
        <v>155.33721968656937</v>
      </c>
      <c r="M31" s="479">
        <f t="shared" si="5"/>
        <v>116.50291476492703</v>
      </c>
      <c r="N31" s="1286">
        <f t="shared" si="5"/>
        <v>88.39599609375</v>
      </c>
      <c r="O31" s="534">
        <f t="shared" si="5"/>
        <v>66.2969970703125</v>
      </c>
      <c r="P31" s="534">
        <f t="shared" si="5"/>
        <v>49.722747802734375</v>
      </c>
      <c r="Q31" s="534">
        <f t="shared" si="5"/>
        <v>37.292060852050781</v>
      </c>
      <c r="R31" s="534">
        <f t="shared" si="5"/>
        <v>27.969045639038086</v>
      </c>
      <c r="S31" s="534">
        <f t="shared" si="5"/>
        <v>20.976784229278564</v>
      </c>
      <c r="T31" s="534">
        <f t="shared" si="5"/>
        <v>15.732588171958923</v>
      </c>
      <c r="U31" s="534">
        <f t="shared" si="5"/>
        <v>11.799441128969193</v>
      </c>
      <c r="V31" s="534">
        <f t="shared" si="5"/>
        <v>8.8495808467268944</v>
      </c>
      <c r="W31" s="534">
        <f t="shared" si="5"/>
        <v>6.6371856350451708</v>
      </c>
      <c r="X31" s="534">
        <f t="shared" si="5"/>
        <v>4.9778892262838781</v>
      </c>
      <c r="Y31" s="534">
        <f t="shared" si="5"/>
        <v>3.7334169197129086</v>
      </c>
      <c r="Z31" s="534">
        <f t="shared" si="5"/>
        <v>2.8000626897846814</v>
      </c>
      <c r="AA31" s="534">
        <f t="shared" si="5"/>
        <v>2.1000470173385111</v>
      </c>
      <c r="AB31" s="1966">
        <f t="shared" si="5"/>
        <v>1.5750352630038833</v>
      </c>
      <c r="AC31" s="1427"/>
      <c r="AD31" s="1427"/>
      <c r="AE31" s="1427"/>
      <c r="AF31" s="1427"/>
    </row>
    <row r="32" spans="1:135" s="94" customFormat="1" ht="13.5" thickBot="1">
      <c r="A32" s="308"/>
      <c r="B32" s="4168"/>
      <c r="C32" s="1967" t="s">
        <v>58</v>
      </c>
      <c r="D32" s="533">
        <f t="shared" si="5"/>
        <v>0</v>
      </c>
      <c r="E32" s="1969">
        <f t="shared" si="5"/>
        <v>0</v>
      </c>
      <c r="F32" s="1969">
        <f t="shared" si="5"/>
        <v>0</v>
      </c>
      <c r="G32" s="1969">
        <f t="shared" si="5"/>
        <v>0</v>
      </c>
      <c r="H32" s="1970">
        <f t="shared" si="5"/>
        <v>0</v>
      </c>
      <c r="I32" s="1968">
        <f t="shared" si="5"/>
        <v>0</v>
      </c>
      <c r="J32" s="1969">
        <f t="shared" si="5"/>
        <v>0</v>
      </c>
      <c r="K32" s="1969">
        <f t="shared" si="5"/>
        <v>0</v>
      </c>
      <c r="L32" s="1969">
        <f t="shared" si="5"/>
        <v>0</v>
      </c>
      <c r="M32" s="1971">
        <f t="shared" si="5"/>
        <v>0</v>
      </c>
      <c r="N32" s="1972">
        <f t="shared" si="5"/>
        <v>0</v>
      </c>
      <c r="O32" s="1969">
        <f t="shared" si="5"/>
        <v>0</v>
      </c>
      <c r="P32" s="1969">
        <f t="shared" si="5"/>
        <v>0</v>
      </c>
      <c r="Q32" s="1969">
        <f t="shared" si="5"/>
        <v>0</v>
      </c>
      <c r="R32" s="1969">
        <f t="shared" si="5"/>
        <v>0</v>
      </c>
      <c r="S32" s="1969">
        <f t="shared" si="5"/>
        <v>0</v>
      </c>
      <c r="T32" s="1969">
        <f t="shared" si="5"/>
        <v>0</v>
      </c>
      <c r="U32" s="1969">
        <f t="shared" si="5"/>
        <v>0</v>
      </c>
      <c r="V32" s="1969">
        <f t="shared" si="5"/>
        <v>0</v>
      </c>
      <c r="W32" s="1969">
        <f t="shared" si="5"/>
        <v>0</v>
      </c>
      <c r="X32" s="1969">
        <f t="shared" si="5"/>
        <v>0</v>
      </c>
      <c r="Y32" s="1969">
        <f t="shared" si="5"/>
        <v>0</v>
      </c>
      <c r="Z32" s="1969">
        <f t="shared" si="5"/>
        <v>0</v>
      </c>
      <c r="AA32" s="1969">
        <f t="shared" si="5"/>
        <v>0</v>
      </c>
      <c r="AB32" s="1973">
        <f t="shared" si="5"/>
        <v>0</v>
      </c>
      <c r="AC32" s="1427"/>
      <c r="AD32" s="1427"/>
      <c r="AE32" s="1427"/>
      <c r="AF32" s="1427"/>
    </row>
    <row r="33" spans="1:135" s="1960" customFormat="1" ht="25.5" customHeight="1">
      <c r="A33" s="1958"/>
      <c r="B33" s="1961" t="s">
        <v>1531</v>
      </c>
      <c r="C33" s="1975"/>
      <c r="D33" s="1962"/>
      <c r="E33" s="1962"/>
      <c r="F33" s="1962"/>
      <c r="G33" s="1962"/>
      <c r="H33" s="1962"/>
      <c r="I33" s="1962"/>
      <c r="J33" s="1962"/>
      <c r="K33" s="1962"/>
      <c r="L33" s="1962"/>
      <c r="M33" s="1962"/>
      <c r="N33" s="1962"/>
      <c r="O33" s="1962"/>
      <c r="P33" s="1962"/>
      <c r="Q33" s="1962"/>
      <c r="R33" s="1962"/>
      <c r="S33" s="1962"/>
      <c r="T33" s="1962"/>
      <c r="U33" s="1962"/>
      <c r="V33" s="1962"/>
      <c r="W33" s="1962"/>
      <c r="X33" s="1962"/>
      <c r="Y33" s="1962"/>
      <c r="Z33" s="1962"/>
      <c r="AA33" s="1962"/>
      <c r="AB33" s="1963"/>
      <c r="AC33" s="1959"/>
      <c r="AD33" s="1959"/>
      <c r="AE33" s="1959"/>
      <c r="AF33" s="1959"/>
      <c r="DF33" s="1959"/>
      <c r="DG33" s="1959"/>
      <c r="DH33" s="1959"/>
      <c r="DI33" s="1959"/>
      <c r="DJ33" s="1959"/>
      <c r="DK33" s="1959"/>
      <c r="DL33" s="1959"/>
      <c r="DM33" s="1959"/>
      <c r="DN33" s="1959"/>
      <c r="DO33" s="1959"/>
      <c r="DP33" s="1959"/>
      <c r="DQ33" s="1959"/>
      <c r="DR33" s="1959"/>
      <c r="DS33" s="1959"/>
      <c r="DT33" s="1959"/>
      <c r="DU33" s="1959"/>
      <c r="DV33" s="1959"/>
      <c r="DW33" s="1959"/>
      <c r="DX33" s="1959"/>
      <c r="DY33" s="1959"/>
      <c r="DZ33" s="1959"/>
      <c r="EA33" s="1959"/>
      <c r="EB33" s="1959"/>
      <c r="EC33" s="1959"/>
      <c r="ED33" s="1959"/>
      <c r="EE33" s="1959"/>
    </row>
    <row r="34" spans="1:135" s="94" customFormat="1">
      <c r="A34" s="308"/>
      <c r="B34" s="4163" t="s">
        <v>1502</v>
      </c>
      <c r="C34" s="1954" t="s">
        <v>756</v>
      </c>
      <c r="D34" s="1952"/>
      <c r="E34" s="1955">
        <f>D35</f>
        <v>0</v>
      </c>
      <c r="F34" s="1955">
        <f t="shared" ref="F34" si="6">E35</f>
        <v>0</v>
      </c>
      <c r="G34" s="1955">
        <f>E35</f>
        <v>0</v>
      </c>
      <c r="H34" s="1956">
        <f>F35</f>
        <v>0</v>
      </c>
      <c r="I34" s="517">
        <f t="shared" ref="I34:AB34" si="7">H35</f>
        <v>0</v>
      </c>
      <c r="J34" s="518">
        <f t="shared" si="7"/>
        <v>4.293257039242917</v>
      </c>
      <c r="K34" s="518">
        <f t="shared" si="7"/>
        <v>7.5131998186751048</v>
      </c>
      <c r="L34" s="518">
        <f t="shared" si="7"/>
        <v>9.9281569032492598</v>
      </c>
      <c r="M34" s="519">
        <f t="shared" si="7"/>
        <v>11.739374716679862</v>
      </c>
      <c r="N34" s="571">
        <f t="shared" si="7"/>
        <v>13.097788076752821</v>
      </c>
      <c r="O34" s="518">
        <f t="shared" si="7"/>
        <v>13.097788076752821</v>
      </c>
      <c r="P34" s="518">
        <f t="shared" si="7"/>
        <v>13.097788076752821</v>
      </c>
      <c r="Q34" s="518">
        <f t="shared" si="7"/>
        <v>13.097788076752821</v>
      </c>
      <c r="R34" s="518">
        <f t="shared" si="7"/>
        <v>13.097788076752821</v>
      </c>
      <c r="S34" s="518">
        <f t="shared" si="7"/>
        <v>13.097788076752821</v>
      </c>
      <c r="T34" s="518">
        <f t="shared" si="7"/>
        <v>13.097788076752821</v>
      </c>
      <c r="U34" s="518">
        <f t="shared" si="7"/>
        <v>13.097788076752821</v>
      </c>
      <c r="V34" s="518">
        <f t="shared" si="7"/>
        <v>13.097788076752821</v>
      </c>
      <c r="W34" s="518">
        <f t="shared" si="7"/>
        <v>13.097788076752821</v>
      </c>
      <c r="X34" s="518">
        <f t="shared" si="7"/>
        <v>13.097788076752821</v>
      </c>
      <c r="Y34" s="518">
        <f t="shared" si="7"/>
        <v>13.097788076752821</v>
      </c>
      <c r="Z34" s="518">
        <f t="shared" si="7"/>
        <v>13.097788076752821</v>
      </c>
      <c r="AA34" s="518">
        <f t="shared" si="7"/>
        <v>13.097788076752821</v>
      </c>
      <c r="AB34" s="519">
        <f t="shared" si="7"/>
        <v>13.097788076752821</v>
      </c>
      <c r="AC34" s="1427"/>
      <c r="AD34" s="1427"/>
      <c r="AE34" s="1427"/>
      <c r="AF34" s="1427"/>
    </row>
    <row r="35" spans="1:135" s="94" customFormat="1">
      <c r="A35" s="308"/>
      <c r="B35" s="4164"/>
      <c r="C35" s="825" t="s">
        <v>757</v>
      </c>
      <c r="D35" s="823"/>
      <c r="E35" s="780"/>
      <c r="F35" s="780"/>
      <c r="G35" s="780"/>
      <c r="H35" s="515">
        <v>0</v>
      </c>
      <c r="I35" s="514">
        <v>4.293257039242917</v>
      </c>
      <c r="J35" s="513">
        <v>7.5131998186751048</v>
      </c>
      <c r="K35" s="513">
        <v>9.9281569032492598</v>
      </c>
      <c r="L35" s="513">
        <v>11.739374716679862</v>
      </c>
      <c r="M35" s="515">
        <v>13.097788076752821</v>
      </c>
      <c r="N35" s="467">
        <f>+N34</f>
        <v>13.097788076752821</v>
      </c>
      <c r="O35" s="513">
        <f t="shared" ref="O35:AB35" si="8">+O34</f>
        <v>13.097788076752821</v>
      </c>
      <c r="P35" s="513">
        <f t="shared" si="8"/>
        <v>13.097788076752821</v>
      </c>
      <c r="Q35" s="513">
        <f t="shared" si="8"/>
        <v>13.097788076752821</v>
      </c>
      <c r="R35" s="513">
        <f t="shared" si="8"/>
        <v>13.097788076752821</v>
      </c>
      <c r="S35" s="513">
        <f t="shared" si="8"/>
        <v>13.097788076752821</v>
      </c>
      <c r="T35" s="513">
        <f t="shared" si="8"/>
        <v>13.097788076752821</v>
      </c>
      <c r="U35" s="513">
        <f t="shared" si="8"/>
        <v>13.097788076752821</v>
      </c>
      <c r="V35" s="513">
        <f t="shared" si="8"/>
        <v>13.097788076752821</v>
      </c>
      <c r="W35" s="513">
        <f t="shared" si="8"/>
        <v>13.097788076752821</v>
      </c>
      <c r="X35" s="513">
        <f t="shared" si="8"/>
        <v>13.097788076752821</v>
      </c>
      <c r="Y35" s="513">
        <f t="shared" si="8"/>
        <v>13.097788076752821</v>
      </c>
      <c r="Z35" s="513">
        <f t="shared" si="8"/>
        <v>13.097788076752821</v>
      </c>
      <c r="AA35" s="513">
        <f t="shared" si="8"/>
        <v>13.097788076752821</v>
      </c>
      <c r="AB35" s="515">
        <f t="shared" si="8"/>
        <v>13.097788076752821</v>
      </c>
      <c r="AC35" s="1427"/>
      <c r="AD35" s="1427"/>
      <c r="AE35" s="1427"/>
      <c r="AF35" s="1427"/>
    </row>
    <row r="36" spans="1:135" s="94" customFormat="1">
      <c r="A36" s="308"/>
      <c r="B36" s="4164"/>
      <c r="C36" s="825" t="s">
        <v>68</v>
      </c>
      <c r="D36" s="517">
        <f t="shared" ref="D36:AB36" si="9">IF(ISERROR(AVERAGE(D34:D35)),0,AVERAGE(D34:D35))</f>
        <v>0</v>
      </c>
      <c r="E36" s="518">
        <f t="shared" si="9"/>
        <v>0</v>
      </c>
      <c r="F36" s="518">
        <f t="shared" si="9"/>
        <v>0</v>
      </c>
      <c r="G36" s="518">
        <f t="shared" si="9"/>
        <v>0</v>
      </c>
      <c r="H36" s="519">
        <f t="shared" si="9"/>
        <v>0</v>
      </c>
      <c r="I36" s="517">
        <f t="shared" si="9"/>
        <v>2.1466285196214585</v>
      </c>
      <c r="J36" s="518">
        <f t="shared" si="9"/>
        <v>5.9032284289590109</v>
      </c>
      <c r="K36" s="518">
        <f t="shared" si="9"/>
        <v>8.7206783609621823</v>
      </c>
      <c r="L36" s="518">
        <f t="shared" si="9"/>
        <v>10.833765809964561</v>
      </c>
      <c r="M36" s="519">
        <f t="shared" si="9"/>
        <v>12.418581396716341</v>
      </c>
      <c r="N36" s="571">
        <f t="shared" si="9"/>
        <v>13.097788076752821</v>
      </c>
      <c r="O36" s="518">
        <f t="shared" si="9"/>
        <v>13.097788076752821</v>
      </c>
      <c r="P36" s="518">
        <f t="shared" si="9"/>
        <v>13.097788076752821</v>
      </c>
      <c r="Q36" s="518">
        <f t="shared" si="9"/>
        <v>13.097788076752821</v>
      </c>
      <c r="R36" s="518">
        <f t="shared" si="9"/>
        <v>13.097788076752821</v>
      </c>
      <c r="S36" s="518">
        <f t="shared" si="9"/>
        <v>13.097788076752821</v>
      </c>
      <c r="T36" s="518">
        <f t="shared" si="9"/>
        <v>13.097788076752821</v>
      </c>
      <c r="U36" s="518">
        <f t="shared" si="9"/>
        <v>13.097788076752821</v>
      </c>
      <c r="V36" s="518">
        <f t="shared" si="9"/>
        <v>13.097788076752821</v>
      </c>
      <c r="W36" s="518">
        <f t="shared" si="9"/>
        <v>13.097788076752821</v>
      </c>
      <c r="X36" s="518">
        <f t="shared" si="9"/>
        <v>13.097788076752821</v>
      </c>
      <c r="Y36" s="518">
        <f t="shared" si="9"/>
        <v>13.097788076752821</v>
      </c>
      <c r="Z36" s="518">
        <f t="shared" si="9"/>
        <v>13.097788076752821</v>
      </c>
      <c r="AA36" s="518">
        <f t="shared" si="9"/>
        <v>13.097788076752821</v>
      </c>
      <c r="AB36" s="519">
        <f t="shared" si="9"/>
        <v>13.097788076752821</v>
      </c>
      <c r="AC36" s="1427"/>
      <c r="AD36" s="1427"/>
      <c r="AE36" s="1427"/>
      <c r="AF36" s="1427"/>
    </row>
    <row r="37" spans="1:135" s="94" customFormat="1">
      <c r="A37" s="308"/>
      <c r="B37" s="4164"/>
      <c r="C37" s="825" t="s">
        <v>69</v>
      </c>
      <c r="D37" s="823"/>
      <c r="E37" s="780"/>
      <c r="F37" s="780"/>
      <c r="G37" s="780"/>
      <c r="H37" s="702">
        <f>+H35-H34+H38</f>
        <v>0</v>
      </c>
      <c r="I37" s="514">
        <f t="shared" ref="I37:AB37" si="10">+I35-I34+I38</f>
        <v>4.293257039242917</v>
      </c>
      <c r="J37" s="513">
        <f t="shared" si="10"/>
        <v>3.2199427794321878</v>
      </c>
      <c r="K37" s="513">
        <f t="shared" si="10"/>
        <v>2.414957084574155</v>
      </c>
      <c r="L37" s="513">
        <f t="shared" si="10"/>
        <v>1.8112178134306021</v>
      </c>
      <c r="M37" s="515">
        <f t="shared" si="10"/>
        <v>1.3584133600729587</v>
      </c>
      <c r="N37" s="467">
        <f t="shared" si="10"/>
        <v>0</v>
      </c>
      <c r="O37" s="513">
        <f t="shared" si="10"/>
        <v>0</v>
      </c>
      <c r="P37" s="513">
        <f t="shared" si="10"/>
        <v>0</v>
      </c>
      <c r="Q37" s="513">
        <f t="shared" si="10"/>
        <v>0</v>
      </c>
      <c r="R37" s="513">
        <f t="shared" si="10"/>
        <v>0</v>
      </c>
      <c r="S37" s="513">
        <f t="shared" si="10"/>
        <v>0</v>
      </c>
      <c r="T37" s="513">
        <f t="shared" si="10"/>
        <v>0</v>
      </c>
      <c r="U37" s="513">
        <f t="shared" si="10"/>
        <v>0</v>
      </c>
      <c r="V37" s="513">
        <f t="shared" si="10"/>
        <v>0</v>
      </c>
      <c r="W37" s="513">
        <f t="shared" si="10"/>
        <v>0</v>
      </c>
      <c r="X37" s="513">
        <f t="shared" si="10"/>
        <v>0</v>
      </c>
      <c r="Y37" s="513">
        <f t="shared" si="10"/>
        <v>0</v>
      </c>
      <c r="Z37" s="513">
        <f t="shared" si="10"/>
        <v>0</v>
      </c>
      <c r="AA37" s="513">
        <f t="shared" si="10"/>
        <v>0</v>
      </c>
      <c r="AB37" s="515">
        <f t="shared" si="10"/>
        <v>0</v>
      </c>
      <c r="AC37" s="1427"/>
      <c r="AD37" s="1427"/>
      <c r="AE37" s="1427"/>
      <c r="AF37" s="1427"/>
    </row>
    <row r="38" spans="1:135" s="94" customFormat="1" ht="13.5" thickBot="1">
      <c r="A38" s="308"/>
      <c r="B38" s="4165"/>
      <c r="C38" s="1957" t="s">
        <v>58</v>
      </c>
      <c r="D38" s="1932"/>
      <c r="E38" s="886"/>
      <c r="F38" s="886"/>
      <c r="G38" s="886"/>
      <c r="H38" s="3423">
        <v>0</v>
      </c>
      <c r="I38" s="642">
        <v>0</v>
      </c>
      <c r="J38" s="465">
        <v>0</v>
      </c>
      <c r="K38" s="465">
        <v>0</v>
      </c>
      <c r="L38" s="465">
        <v>0</v>
      </c>
      <c r="M38" s="643">
        <v>0</v>
      </c>
      <c r="N38" s="1790">
        <v>0</v>
      </c>
      <c r="O38" s="465">
        <v>0</v>
      </c>
      <c r="P38" s="465">
        <v>0</v>
      </c>
      <c r="Q38" s="465">
        <v>0</v>
      </c>
      <c r="R38" s="465">
        <v>0</v>
      </c>
      <c r="S38" s="465">
        <v>0</v>
      </c>
      <c r="T38" s="465">
        <v>0</v>
      </c>
      <c r="U38" s="465">
        <v>0</v>
      </c>
      <c r="V38" s="465">
        <v>0</v>
      </c>
      <c r="W38" s="465">
        <v>0</v>
      </c>
      <c r="X38" s="465">
        <v>0</v>
      </c>
      <c r="Y38" s="465">
        <v>0</v>
      </c>
      <c r="Z38" s="465">
        <v>0</v>
      </c>
      <c r="AA38" s="465">
        <v>0</v>
      </c>
      <c r="AB38" s="643">
        <v>0</v>
      </c>
      <c r="AC38" s="1427"/>
      <c r="AD38" s="1427"/>
      <c r="AE38" s="1427"/>
      <c r="AF38" s="1427"/>
    </row>
    <row r="39" spans="1:135" s="94" customFormat="1">
      <c r="A39" s="308"/>
      <c r="B39" s="4166" t="s">
        <v>63</v>
      </c>
      <c r="C39" s="1964" t="s">
        <v>756</v>
      </c>
      <c r="D39" s="533">
        <f>+D34</f>
        <v>0</v>
      </c>
      <c r="E39" s="534">
        <f t="shared" ref="E39:AB39" si="11">+E34</f>
        <v>0</v>
      </c>
      <c r="F39" s="534">
        <f t="shared" si="11"/>
        <v>0</v>
      </c>
      <c r="G39" s="534">
        <f t="shared" si="11"/>
        <v>0</v>
      </c>
      <c r="H39" s="1464">
        <f t="shared" si="11"/>
        <v>0</v>
      </c>
      <c r="I39" s="533">
        <f t="shared" si="11"/>
        <v>0</v>
      </c>
      <c r="J39" s="534">
        <f t="shared" si="11"/>
        <v>4.293257039242917</v>
      </c>
      <c r="K39" s="534">
        <f t="shared" si="11"/>
        <v>7.5131998186751048</v>
      </c>
      <c r="L39" s="534">
        <f t="shared" si="11"/>
        <v>9.9281569032492598</v>
      </c>
      <c r="M39" s="479">
        <f t="shared" si="11"/>
        <v>11.739374716679862</v>
      </c>
      <c r="N39" s="1286">
        <f t="shared" si="11"/>
        <v>13.097788076752821</v>
      </c>
      <c r="O39" s="534">
        <f t="shared" si="11"/>
        <v>13.097788076752821</v>
      </c>
      <c r="P39" s="534">
        <f t="shared" si="11"/>
        <v>13.097788076752821</v>
      </c>
      <c r="Q39" s="534">
        <f t="shared" si="11"/>
        <v>13.097788076752821</v>
      </c>
      <c r="R39" s="534">
        <f t="shared" si="11"/>
        <v>13.097788076752821</v>
      </c>
      <c r="S39" s="534">
        <f t="shared" si="11"/>
        <v>13.097788076752821</v>
      </c>
      <c r="T39" s="534">
        <f t="shared" si="11"/>
        <v>13.097788076752821</v>
      </c>
      <c r="U39" s="534">
        <f t="shared" si="11"/>
        <v>13.097788076752821</v>
      </c>
      <c r="V39" s="534">
        <f t="shared" si="11"/>
        <v>13.097788076752821</v>
      </c>
      <c r="W39" s="534">
        <f t="shared" si="11"/>
        <v>13.097788076752821</v>
      </c>
      <c r="X39" s="534">
        <f t="shared" si="11"/>
        <v>13.097788076752821</v>
      </c>
      <c r="Y39" s="534">
        <f t="shared" si="11"/>
        <v>13.097788076752821</v>
      </c>
      <c r="Z39" s="534">
        <f t="shared" si="11"/>
        <v>13.097788076752821</v>
      </c>
      <c r="AA39" s="534">
        <f t="shared" si="11"/>
        <v>13.097788076752821</v>
      </c>
      <c r="AB39" s="1966">
        <f t="shared" si="11"/>
        <v>13.097788076752821</v>
      </c>
      <c r="AC39" s="1427"/>
      <c r="AD39" s="1427"/>
      <c r="AE39" s="1427"/>
      <c r="AF39" s="1427"/>
    </row>
    <row r="40" spans="1:135" s="94" customFormat="1">
      <c r="A40" s="308"/>
      <c r="B40" s="4167"/>
      <c r="C40" s="1964" t="s">
        <v>757</v>
      </c>
      <c r="D40" s="533">
        <f t="shared" ref="D40:AB43" si="12">+D35</f>
        <v>0</v>
      </c>
      <c r="E40" s="534">
        <f t="shared" si="12"/>
        <v>0</v>
      </c>
      <c r="F40" s="534">
        <f t="shared" si="12"/>
        <v>0</v>
      </c>
      <c r="G40" s="534">
        <f t="shared" si="12"/>
        <v>0</v>
      </c>
      <c r="H40" s="1464">
        <f t="shared" si="12"/>
        <v>0</v>
      </c>
      <c r="I40" s="533">
        <f t="shared" si="12"/>
        <v>4.293257039242917</v>
      </c>
      <c r="J40" s="534">
        <f t="shared" si="12"/>
        <v>7.5131998186751048</v>
      </c>
      <c r="K40" s="534">
        <f t="shared" si="12"/>
        <v>9.9281569032492598</v>
      </c>
      <c r="L40" s="534">
        <f t="shared" si="12"/>
        <v>11.739374716679862</v>
      </c>
      <c r="M40" s="479">
        <f t="shared" si="12"/>
        <v>13.097788076752821</v>
      </c>
      <c r="N40" s="1286">
        <f t="shared" si="12"/>
        <v>13.097788076752821</v>
      </c>
      <c r="O40" s="534">
        <f t="shared" si="12"/>
        <v>13.097788076752821</v>
      </c>
      <c r="P40" s="534">
        <f t="shared" si="12"/>
        <v>13.097788076752821</v>
      </c>
      <c r="Q40" s="534">
        <f t="shared" si="12"/>
        <v>13.097788076752821</v>
      </c>
      <c r="R40" s="534">
        <f t="shared" si="12"/>
        <v>13.097788076752821</v>
      </c>
      <c r="S40" s="534">
        <f t="shared" si="12"/>
        <v>13.097788076752821</v>
      </c>
      <c r="T40" s="534">
        <f t="shared" si="12"/>
        <v>13.097788076752821</v>
      </c>
      <c r="U40" s="534">
        <f t="shared" si="12"/>
        <v>13.097788076752821</v>
      </c>
      <c r="V40" s="534">
        <f t="shared" si="12"/>
        <v>13.097788076752821</v>
      </c>
      <c r="W40" s="534">
        <f t="shared" si="12"/>
        <v>13.097788076752821</v>
      </c>
      <c r="X40" s="534">
        <f t="shared" si="12"/>
        <v>13.097788076752821</v>
      </c>
      <c r="Y40" s="534">
        <f t="shared" si="12"/>
        <v>13.097788076752821</v>
      </c>
      <c r="Z40" s="534">
        <f t="shared" si="12"/>
        <v>13.097788076752821</v>
      </c>
      <c r="AA40" s="534">
        <f t="shared" si="12"/>
        <v>13.097788076752821</v>
      </c>
      <c r="AB40" s="1966">
        <f t="shared" si="12"/>
        <v>13.097788076752821</v>
      </c>
      <c r="AC40" s="1427"/>
      <c r="AD40" s="1427"/>
      <c r="AE40" s="1427"/>
      <c r="AF40" s="1427"/>
    </row>
    <row r="41" spans="1:135" s="94" customFormat="1">
      <c r="A41" s="308"/>
      <c r="B41" s="4167"/>
      <c r="C41" s="1965" t="s">
        <v>68</v>
      </c>
      <c r="D41" s="533">
        <f t="shared" si="12"/>
        <v>0</v>
      </c>
      <c r="E41" s="534">
        <f t="shared" si="12"/>
        <v>0</v>
      </c>
      <c r="F41" s="534">
        <f t="shared" si="12"/>
        <v>0</v>
      </c>
      <c r="G41" s="534">
        <f t="shared" si="12"/>
        <v>0</v>
      </c>
      <c r="H41" s="1464">
        <f t="shared" si="12"/>
        <v>0</v>
      </c>
      <c r="I41" s="533">
        <f t="shared" si="12"/>
        <v>2.1466285196214585</v>
      </c>
      <c r="J41" s="534">
        <f t="shared" si="12"/>
        <v>5.9032284289590109</v>
      </c>
      <c r="K41" s="534">
        <f t="shared" si="12"/>
        <v>8.7206783609621823</v>
      </c>
      <c r="L41" s="534">
        <f t="shared" si="12"/>
        <v>10.833765809964561</v>
      </c>
      <c r="M41" s="479">
        <f t="shared" si="12"/>
        <v>12.418581396716341</v>
      </c>
      <c r="N41" s="1286">
        <f t="shared" si="12"/>
        <v>13.097788076752821</v>
      </c>
      <c r="O41" s="534">
        <f t="shared" si="12"/>
        <v>13.097788076752821</v>
      </c>
      <c r="P41" s="534">
        <f t="shared" si="12"/>
        <v>13.097788076752821</v>
      </c>
      <c r="Q41" s="534">
        <f t="shared" si="12"/>
        <v>13.097788076752821</v>
      </c>
      <c r="R41" s="534">
        <f t="shared" si="12"/>
        <v>13.097788076752821</v>
      </c>
      <c r="S41" s="534">
        <f t="shared" si="12"/>
        <v>13.097788076752821</v>
      </c>
      <c r="T41" s="534">
        <f t="shared" si="12"/>
        <v>13.097788076752821</v>
      </c>
      <c r="U41" s="534">
        <f t="shared" si="12"/>
        <v>13.097788076752821</v>
      </c>
      <c r="V41" s="534">
        <f t="shared" si="12"/>
        <v>13.097788076752821</v>
      </c>
      <c r="W41" s="534">
        <f t="shared" si="12"/>
        <v>13.097788076752821</v>
      </c>
      <c r="X41" s="534">
        <f t="shared" si="12"/>
        <v>13.097788076752821</v>
      </c>
      <c r="Y41" s="534">
        <f t="shared" si="12"/>
        <v>13.097788076752821</v>
      </c>
      <c r="Z41" s="534">
        <f t="shared" si="12"/>
        <v>13.097788076752821</v>
      </c>
      <c r="AA41" s="534">
        <f t="shared" si="12"/>
        <v>13.097788076752821</v>
      </c>
      <c r="AB41" s="1966">
        <f t="shared" si="12"/>
        <v>13.097788076752821</v>
      </c>
      <c r="AC41" s="1427"/>
      <c r="AD41" s="1427"/>
      <c r="AE41" s="1427"/>
      <c r="AF41" s="1427"/>
    </row>
    <row r="42" spans="1:135" s="94" customFormat="1">
      <c r="A42" s="308"/>
      <c r="B42" s="4167"/>
      <c r="C42" s="1965" t="s">
        <v>69</v>
      </c>
      <c r="D42" s="533">
        <f t="shared" si="12"/>
        <v>0</v>
      </c>
      <c r="E42" s="534">
        <f t="shared" si="12"/>
        <v>0</v>
      </c>
      <c r="F42" s="534">
        <f t="shared" si="12"/>
        <v>0</v>
      </c>
      <c r="G42" s="534">
        <f t="shared" si="12"/>
        <v>0</v>
      </c>
      <c r="H42" s="1464">
        <f t="shared" si="12"/>
        <v>0</v>
      </c>
      <c r="I42" s="533">
        <f t="shared" si="12"/>
        <v>4.293257039242917</v>
      </c>
      <c r="J42" s="534">
        <f t="shared" si="12"/>
        <v>3.2199427794321878</v>
      </c>
      <c r="K42" s="534">
        <f t="shared" si="12"/>
        <v>2.414957084574155</v>
      </c>
      <c r="L42" s="534">
        <f t="shared" si="12"/>
        <v>1.8112178134306021</v>
      </c>
      <c r="M42" s="479">
        <f t="shared" si="12"/>
        <v>1.3584133600729587</v>
      </c>
      <c r="N42" s="1286">
        <f t="shared" si="12"/>
        <v>0</v>
      </c>
      <c r="O42" s="534">
        <f t="shared" si="12"/>
        <v>0</v>
      </c>
      <c r="P42" s="534">
        <f t="shared" si="12"/>
        <v>0</v>
      </c>
      <c r="Q42" s="534">
        <f t="shared" si="12"/>
        <v>0</v>
      </c>
      <c r="R42" s="534">
        <f t="shared" si="12"/>
        <v>0</v>
      </c>
      <c r="S42" s="534">
        <f t="shared" si="12"/>
        <v>0</v>
      </c>
      <c r="T42" s="534">
        <f t="shared" si="12"/>
        <v>0</v>
      </c>
      <c r="U42" s="534">
        <f t="shared" si="12"/>
        <v>0</v>
      </c>
      <c r="V42" s="534">
        <f t="shared" si="12"/>
        <v>0</v>
      </c>
      <c r="W42" s="534">
        <f t="shared" si="12"/>
        <v>0</v>
      </c>
      <c r="X42" s="534">
        <f t="shared" si="12"/>
        <v>0</v>
      </c>
      <c r="Y42" s="534">
        <f t="shared" si="12"/>
        <v>0</v>
      </c>
      <c r="Z42" s="534">
        <f t="shared" si="12"/>
        <v>0</v>
      </c>
      <c r="AA42" s="534">
        <f t="shared" si="12"/>
        <v>0</v>
      </c>
      <c r="AB42" s="1966">
        <f t="shared" si="12"/>
        <v>0</v>
      </c>
      <c r="AC42" s="1427"/>
      <c r="AD42" s="1427"/>
      <c r="AE42" s="1427"/>
      <c r="AF42" s="1427"/>
    </row>
    <row r="43" spans="1:135" s="94" customFormat="1" ht="13.5" thickBot="1">
      <c r="A43" s="308"/>
      <c r="B43" s="4168"/>
      <c r="C43" s="1967" t="s">
        <v>58</v>
      </c>
      <c r="D43" s="533">
        <f t="shared" si="12"/>
        <v>0</v>
      </c>
      <c r="E43" s="1969">
        <f t="shared" si="12"/>
        <v>0</v>
      </c>
      <c r="F43" s="1969">
        <f t="shared" si="12"/>
        <v>0</v>
      </c>
      <c r="G43" s="1969">
        <f t="shared" si="12"/>
        <v>0</v>
      </c>
      <c r="H43" s="1970">
        <f t="shared" si="12"/>
        <v>0</v>
      </c>
      <c r="I43" s="1968">
        <f t="shared" si="12"/>
        <v>0</v>
      </c>
      <c r="J43" s="1969">
        <f t="shared" si="12"/>
        <v>0</v>
      </c>
      <c r="K43" s="1969">
        <f t="shared" si="12"/>
        <v>0</v>
      </c>
      <c r="L43" s="1969">
        <f t="shared" si="12"/>
        <v>0</v>
      </c>
      <c r="M43" s="1971">
        <f t="shared" si="12"/>
        <v>0</v>
      </c>
      <c r="N43" s="1972">
        <f t="shared" si="12"/>
        <v>0</v>
      </c>
      <c r="O43" s="1969">
        <f t="shared" si="12"/>
        <v>0</v>
      </c>
      <c r="P43" s="1969">
        <f t="shared" si="12"/>
        <v>0</v>
      </c>
      <c r="Q43" s="1969">
        <f t="shared" si="12"/>
        <v>0</v>
      </c>
      <c r="R43" s="1969">
        <f t="shared" si="12"/>
        <v>0</v>
      </c>
      <c r="S43" s="1969">
        <f t="shared" si="12"/>
        <v>0</v>
      </c>
      <c r="T43" s="1969">
        <f t="shared" si="12"/>
        <v>0</v>
      </c>
      <c r="U43" s="1969">
        <f t="shared" si="12"/>
        <v>0</v>
      </c>
      <c r="V43" s="1969">
        <f t="shared" si="12"/>
        <v>0</v>
      </c>
      <c r="W43" s="1969">
        <f t="shared" si="12"/>
        <v>0</v>
      </c>
      <c r="X43" s="1969">
        <f t="shared" si="12"/>
        <v>0</v>
      </c>
      <c r="Y43" s="1969">
        <f t="shared" si="12"/>
        <v>0</v>
      </c>
      <c r="Z43" s="1969">
        <f t="shared" si="12"/>
        <v>0</v>
      </c>
      <c r="AA43" s="1969">
        <f t="shared" si="12"/>
        <v>0</v>
      </c>
      <c r="AB43" s="1973">
        <f t="shared" si="12"/>
        <v>0</v>
      </c>
      <c r="AC43" s="1427"/>
      <c r="AD43" s="1427"/>
      <c r="AE43" s="1427"/>
      <c r="AF43" s="1427"/>
    </row>
    <row r="44" spans="1:135" ht="47.25" customHeight="1" thickBot="1">
      <c r="D44" s="529"/>
      <c r="E44" s="529"/>
      <c r="F44" s="529"/>
      <c r="G44" s="529"/>
      <c r="H44" s="529"/>
      <c r="I44" s="529"/>
      <c r="J44" s="529"/>
      <c r="K44" s="529"/>
      <c r="L44" s="529"/>
      <c r="M44" s="529"/>
      <c r="N44" s="529"/>
      <c r="O44" s="529"/>
      <c r="P44" s="529"/>
      <c r="Q44" s="529"/>
      <c r="R44" s="529"/>
      <c r="S44" s="529"/>
      <c r="T44" s="529"/>
      <c r="U44" s="529"/>
      <c r="V44" s="529"/>
      <c r="W44" s="529"/>
      <c r="X44" s="529"/>
      <c r="Y44" s="529"/>
      <c r="Z44" s="529"/>
      <c r="AA44" s="529"/>
      <c r="AB44" s="529"/>
    </row>
    <row r="45" spans="1:135" s="94" customFormat="1" ht="18.75" customHeight="1" thickBot="1">
      <c r="A45" s="308"/>
      <c r="B45" s="1607" t="s">
        <v>1522</v>
      </c>
      <c r="C45" s="1605"/>
      <c r="D45" s="1605"/>
      <c r="E45" s="1605"/>
      <c r="F45" s="1605"/>
      <c r="G45" s="1605"/>
      <c r="H45" s="1605"/>
      <c r="I45" s="1605"/>
      <c r="J45" s="1605"/>
      <c r="K45" s="1605"/>
      <c r="L45" s="1605"/>
      <c r="M45" s="1605"/>
      <c r="N45" s="1605"/>
      <c r="O45" s="1605"/>
      <c r="P45" s="1605"/>
      <c r="Q45" s="1605"/>
      <c r="R45" s="1605"/>
      <c r="S45" s="1605"/>
      <c r="T45" s="1605"/>
      <c r="U45" s="1605"/>
      <c r="V45" s="1605"/>
      <c r="W45" s="1605"/>
      <c r="X45" s="1605"/>
      <c r="Y45" s="1605"/>
      <c r="Z45" s="1605"/>
      <c r="AA45" s="1605"/>
      <c r="AB45" s="1606"/>
      <c r="AC45" s="1427"/>
      <c r="AD45" s="1427"/>
      <c r="AE45" s="1427"/>
      <c r="AF45" s="1427"/>
      <c r="DF45" s="1427"/>
      <c r="DG45" s="1427"/>
      <c r="DH45" s="1427"/>
      <c r="DI45" s="1427"/>
      <c r="DJ45" s="1427"/>
      <c r="DK45" s="1427"/>
      <c r="DL45" s="1427"/>
      <c r="DM45" s="1427"/>
      <c r="DN45" s="1427"/>
      <c r="DO45" s="1427"/>
      <c r="DP45" s="1427"/>
      <c r="DQ45" s="1427"/>
      <c r="DR45" s="1427"/>
      <c r="DS45" s="1427"/>
      <c r="DT45" s="1427"/>
      <c r="DU45" s="1427"/>
      <c r="DV45" s="1427"/>
      <c r="DW45" s="1427"/>
      <c r="DX45" s="1427"/>
      <c r="DY45" s="1427"/>
      <c r="DZ45" s="1427"/>
      <c r="EA45" s="1427"/>
      <c r="EB45" s="1427"/>
      <c r="EC45" s="1427"/>
      <c r="ED45" s="1427"/>
      <c r="EE45" s="1427"/>
    </row>
    <row r="46" spans="1:135" s="94" customFormat="1">
      <c r="A46" s="308"/>
      <c r="B46" s="3749" t="s">
        <v>756</v>
      </c>
      <c r="C46" s="3750"/>
      <c r="D46" s="881"/>
      <c r="E46" s="518">
        <f>D47</f>
        <v>0</v>
      </c>
      <c r="F46" s="518">
        <f t="shared" ref="F46:AB46" si="13">E47</f>
        <v>0</v>
      </c>
      <c r="G46" s="518">
        <f>E47</f>
        <v>0</v>
      </c>
      <c r="H46" s="518">
        <f>F47</f>
        <v>0</v>
      </c>
      <c r="I46" s="518">
        <f t="shared" si="13"/>
        <v>0</v>
      </c>
      <c r="J46" s="518">
        <f t="shared" si="13"/>
        <v>0</v>
      </c>
      <c r="K46" s="518">
        <f t="shared" si="13"/>
        <v>0</v>
      </c>
      <c r="L46" s="518">
        <f t="shared" si="13"/>
        <v>0</v>
      </c>
      <c r="M46" s="519">
        <f t="shared" si="13"/>
        <v>0</v>
      </c>
      <c r="N46" s="571">
        <f t="shared" si="13"/>
        <v>0</v>
      </c>
      <c r="O46" s="518">
        <f t="shared" si="13"/>
        <v>0</v>
      </c>
      <c r="P46" s="518">
        <f t="shared" si="13"/>
        <v>0</v>
      </c>
      <c r="Q46" s="518">
        <f t="shared" si="13"/>
        <v>0</v>
      </c>
      <c r="R46" s="518">
        <f t="shared" si="13"/>
        <v>0</v>
      </c>
      <c r="S46" s="518">
        <f t="shared" si="13"/>
        <v>0</v>
      </c>
      <c r="T46" s="518">
        <f t="shared" si="13"/>
        <v>0</v>
      </c>
      <c r="U46" s="518">
        <f t="shared" si="13"/>
        <v>0</v>
      </c>
      <c r="V46" s="518">
        <f t="shared" si="13"/>
        <v>0</v>
      </c>
      <c r="W46" s="518">
        <f t="shared" si="13"/>
        <v>0</v>
      </c>
      <c r="X46" s="518">
        <f t="shared" si="13"/>
        <v>0</v>
      </c>
      <c r="Y46" s="518">
        <f t="shared" si="13"/>
        <v>0</v>
      </c>
      <c r="Z46" s="518">
        <f t="shared" si="13"/>
        <v>0</v>
      </c>
      <c r="AA46" s="518">
        <f t="shared" si="13"/>
        <v>0</v>
      </c>
      <c r="AB46" s="519">
        <f t="shared" si="13"/>
        <v>0</v>
      </c>
      <c r="AC46" s="1427"/>
      <c r="AD46" s="1427"/>
      <c r="AE46" s="1427"/>
      <c r="AF46" s="1427"/>
    </row>
    <row r="47" spans="1:135" s="94" customFormat="1">
      <c r="A47" s="308"/>
      <c r="B47" s="4171" t="s">
        <v>757</v>
      </c>
      <c r="C47" s="4172"/>
      <c r="D47" s="823"/>
      <c r="E47" s="780"/>
      <c r="F47" s="780"/>
      <c r="G47" s="780"/>
      <c r="H47" s="780"/>
      <c r="I47" s="823"/>
      <c r="J47" s="780"/>
      <c r="K47" s="780"/>
      <c r="L47" s="780"/>
      <c r="M47" s="884"/>
      <c r="N47" s="880"/>
      <c r="O47" s="780"/>
      <c r="P47" s="780"/>
      <c r="Q47" s="780"/>
      <c r="R47" s="780"/>
      <c r="S47" s="780"/>
      <c r="T47" s="780"/>
      <c r="U47" s="780"/>
      <c r="V47" s="780"/>
      <c r="W47" s="780"/>
      <c r="X47" s="780"/>
      <c r="Y47" s="780"/>
      <c r="Z47" s="780"/>
      <c r="AA47" s="780"/>
      <c r="AB47" s="884"/>
      <c r="AC47" s="1427"/>
      <c r="AD47" s="1427"/>
      <c r="AE47" s="1427"/>
      <c r="AF47" s="1427"/>
    </row>
    <row r="48" spans="1:135" s="94" customFormat="1">
      <c r="A48" s="308"/>
      <c r="B48" s="4171" t="s">
        <v>68</v>
      </c>
      <c r="C48" s="4172"/>
      <c r="D48" s="517">
        <f t="shared" ref="D48:AB48" si="14">IF(ISERROR(AVERAGE(D46:D47)),0,AVERAGE(D46:D47))</f>
        <v>0</v>
      </c>
      <c r="E48" s="518">
        <f t="shared" si="14"/>
        <v>0</v>
      </c>
      <c r="F48" s="518">
        <f t="shared" si="14"/>
        <v>0</v>
      </c>
      <c r="G48" s="518">
        <f t="shared" si="14"/>
        <v>0</v>
      </c>
      <c r="H48" s="518">
        <f t="shared" si="14"/>
        <v>0</v>
      </c>
      <c r="I48" s="517">
        <f t="shared" si="14"/>
        <v>0</v>
      </c>
      <c r="J48" s="518">
        <f t="shared" si="14"/>
        <v>0</v>
      </c>
      <c r="K48" s="518">
        <f t="shared" si="14"/>
        <v>0</v>
      </c>
      <c r="L48" s="518">
        <f t="shared" si="14"/>
        <v>0</v>
      </c>
      <c r="M48" s="519">
        <f t="shared" si="14"/>
        <v>0</v>
      </c>
      <c r="N48" s="571">
        <f t="shared" si="14"/>
        <v>0</v>
      </c>
      <c r="O48" s="518">
        <f t="shared" si="14"/>
        <v>0</v>
      </c>
      <c r="P48" s="518">
        <f t="shared" si="14"/>
        <v>0</v>
      </c>
      <c r="Q48" s="518">
        <f t="shared" si="14"/>
        <v>0</v>
      </c>
      <c r="R48" s="518">
        <f t="shared" si="14"/>
        <v>0</v>
      </c>
      <c r="S48" s="518">
        <f t="shared" si="14"/>
        <v>0</v>
      </c>
      <c r="T48" s="518">
        <f t="shared" si="14"/>
        <v>0</v>
      </c>
      <c r="U48" s="518">
        <f t="shared" si="14"/>
        <v>0</v>
      </c>
      <c r="V48" s="518">
        <f t="shared" si="14"/>
        <v>0</v>
      </c>
      <c r="W48" s="518">
        <f t="shared" si="14"/>
        <v>0</v>
      </c>
      <c r="X48" s="518">
        <f t="shared" si="14"/>
        <v>0</v>
      </c>
      <c r="Y48" s="518">
        <f t="shared" si="14"/>
        <v>0</v>
      </c>
      <c r="Z48" s="518">
        <f t="shared" si="14"/>
        <v>0</v>
      </c>
      <c r="AA48" s="518">
        <f t="shared" si="14"/>
        <v>0</v>
      </c>
      <c r="AB48" s="519">
        <f t="shared" si="14"/>
        <v>0</v>
      </c>
      <c r="AC48" s="1427"/>
      <c r="AD48" s="1427"/>
      <c r="AE48" s="1427"/>
      <c r="AF48" s="1427"/>
    </row>
    <row r="49" spans="1:32" s="94" customFormat="1">
      <c r="A49" s="308"/>
      <c r="B49" s="4171" t="s">
        <v>69</v>
      </c>
      <c r="C49" s="4172"/>
      <c r="D49" s="823"/>
      <c r="E49" s="780"/>
      <c r="F49" s="780"/>
      <c r="G49" s="780"/>
      <c r="H49" s="780"/>
      <c r="I49" s="823"/>
      <c r="J49" s="780"/>
      <c r="K49" s="780"/>
      <c r="L49" s="780"/>
      <c r="M49" s="884"/>
      <c r="N49" s="880"/>
      <c r="O49" s="780"/>
      <c r="P49" s="780"/>
      <c r="Q49" s="780"/>
      <c r="R49" s="780"/>
      <c r="S49" s="780"/>
      <c r="T49" s="780"/>
      <c r="U49" s="780"/>
      <c r="V49" s="780"/>
      <c r="W49" s="780"/>
      <c r="X49" s="780"/>
      <c r="Y49" s="780"/>
      <c r="Z49" s="780"/>
      <c r="AA49" s="780"/>
      <c r="AB49" s="884"/>
      <c r="AC49" s="1427"/>
      <c r="AD49" s="1427"/>
      <c r="AE49" s="1427"/>
      <c r="AF49" s="1427"/>
    </row>
    <row r="50" spans="1:32" s="94" customFormat="1" ht="13.5" thickBot="1">
      <c r="A50" s="308"/>
      <c r="B50" s="4169" t="s">
        <v>58</v>
      </c>
      <c r="C50" s="4170"/>
      <c r="D50" s="885"/>
      <c r="E50" s="886"/>
      <c r="F50" s="886"/>
      <c r="G50" s="886"/>
      <c r="H50" s="886"/>
      <c r="I50" s="885"/>
      <c r="J50" s="886"/>
      <c r="K50" s="886"/>
      <c r="L50" s="886"/>
      <c r="M50" s="887"/>
      <c r="N50" s="889"/>
      <c r="O50" s="886"/>
      <c r="P50" s="886"/>
      <c r="Q50" s="886"/>
      <c r="R50" s="886"/>
      <c r="S50" s="886"/>
      <c r="T50" s="886"/>
      <c r="U50" s="886"/>
      <c r="V50" s="886"/>
      <c r="W50" s="886"/>
      <c r="X50" s="886"/>
      <c r="Y50" s="886"/>
      <c r="Z50" s="886"/>
      <c r="AA50" s="886"/>
      <c r="AB50" s="887"/>
      <c r="AC50" s="1427"/>
      <c r="AD50" s="1427"/>
      <c r="AE50" s="1427"/>
      <c r="AF50" s="1427"/>
    </row>
    <row r="51" spans="1:32" ht="44.25" customHeight="1" thickBot="1">
      <c r="A51" s="1429"/>
      <c r="B51" s="1858"/>
      <c r="C51" s="3395" t="s">
        <v>125</v>
      </c>
      <c r="D51" s="1413"/>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5"/>
    </row>
  </sheetData>
  <mergeCells count="20">
    <mergeCell ref="B23:B27"/>
    <mergeCell ref="B7:G7"/>
    <mergeCell ref="B8:G8"/>
    <mergeCell ref="B9:G9"/>
    <mergeCell ref="B10:G10"/>
    <mergeCell ref="B17:C20"/>
    <mergeCell ref="D17:H17"/>
    <mergeCell ref="I17:M17"/>
    <mergeCell ref="N17:AB17"/>
    <mergeCell ref="D18:AB18"/>
    <mergeCell ref="D19:F19"/>
    <mergeCell ref="G19:AB19"/>
    <mergeCell ref="B49:C49"/>
    <mergeCell ref="B50:C50"/>
    <mergeCell ref="B28:B32"/>
    <mergeCell ref="B34:B38"/>
    <mergeCell ref="B39:B43"/>
    <mergeCell ref="B46:C46"/>
    <mergeCell ref="B47:C47"/>
    <mergeCell ref="B48:C48"/>
  </mergeCells>
  <pageMargins left="0.75" right="0.75" top="1" bottom="1" header="0.5" footer="0.5"/>
  <pageSetup paperSize="9" orientation="portrait" r:id="rId1"/>
  <headerFooter alignWithMargins="0"/>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autoPageBreaks="0"/>
  </sheetPr>
  <dimension ref="A1:EE58"/>
  <sheetViews>
    <sheetView showGridLines="0" zoomScale="70" zoomScaleNormal="70" workbookViewId="0">
      <selection activeCell="C29" sqref="C29"/>
    </sheetView>
  </sheetViews>
  <sheetFormatPr defaultRowHeight="12.75"/>
  <cols>
    <col min="1" max="1" width="16.28515625" style="1427" bestFit="1" customWidth="1"/>
    <col min="2" max="2" width="41.7109375" style="150" customWidth="1"/>
    <col min="3" max="3" width="38" style="1427" customWidth="1"/>
    <col min="4" max="4" width="33.85546875" style="1427" bestFit="1" customWidth="1"/>
    <col min="5" max="28" width="15.7109375" style="1427" customWidth="1"/>
    <col min="29" max="29" width="13.85546875" style="1427" customWidth="1"/>
    <col min="30" max="254" width="9.140625" style="1427"/>
    <col min="255" max="255" width="16.28515625" style="1427" bestFit="1" customWidth="1"/>
    <col min="256" max="256" width="63.28515625" style="1427" customWidth="1"/>
    <col min="257" max="257" width="22" style="1427" customWidth="1"/>
    <col min="258" max="260" width="8" style="1427" bestFit="1" customWidth="1"/>
    <col min="261" max="261" width="13.85546875" style="1427" customWidth="1"/>
    <col min="262" max="262" width="17.28515625" style="1427" bestFit="1" customWidth="1"/>
    <col min="263" max="274" width="10.7109375" style="1427" bestFit="1" customWidth="1"/>
    <col min="275" max="510" width="9.140625" style="1427"/>
    <col min="511" max="511" width="16.28515625" style="1427" bestFit="1" customWidth="1"/>
    <col min="512" max="512" width="63.28515625" style="1427" customWidth="1"/>
    <col min="513" max="513" width="22" style="1427" customWidth="1"/>
    <col min="514" max="516" width="8" style="1427" bestFit="1" customWidth="1"/>
    <col min="517" max="517" width="13.85546875" style="1427" customWidth="1"/>
    <col min="518" max="518" width="17.28515625" style="1427" bestFit="1" customWidth="1"/>
    <col min="519" max="530" width="10.7109375" style="1427" bestFit="1" customWidth="1"/>
    <col min="531" max="766" width="9.140625" style="1427"/>
    <col min="767" max="767" width="16.28515625" style="1427" bestFit="1" customWidth="1"/>
    <col min="768" max="768" width="63.28515625" style="1427" customWidth="1"/>
    <col min="769" max="769" width="22" style="1427" customWidth="1"/>
    <col min="770" max="772" width="8" style="1427" bestFit="1" customWidth="1"/>
    <col min="773" max="773" width="13.85546875" style="1427" customWidth="1"/>
    <col min="774" max="774" width="17.28515625" style="1427" bestFit="1" customWidth="1"/>
    <col min="775" max="786" width="10.7109375" style="1427" bestFit="1" customWidth="1"/>
    <col min="787" max="1022" width="9.140625" style="1427"/>
    <col min="1023" max="1023" width="16.28515625" style="1427" bestFit="1" customWidth="1"/>
    <col min="1024" max="1024" width="63.28515625" style="1427" customWidth="1"/>
    <col min="1025" max="1025" width="22" style="1427" customWidth="1"/>
    <col min="1026" max="1028" width="8" style="1427" bestFit="1" customWidth="1"/>
    <col min="1029" max="1029" width="13.85546875" style="1427" customWidth="1"/>
    <col min="1030" max="1030" width="17.28515625" style="1427" bestFit="1" customWidth="1"/>
    <col min="1031" max="1042" width="10.7109375" style="1427" bestFit="1" customWidth="1"/>
    <col min="1043" max="1278" width="9.140625" style="1427"/>
    <col min="1279" max="1279" width="16.28515625" style="1427" bestFit="1" customWidth="1"/>
    <col min="1280" max="1280" width="63.28515625" style="1427" customWidth="1"/>
    <col min="1281" max="1281" width="22" style="1427" customWidth="1"/>
    <col min="1282" max="1284" width="8" style="1427" bestFit="1" customWidth="1"/>
    <col min="1285" max="1285" width="13.85546875" style="1427" customWidth="1"/>
    <col min="1286" max="1286" width="17.28515625" style="1427" bestFit="1" customWidth="1"/>
    <col min="1287" max="1298" width="10.7109375" style="1427" bestFit="1" customWidth="1"/>
    <col min="1299" max="1534" width="9.140625" style="1427"/>
    <col min="1535" max="1535" width="16.28515625" style="1427" bestFit="1" customWidth="1"/>
    <col min="1536" max="1536" width="63.28515625" style="1427" customWidth="1"/>
    <col min="1537" max="1537" width="22" style="1427" customWidth="1"/>
    <col min="1538" max="1540" width="8" style="1427" bestFit="1" customWidth="1"/>
    <col min="1541" max="1541" width="13.85546875" style="1427" customWidth="1"/>
    <col min="1542" max="1542" width="17.28515625" style="1427" bestFit="1" customWidth="1"/>
    <col min="1543" max="1554" width="10.7109375" style="1427" bestFit="1" customWidth="1"/>
    <col min="1555" max="1790" width="9.140625" style="1427"/>
    <col min="1791" max="1791" width="16.28515625" style="1427" bestFit="1" customWidth="1"/>
    <col min="1792" max="1792" width="63.28515625" style="1427" customWidth="1"/>
    <col min="1793" max="1793" width="22" style="1427" customWidth="1"/>
    <col min="1794" max="1796" width="8" style="1427" bestFit="1" customWidth="1"/>
    <col min="1797" max="1797" width="13.85546875" style="1427" customWidth="1"/>
    <col min="1798" max="1798" width="17.28515625" style="1427" bestFit="1" customWidth="1"/>
    <col min="1799" max="1810" width="10.7109375" style="1427" bestFit="1" customWidth="1"/>
    <col min="1811" max="2046" width="9.140625" style="1427"/>
    <col min="2047" max="2047" width="16.28515625" style="1427" bestFit="1" customWidth="1"/>
    <col min="2048" max="2048" width="63.28515625" style="1427" customWidth="1"/>
    <col min="2049" max="2049" width="22" style="1427" customWidth="1"/>
    <col min="2050" max="2052" width="8" style="1427" bestFit="1" customWidth="1"/>
    <col min="2053" max="2053" width="13.85546875" style="1427" customWidth="1"/>
    <col min="2054" max="2054" width="17.28515625" style="1427" bestFit="1" customWidth="1"/>
    <col min="2055" max="2066" width="10.7109375" style="1427" bestFit="1" customWidth="1"/>
    <col min="2067" max="2302" width="9.140625" style="1427"/>
    <col min="2303" max="2303" width="16.28515625" style="1427" bestFit="1" customWidth="1"/>
    <col min="2304" max="2304" width="63.28515625" style="1427" customWidth="1"/>
    <col min="2305" max="2305" width="22" style="1427" customWidth="1"/>
    <col min="2306" max="2308" width="8" style="1427" bestFit="1" customWidth="1"/>
    <col min="2309" max="2309" width="13.85546875" style="1427" customWidth="1"/>
    <col min="2310" max="2310" width="17.28515625" style="1427" bestFit="1" customWidth="1"/>
    <col min="2311" max="2322" width="10.7109375" style="1427" bestFit="1" customWidth="1"/>
    <col min="2323" max="2558" width="9.140625" style="1427"/>
    <col min="2559" max="2559" width="16.28515625" style="1427" bestFit="1" customWidth="1"/>
    <col min="2560" max="2560" width="63.28515625" style="1427" customWidth="1"/>
    <col min="2561" max="2561" width="22" style="1427" customWidth="1"/>
    <col min="2562" max="2564" width="8" style="1427" bestFit="1" customWidth="1"/>
    <col min="2565" max="2565" width="13.85546875" style="1427" customWidth="1"/>
    <col min="2566" max="2566" width="17.28515625" style="1427" bestFit="1" customWidth="1"/>
    <col min="2567" max="2578" width="10.7109375" style="1427" bestFit="1" customWidth="1"/>
    <col min="2579" max="2814" width="9.140625" style="1427"/>
    <col min="2815" max="2815" width="16.28515625" style="1427" bestFit="1" customWidth="1"/>
    <col min="2816" max="2816" width="63.28515625" style="1427" customWidth="1"/>
    <col min="2817" max="2817" width="22" style="1427" customWidth="1"/>
    <col min="2818" max="2820" width="8" style="1427" bestFit="1" customWidth="1"/>
    <col min="2821" max="2821" width="13.85546875" style="1427" customWidth="1"/>
    <col min="2822" max="2822" width="17.28515625" style="1427" bestFit="1" customWidth="1"/>
    <col min="2823" max="2834" width="10.7109375" style="1427" bestFit="1" customWidth="1"/>
    <col min="2835" max="3070" width="9.140625" style="1427"/>
    <col min="3071" max="3071" width="16.28515625" style="1427" bestFit="1" customWidth="1"/>
    <col min="3072" max="3072" width="63.28515625" style="1427" customWidth="1"/>
    <col min="3073" max="3073" width="22" style="1427" customWidth="1"/>
    <col min="3074" max="3076" width="8" style="1427" bestFit="1" customWidth="1"/>
    <col min="3077" max="3077" width="13.85546875" style="1427" customWidth="1"/>
    <col min="3078" max="3078" width="17.28515625" style="1427" bestFit="1" customWidth="1"/>
    <col min="3079" max="3090" width="10.7109375" style="1427" bestFit="1" customWidth="1"/>
    <col min="3091" max="3326" width="9.140625" style="1427"/>
    <col min="3327" max="3327" width="16.28515625" style="1427" bestFit="1" customWidth="1"/>
    <col min="3328" max="3328" width="63.28515625" style="1427" customWidth="1"/>
    <col min="3329" max="3329" width="22" style="1427" customWidth="1"/>
    <col min="3330" max="3332" width="8" style="1427" bestFit="1" customWidth="1"/>
    <col min="3333" max="3333" width="13.85546875" style="1427" customWidth="1"/>
    <col min="3334" max="3334" width="17.28515625" style="1427" bestFit="1" customWidth="1"/>
    <col min="3335" max="3346" width="10.7109375" style="1427" bestFit="1" customWidth="1"/>
    <col min="3347" max="3582" width="9.140625" style="1427"/>
    <col min="3583" max="3583" width="16.28515625" style="1427" bestFit="1" customWidth="1"/>
    <col min="3584" max="3584" width="63.28515625" style="1427" customWidth="1"/>
    <col min="3585" max="3585" width="22" style="1427" customWidth="1"/>
    <col min="3586" max="3588" width="8" style="1427" bestFit="1" customWidth="1"/>
    <col min="3589" max="3589" width="13.85546875" style="1427" customWidth="1"/>
    <col min="3590" max="3590" width="17.28515625" style="1427" bestFit="1" customWidth="1"/>
    <col min="3591" max="3602" width="10.7109375" style="1427" bestFit="1" customWidth="1"/>
    <col min="3603" max="3838" width="9.140625" style="1427"/>
    <col min="3839" max="3839" width="16.28515625" style="1427" bestFit="1" customWidth="1"/>
    <col min="3840" max="3840" width="63.28515625" style="1427" customWidth="1"/>
    <col min="3841" max="3841" width="22" style="1427" customWidth="1"/>
    <col min="3842" max="3844" width="8" style="1427" bestFit="1" customWidth="1"/>
    <col min="3845" max="3845" width="13.85546875" style="1427" customWidth="1"/>
    <col min="3846" max="3846" width="17.28515625" style="1427" bestFit="1" customWidth="1"/>
    <col min="3847" max="3858" width="10.7109375" style="1427" bestFit="1" customWidth="1"/>
    <col min="3859" max="4094" width="9.140625" style="1427"/>
    <col min="4095" max="4095" width="16.28515625" style="1427" bestFit="1" customWidth="1"/>
    <col min="4096" max="4096" width="63.28515625" style="1427" customWidth="1"/>
    <col min="4097" max="4097" width="22" style="1427" customWidth="1"/>
    <col min="4098" max="4100" width="8" style="1427" bestFit="1" customWidth="1"/>
    <col min="4101" max="4101" width="13.85546875" style="1427" customWidth="1"/>
    <col min="4102" max="4102" width="17.28515625" style="1427" bestFit="1" customWidth="1"/>
    <col min="4103" max="4114" width="10.7109375" style="1427" bestFit="1" customWidth="1"/>
    <col min="4115" max="4350" width="9.140625" style="1427"/>
    <col min="4351" max="4351" width="16.28515625" style="1427" bestFit="1" customWidth="1"/>
    <col min="4352" max="4352" width="63.28515625" style="1427" customWidth="1"/>
    <col min="4353" max="4353" width="22" style="1427" customWidth="1"/>
    <col min="4354" max="4356" width="8" style="1427" bestFit="1" customWidth="1"/>
    <col min="4357" max="4357" width="13.85546875" style="1427" customWidth="1"/>
    <col min="4358" max="4358" width="17.28515625" style="1427" bestFit="1" customWidth="1"/>
    <col min="4359" max="4370" width="10.7109375" style="1427" bestFit="1" customWidth="1"/>
    <col min="4371" max="4606" width="9.140625" style="1427"/>
    <col min="4607" max="4607" width="16.28515625" style="1427" bestFit="1" customWidth="1"/>
    <col min="4608" max="4608" width="63.28515625" style="1427" customWidth="1"/>
    <col min="4609" max="4609" width="22" style="1427" customWidth="1"/>
    <col min="4610" max="4612" width="8" style="1427" bestFit="1" customWidth="1"/>
    <col min="4613" max="4613" width="13.85546875" style="1427" customWidth="1"/>
    <col min="4614" max="4614" width="17.28515625" style="1427" bestFit="1" customWidth="1"/>
    <col min="4615" max="4626" width="10.7109375" style="1427" bestFit="1" customWidth="1"/>
    <col min="4627" max="4862" width="9.140625" style="1427"/>
    <col min="4863" max="4863" width="16.28515625" style="1427" bestFit="1" customWidth="1"/>
    <col min="4864" max="4864" width="63.28515625" style="1427" customWidth="1"/>
    <col min="4865" max="4865" width="22" style="1427" customWidth="1"/>
    <col min="4866" max="4868" width="8" style="1427" bestFit="1" customWidth="1"/>
    <col min="4869" max="4869" width="13.85546875" style="1427" customWidth="1"/>
    <col min="4870" max="4870" width="17.28515625" style="1427" bestFit="1" customWidth="1"/>
    <col min="4871" max="4882" width="10.7109375" style="1427" bestFit="1" customWidth="1"/>
    <col min="4883" max="5118" width="9.140625" style="1427"/>
    <col min="5119" max="5119" width="16.28515625" style="1427" bestFit="1" customWidth="1"/>
    <col min="5120" max="5120" width="63.28515625" style="1427" customWidth="1"/>
    <col min="5121" max="5121" width="22" style="1427" customWidth="1"/>
    <col min="5122" max="5124" width="8" style="1427" bestFit="1" customWidth="1"/>
    <col min="5125" max="5125" width="13.85546875" style="1427" customWidth="1"/>
    <col min="5126" max="5126" width="17.28515625" style="1427" bestFit="1" customWidth="1"/>
    <col min="5127" max="5138" width="10.7109375" style="1427" bestFit="1" customWidth="1"/>
    <col min="5139" max="5374" width="9.140625" style="1427"/>
    <col min="5375" max="5375" width="16.28515625" style="1427" bestFit="1" customWidth="1"/>
    <col min="5376" max="5376" width="63.28515625" style="1427" customWidth="1"/>
    <col min="5377" max="5377" width="22" style="1427" customWidth="1"/>
    <col min="5378" max="5380" width="8" style="1427" bestFit="1" customWidth="1"/>
    <col min="5381" max="5381" width="13.85546875" style="1427" customWidth="1"/>
    <col min="5382" max="5382" width="17.28515625" style="1427" bestFit="1" customWidth="1"/>
    <col min="5383" max="5394" width="10.7109375" style="1427" bestFit="1" customWidth="1"/>
    <col min="5395" max="5630" width="9.140625" style="1427"/>
    <col min="5631" max="5631" width="16.28515625" style="1427" bestFit="1" customWidth="1"/>
    <col min="5632" max="5632" width="63.28515625" style="1427" customWidth="1"/>
    <col min="5633" max="5633" width="22" style="1427" customWidth="1"/>
    <col min="5634" max="5636" width="8" style="1427" bestFit="1" customWidth="1"/>
    <col min="5637" max="5637" width="13.85546875" style="1427" customWidth="1"/>
    <col min="5638" max="5638" width="17.28515625" style="1427" bestFit="1" customWidth="1"/>
    <col min="5639" max="5650" width="10.7109375" style="1427" bestFit="1" customWidth="1"/>
    <col min="5651" max="5886" width="9.140625" style="1427"/>
    <col min="5887" max="5887" width="16.28515625" style="1427" bestFit="1" customWidth="1"/>
    <col min="5888" max="5888" width="63.28515625" style="1427" customWidth="1"/>
    <col min="5889" max="5889" width="22" style="1427" customWidth="1"/>
    <col min="5890" max="5892" width="8" style="1427" bestFit="1" customWidth="1"/>
    <col min="5893" max="5893" width="13.85546875" style="1427" customWidth="1"/>
    <col min="5894" max="5894" width="17.28515625" style="1427" bestFit="1" customWidth="1"/>
    <col min="5895" max="5906" width="10.7109375" style="1427" bestFit="1" customWidth="1"/>
    <col min="5907" max="6142" width="9.140625" style="1427"/>
    <col min="6143" max="6143" width="16.28515625" style="1427" bestFit="1" customWidth="1"/>
    <col min="6144" max="6144" width="63.28515625" style="1427" customWidth="1"/>
    <col min="6145" max="6145" width="22" style="1427" customWidth="1"/>
    <col min="6146" max="6148" width="8" style="1427" bestFit="1" customWidth="1"/>
    <col min="6149" max="6149" width="13.85546875" style="1427" customWidth="1"/>
    <col min="6150" max="6150" width="17.28515625" style="1427" bestFit="1" customWidth="1"/>
    <col min="6151" max="6162" width="10.7109375" style="1427" bestFit="1" customWidth="1"/>
    <col min="6163" max="6398" width="9.140625" style="1427"/>
    <col min="6399" max="6399" width="16.28515625" style="1427" bestFit="1" customWidth="1"/>
    <col min="6400" max="6400" width="63.28515625" style="1427" customWidth="1"/>
    <col min="6401" max="6401" width="22" style="1427" customWidth="1"/>
    <col min="6402" max="6404" width="8" style="1427" bestFit="1" customWidth="1"/>
    <col min="6405" max="6405" width="13.85546875" style="1427" customWidth="1"/>
    <col min="6406" max="6406" width="17.28515625" style="1427" bestFit="1" customWidth="1"/>
    <col min="6407" max="6418" width="10.7109375" style="1427" bestFit="1" customWidth="1"/>
    <col min="6419" max="6654" width="9.140625" style="1427"/>
    <col min="6655" max="6655" width="16.28515625" style="1427" bestFit="1" customWidth="1"/>
    <col min="6656" max="6656" width="63.28515625" style="1427" customWidth="1"/>
    <col min="6657" max="6657" width="22" style="1427" customWidth="1"/>
    <col min="6658" max="6660" width="8" style="1427" bestFit="1" customWidth="1"/>
    <col min="6661" max="6661" width="13.85546875" style="1427" customWidth="1"/>
    <col min="6662" max="6662" width="17.28515625" style="1427" bestFit="1" customWidth="1"/>
    <col min="6663" max="6674" width="10.7109375" style="1427" bestFit="1" customWidth="1"/>
    <col min="6675" max="6910" width="9.140625" style="1427"/>
    <col min="6911" max="6911" width="16.28515625" style="1427" bestFit="1" customWidth="1"/>
    <col min="6912" max="6912" width="63.28515625" style="1427" customWidth="1"/>
    <col min="6913" max="6913" width="22" style="1427" customWidth="1"/>
    <col min="6914" max="6916" width="8" style="1427" bestFit="1" customWidth="1"/>
    <col min="6917" max="6917" width="13.85546875" style="1427" customWidth="1"/>
    <col min="6918" max="6918" width="17.28515625" style="1427" bestFit="1" customWidth="1"/>
    <col min="6919" max="6930" width="10.7109375" style="1427" bestFit="1" customWidth="1"/>
    <col min="6931" max="7166" width="9.140625" style="1427"/>
    <col min="7167" max="7167" width="16.28515625" style="1427" bestFit="1" customWidth="1"/>
    <col min="7168" max="7168" width="63.28515625" style="1427" customWidth="1"/>
    <col min="7169" max="7169" width="22" style="1427" customWidth="1"/>
    <col min="7170" max="7172" width="8" style="1427" bestFit="1" customWidth="1"/>
    <col min="7173" max="7173" width="13.85546875" style="1427" customWidth="1"/>
    <col min="7174" max="7174" width="17.28515625" style="1427" bestFit="1" customWidth="1"/>
    <col min="7175" max="7186" width="10.7109375" style="1427" bestFit="1" customWidth="1"/>
    <col min="7187" max="7422" width="9.140625" style="1427"/>
    <col min="7423" max="7423" width="16.28515625" style="1427" bestFit="1" customWidth="1"/>
    <col min="7424" max="7424" width="63.28515625" style="1427" customWidth="1"/>
    <col min="7425" max="7425" width="22" style="1427" customWidth="1"/>
    <col min="7426" max="7428" width="8" style="1427" bestFit="1" customWidth="1"/>
    <col min="7429" max="7429" width="13.85546875" style="1427" customWidth="1"/>
    <col min="7430" max="7430" width="17.28515625" style="1427" bestFit="1" customWidth="1"/>
    <col min="7431" max="7442" width="10.7109375" style="1427" bestFit="1" customWidth="1"/>
    <col min="7443" max="7678" width="9.140625" style="1427"/>
    <col min="7679" max="7679" width="16.28515625" style="1427" bestFit="1" customWidth="1"/>
    <col min="7680" max="7680" width="63.28515625" style="1427" customWidth="1"/>
    <col min="7681" max="7681" width="22" style="1427" customWidth="1"/>
    <col min="7682" max="7684" width="8" style="1427" bestFit="1" customWidth="1"/>
    <col min="7685" max="7685" width="13.85546875" style="1427" customWidth="1"/>
    <col min="7686" max="7686" width="17.28515625" style="1427" bestFit="1" customWidth="1"/>
    <col min="7687" max="7698" width="10.7109375" style="1427" bestFit="1" customWidth="1"/>
    <col min="7699" max="7934" width="9.140625" style="1427"/>
    <col min="7935" max="7935" width="16.28515625" style="1427" bestFit="1" customWidth="1"/>
    <col min="7936" max="7936" width="63.28515625" style="1427" customWidth="1"/>
    <col min="7937" max="7937" width="22" style="1427" customWidth="1"/>
    <col min="7938" max="7940" width="8" style="1427" bestFit="1" customWidth="1"/>
    <col min="7941" max="7941" width="13.85546875" style="1427" customWidth="1"/>
    <col min="7942" max="7942" width="17.28515625" style="1427" bestFit="1" customWidth="1"/>
    <col min="7943" max="7954" width="10.7109375" style="1427" bestFit="1" customWidth="1"/>
    <col min="7955" max="8190" width="9.140625" style="1427"/>
    <col min="8191" max="8191" width="16.28515625" style="1427" bestFit="1" customWidth="1"/>
    <col min="8192" max="8192" width="63.28515625" style="1427" customWidth="1"/>
    <col min="8193" max="8193" width="22" style="1427" customWidth="1"/>
    <col min="8194" max="8196" width="8" style="1427" bestFit="1" customWidth="1"/>
    <col min="8197" max="8197" width="13.85546875" style="1427" customWidth="1"/>
    <col min="8198" max="8198" width="17.28515625" style="1427" bestFit="1" customWidth="1"/>
    <col min="8199" max="8210" width="10.7109375" style="1427" bestFit="1" customWidth="1"/>
    <col min="8211" max="8446" width="9.140625" style="1427"/>
    <col min="8447" max="8447" width="16.28515625" style="1427" bestFit="1" customWidth="1"/>
    <col min="8448" max="8448" width="63.28515625" style="1427" customWidth="1"/>
    <col min="8449" max="8449" width="22" style="1427" customWidth="1"/>
    <col min="8450" max="8452" width="8" style="1427" bestFit="1" customWidth="1"/>
    <col min="8453" max="8453" width="13.85546875" style="1427" customWidth="1"/>
    <col min="8454" max="8454" width="17.28515625" style="1427" bestFit="1" customWidth="1"/>
    <col min="8455" max="8466" width="10.7109375" style="1427" bestFit="1" customWidth="1"/>
    <col min="8467" max="8702" width="9.140625" style="1427"/>
    <col min="8703" max="8703" width="16.28515625" style="1427" bestFit="1" customWidth="1"/>
    <col min="8704" max="8704" width="63.28515625" style="1427" customWidth="1"/>
    <col min="8705" max="8705" width="22" style="1427" customWidth="1"/>
    <col min="8706" max="8708" width="8" style="1427" bestFit="1" customWidth="1"/>
    <col min="8709" max="8709" width="13.85546875" style="1427" customWidth="1"/>
    <col min="8710" max="8710" width="17.28515625" style="1427" bestFit="1" customWidth="1"/>
    <col min="8711" max="8722" width="10.7109375" style="1427" bestFit="1" customWidth="1"/>
    <col min="8723" max="8958" width="9.140625" style="1427"/>
    <col min="8959" max="8959" width="16.28515625" style="1427" bestFit="1" customWidth="1"/>
    <col min="8960" max="8960" width="63.28515625" style="1427" customWidth="1"/>
    <col min="8961" max="8961" width="22" style="1427" customWidth="1"/>
    <col min="8962" max="8964" width="8" style="1427" bestFit="1" customWidth="1"/>
    <col min="8965" max="8965" width="13.85546875" style="1427" customWidth="1"/>
    <col min="8966" max="8966" width="17.28515625" style="1427" bestFit="1" customWidth="1"/>
    <col min="8967" max="8978" width="10.7109375" style="1427" bestFit="1" customWidth="1"/>
    <col min="8979" max="9214" width="9.140625" style="1427"/>
    <col min="9215" max="9215" width="16.28515625" style="1427" bestFit="1" customWidth="1"/>
    <col min="9216" max="9216" width="63.28515625" style="1427" customWidth="1"/>
    <col min="9217" max="9217" width="22" style="1427" customWidth="1"/>
    <col min="9218" max="9220" width="8" style="1427" bestFit="1" customWidth="1"/>
    <col min="9221" max="9221" width="13.85546875" style="1427" customWidth="1"/>
    <col min="9222" max="9222" width="17.28515625" style="1427" bestFit="1" customWidth="1"/>
    <col min="9223" max="9234" width="10.7109375" style="1427" bestFit="1" customWidth="1"/>
    <col min="9235" max="9470" width="9.140625" style="1427"/>
    <col min="9471" max="9471" width="16.28515625" style="1427" bestFit="1" customWidth="1"/>
    <col min="9472" max="9472" width="63.28515625" style="1427" customWidth="1"/>
    <col min="9473" max="9473" width="22" style="1427" customWidth="1"/>
    <col min="9474" max="9476" width="8" style="1427" bestFit="1" customWidth="1"/>
    <col min="9477" max="9477" width="13.85546875" style="1427" customWidth="1"/>
    <col min="9478" max="9478" width="17.28515625" style="1427" bestFit="1" customWidth="1"/>
    <col min="9479" max="9490" width="10.7109375" style="1427" bestFit="1" customWidth="1"/>
    <col min="9491" max="9726" width="9.140625" style="1427"/>
    <col min="9727" max="9727" width="16.28515625" style="1427" bestFit="1" customWidth="1"/>
    <col min="9728" max="9728" width="63.28515625" style="1427" customWidth="1"/>
    <col min="9729" max="9729" width="22" style="1427" customWidth="1"/>
    <col min="9730" max="9732" width="8" style="1427" bestFit="1" customWidth="1"/>
    <col min="9733" max="9733" width="13.85546875" style="1427" customWidth="1"/>
    <col min="9734" max="9734" width="17.28515625" style="1427" bestFit="1" customWidth="1"/>
    <col min="9735" max="9746" width="10.7109375" style="1427" bestFit="1" customWidth="1"/>
    <col min="9747" max="9982" width="9.140625" style="1427"/>
    <col min="9983" max="9983" width="16.28515625" style="1427" bestFit="1" customWidth="1"/>
    <col min="9984" max="9984" width="63.28515625" style="1427" customWidth="1"/>
    <col min="9985" max="9985" width="22" style="1427" customWidth="1"/>
    <col min="9986" max="9988" width="8" style="1427" bestFit="1" customWidth="1"/>
    <col min="9989" max="9989" width="13.85546875" style="1427" customWidth="1"/>
    <col min="9990" max="9990" width="17.28515625" style="1427" bestFit="1" customWidth="1"/>
    <col min="9991" max="10002" width="10.7109375" style="1427" bestFit="1" customWidth="1"/>
    <col min="10003" max="10238" width="9.140625" style="1427"/>
    <col min="10239" max="10239" width="16.28515625" style="1427" bestFit="1" customWidth="1"/>
    <col min="10240" max="10240" width="63.28515625" style="1427" customWidth="1"/>
    <col min="10241" max="10241" width="22" style="1427" customWidth="1"/>
    <col min="10242" max="10244" width="8" style="1427" bestFit="1" customWidth="1"/>
    <col min="10245" max="10245" width="13.85546875" style="1427" customWidth="1"/>
    <col min="10246" max="10246" width="17.28515625" style="1427" bestFit="1" customWidth="1"/>
    <col min="10247" max="10258" width="10.7109375" style="1427" bestFit="1" customWidth="1"/>
    <col min="10259" max="10494" width="9.140625" style="1427"/>
    <col min="10495" max="10495" width="16.28515625" style="1427" bestFit="1" customWidth="1"/>
    <col min="10496" max="10496" width="63.28515625" style="1427" customWidth="1"/>
    <col min="10497" max="10497" width="22" style="1427" customWidth="1"/>
    <col min="10498" max="10500" width="8" style="1427" bestFit="1" customWidth="1"/>
    <col min="10501" max="10501" width="13.85546875" style="1427" customWidth="1"/>
    <col min="10502" max="10502" width="17.28515625" style="1427" bestFit="1" customWidth="1"/>
    <col min="10503" max="10514" width="10.7109375" style="1427" bestFit="1" customWidth="1"/>
    <col min="10515" max="10750" width="9.140625" style="1427"/>
    <col min="10751" max="10751" width="16.28515625" style="1427" bestFit="1" customWidth="1"/>
    <col min="10752" max="10752" width="63.28515625" style="1427" customWidth="1"/>
    <col min="10753" max="10753" width="22" style="1427" customWidth="1"/>
    <col min="10754" max="10756" width="8" style="1427" bestFit="1" customWidth="1"/>
    <col min="10757" max="10757" width="13.85546875" style="1427" customWidth="1"/>
    <col min="10758" max="10758" width="17.28515625" style="1427" bestFit="1" customWidth="1"/>
    <col min="10759" max="10770" width="10.7109375" style="1427" bestFit="1" customWidth="1"/>
    <col min="10771" max="11006" width="9.140625" style="1427"/>
    <col min="11007" max="11007" width="16.28515625" style="1427" bestFit="1" customWidth="1"/>
    <col min="11008" max="11008" width="63.28515625" style="1427" customWidth="1"/>
    <col min="11009" max="11009" width="22" style="1427" customWidth="1"/>
    <col min="11010" max="11012" width="8" style="1427" bestFit="1" customWidth="1"/>
    <col min="11013" max="11013" width="13.85546875" style="1427" customWidth="1"/>
    <col min="11014" max="11014" width="17.28515625" style="1427" bestFit="1" customWidth="1"/>
    <col min="11015" max="11026" width="10.7109375" style="1427" bestFit="1" customWidth="1"/>
    <col min="11027" max="11262" width="9.140625" style="1427"/>
    <col min="11263" max="11263" width="16.28515625" style="1427" bestFit="1" customWidth="1"/>
    <col min="11264" max="11264" width="63.28515625" style="1427" customWidth="1"/>
    <col min="11265" max="11265" width="22" style="1427" customWidth="1"/>
    <col min="11266" max="11268" width="8" style="1427" bestFit="1" customWidth="1"/>
    <col min="11269" max="11269" width="13.85546875" style="1427" customWidth="1"/>
    <col min="11270" max="11270" width="17.28515625" style="1427" bestFit="1" customWidth="1"/>
    <col min="11271" max="11282" width="10.7109375" style="1427" bestFit="1" customWidth="1"/>
    <col min="11283" max="11518" width="9.140625" style="1427"/>
    <col min="11519" max="11519" width="16.28515625" style="1427" bestFit="1" customWidth="1"/>
    <col min="11520" max="11520" width="63.28515625" style="1427" customWidth="1"/>
    <col min="11521" max="11521" width="22" style="1427" customWidth="1"/>
    <col min="11522" max="11524" width="8" style="1427" bestFit="1" customWidth="1"/>
    <col min="11525" max="11525" width="13.85546875" style="1427" customWidth="1"/>
    <col min="11526" max="11526" width="17.28515625" style="1427" bestFit="1" customWidth="1"/>
    <col min="11527" max="11538" width="10.7109375" style="1427" bestFit="1" customWidth="1"/>
    <col min="11539" max="11774" width="9.140625" style="1427"/>
    <col min="11775" max="11775" width="16.28515625" style="1427" bestFit="1" customWidth="1"/>
    <col min="11776" max="11776" width="63.28515625" style="1427" customWidth="1"/>
    <col min="11777" max="11777" width="22" style="1427" customWidth="1"/>
    <col min="11778" max="11780" width="8" style="1427" bestFit="1" customWidth="1"/>
    <col min="11781" max="11781" width="13.85546875" style="1427" customWidth="1"/>
    <col min="11782" max="11782" width="17.28515625" style="1427" bestFit="1" customWidth="1"/>
    <col min="11783" max="11794" width="10.7109375" style="1427" bestFit="1" customWidth="1"/>
    <col min="11795" max="12030" width="9.140625" style="1427"/>
    <col min="12031" max="12031" width="16.28515625" style="1427" bestFit="1" customWidth="1"/>
    <col min="12032" max="12032" width="63.28515625" style="1427" customWidth="1"/>
    <col min="12033" max="12033" width="22" style="1427" customWidth="1"/>
    <col min="12034" max="12036" width="8" style="1427" bestFit="1" customWidth="1"/>
    <col min="12037" max="12037" width="13.85546875" style="1427" customWidth="1"/>
    <col min="12038" max="12038" width="17.28515625" style="1427" bestFit="1" customWidth="1"/>
    <col min="12039" max="12050" width="10.7109375" style="1427" bestFit="1" customWidth="1"/>
    <col min="12051" max="12286" width="9.140625" style="1427"/>
    <col min="12287" max="12287" width="16.28515625" style="1427" bestFit="1" customWidth="1"/>
    <col min="12288" max="12288" width="63.28515625" style="1427" customWidth="1"/>
    <col min="12289" max="12289" width="22" style="1427" customWidth="1"/>
    <col min="12290" max="12292" width="8" style="1427" bestFit="1" customWidth="1"/>
    <col min="12293" max="12293" width="13.85546875" style="1427" customWidth="1"/>
    <col min="12294" max="12294" width="17.28515625" style="1427" bestFit="1" customWidth="1"/>
    <col min="12295" max="12306" width="10.7109375" style="1427" bestFit="1" customWidth="1"/>
    <col min="12307" max="12542" width="9.140625" style="1427"/>
    <col min="12543" max="12543" width="16.28515625" style="1427" bestFit="1" customWidth="1"/>
    <col min="12544" max="12544" width="63.28515625" style="1427" customWidth="1"/>
    <col min="12545" max="12545" width="22" style="1427" customWidth="1"/>
    <col min="12546" max="12548" width="8" style="1427" bestFit="1" customWidth="1"/>
    <col min="12549" max="12549" width="13.85546875" style="1427" customWidth="1"/>
    <col min="12550" max="12550" width="17.28515625" style="1427" bestFit="1" customWidth="1"/>
    <col min="12551" max="12562" width="10.7109375" style="1427" bestFit="1" customWidth="1"/>
    <col min="12563" max="12798" width="9.140625" style="1427"/>
    <col min="12799" max="12799" width="16.28515625" style="1427" bestFit="1" customWidth="1"/>
    <col min="12800" max="12800" width="63.28515625" style="1427" customWidth="1"/>
    <col min="12801" max="12801" width="22" style="1427" customWidth="1"/>
    <col min="12802" max="12804" width="8" style="1427" bestFit="1" customWidth="1"/>
    <col min="12805" max="12805" width="13.85546875" style="1427" customWidth="1"/>
    <col min="12806" max="12806" width="17.28515625" style="1427" bestFit="1" customWidth="1"/>
    <col min="12807" max="12818" width="10.7109375" style="1427" bestFit="1" customWidth="1"/>
    <col min="12819" max="13054" width="9.140625" style="1427"/>
    <col min="13055" max="13055" width="16.28515625" style="1427" bestFit="1" customWidth="1"/>
    <col min="13056" max="13056" width="63.28515625" style="1427" customWidth="1"/>
    <col min="13057" max="13057" width="22" style="1427" customWidth="1"/>
    <col min="13058" max="13060" width="8" style="1427" bestFit="1" customWidth="1"/>
    <col min="13061" max="13061" width="13.85546875" style="1427" customWidth="1"/>
    <col min="13062" max="13062" width="17.28515625" style="1427" bestFit="1" customWidth="1"/>
    <col min="13063" max="13074" width="10.7109375" style="1427" bestFit="1" customWidth="1"/>
    <col min="13075" max="13310" width="9.140625" style="1427"/>
    <col min="13311" max="13311" width="16.28515625" style="1427" bestFit="1" customWidth="1"/>
    <col min="13312" max="13312" width="63.28515625" style="1427" customWidth="1"/>
    <col min="13313" max="13313" width="22" style="1427" customWidth="1"/>
    <col min="13314" max="13316" width="8" style="1427" bestFit="1" customWidth="1"/>
    <col min="13317" max="13317" width="13.85546875" style="1427" customWidth="1"/>
    <col min="13318" max="13318" width="17.28515625" style="1427" bestFit="1" customWidth="1"/>
    <col min="13319" max="13330" width="10.7109375" style="1427" bestFit="1" customWidth="1"/>
    <col min="13331" max="13566" width="9.140625" style="1427"/>
    <col min="13567" max="13567" width="16.28515625" style="1427" bestFit="1" customWidth="1"/>
    <col min="13568" max="13568" width="63.28515625" style="1427" customWidth="1"/>
    <col min="13569" max="13569" width="22" style="1427" customWidth="1"/>
    <col min="13570" max="13572" width="8" style="1427" bestFit="1" customWidth="1"/>
    <col min="13573" max="13573" width="13.85546875" style="1427" customWidth="1"/>
    <col min="13574" max="13574" width="17.28515625" style="1427" bestFit="1" customWidth="1"/>
    <col min="13575" max="13586" width="10.7109375" style="1427" bestFit="1" customWidth="1"/>
    <col min="13587" max="13822" width="9.140625" style="1427"/>
    <col min="13823" max="13823" width="16.28515625" style="1427" bestFit="1" customWidth="1"/>
    <col min="13824" max="13824" width="63.28515625" style="1427" customWidth="1"/>
    <col min="13825" max="13825" width="22" style="1427" customWidth="1"/>
    <col min="13826" max="13828" width="8" style="1427" bestFit="1" customWidth="1"/>
    <col min="13829" max="13829" width="13.85546875" style="1427" customWidth="1"/>
    <col min="13830" max="13830" width="17.28515625" style="1427" bestFit="1" customWidth="1"/>
    <col min="13831" max="13842" width="10.7109375" style="1427" bestFit="1" customWidth="1"/>
    <col min="13843" max="14078" width="9.140625" style="1427"/>
    <col min="14079" max="14079" width="16.28515625" style="1427" bestFit="1" customWidth="1"/>
    <col min="14080" max="14080" width="63.28515625" style="1427" customWidth="1"/>
    <col min="14081" max="14081" width="22" style="1427" customWidth="1"/>
    <col min="14082" max="14084" width="8" style="1427" bestFit="1" customWidth="1"/>
    <col min="14085" max="14085" width="13.85546875" style="1427" customWidth="1"/>
    <col min="14086" max="14086" width="17.28515625" style="1427" bestFit="1" customWidth="1"/>
    <col min="14087" max="14098" width="10.7109375" style="1427" bestFit="1" customWidth="1"/>
    <col min="14099" max="14334" width="9.140625" style="1427"/>
    <col min="14335" max="14335" width="16.28515625" style="1427" bestFit="1" customWidth="1"/>
    <col min="14336" max="14336" width="63.28515625" style="1427" customWidth="1"/>
    <col min="14337" max="14337" width="22" style="1427" customWidth="1"/>
    <col min="14338" max="14340" width="8" style="1427" bestFit="1" customWidth="1"/>
    <col min="14341" max="14341" width="13.85546875" style="1427" customWidth="1"/>
    <col min="14342" max="14342" width="17.28515625" style="1427" bestFit="1" customWidth="1"/>
    <col min="14343" max="14354" width="10.7109375" style="1427" bestFit="1" customWidth="1"/>
    <col min="14355" max="14590" width="9.140625" style="1427"/>
    <col min="14591" max="14591" width="16.28515625" style="1427" bestFit="1" customWidth="1"/>
    <col min="14592" max="14592" width="63.28515625" style="1427" customWidth="1"/>
    <col min="14593" max="14593" width="22" style="1427" customWidth="1"/>
    <col min="14594" max="14596" width="8" style="1427" bestFit="1" customWidth="1"/>
    <col min="14597" max="14597" width="13.85546875" style="1427" customWidth="1"/>
    <col min="14598" max="14598" width="17.28515625" style="1427" bestFit="1" customWidth="1"/>
    <col min="14599" max="14610" width="10.7109375" style="1427" bestFit="1" customWidth="1"/>
    <col min="14611" max="14846" width="9.140625" style="1427"/>
    <col min="14847" max="14847" width="16.28515625" style="1427" bestFit="1" customWidth="1"/>
    <col min="14848" max="14848" width="63.28515625" style="1427" customWidth="1"/>
    <col min="14849" max="14849" width="22" style="1427" customWidth="1"/>
    <col min="14850" max="14852" width="8" style="1427" bestFit="1" customWidth="1"/>
    <col min="14853" max="14853" width="13.85546875" style="1427" customWidth="1"/>
    <col min="14854" max="14854" width="17.28515625" style="1427" bestFit="1" customWidth="1"/>
    <col min="14855" max="14866" width="10.7109375" style="1427" bestFit="1" customWidth="1"/>
    <col min="14867" max="15102" width="9.140625" style="1427"/>
    <col min="15103" max="15103" width="16.28515625" style="1427" bestFit="1" customWidth="1"/>
    <col min="15104" max="15104" width="63.28515625" style="1427" customWidth="1"/>
    <col min="15105" max="15105" width="22" style="1427" customWidth="1"/>
    <col min="15106" max="15108" width="8" style="1427" bestFit="1" customWidth="1"/>
    <col min="15109" max="15109" width="13.85546875" style="1427" customWidth="1"/>
    <col min="15110" max="15110" width="17.28515625" style="1427" bestFit="1" customWidth="1"/>
    <col min="15111" max="15122" width="10.7109375" style="1427" bestFit="1" customWidth="1"/>
    <col min="15123" max="15358" width="9.140625" style="1427"/>
    <col min="15359" max="15359" width="16.28515625" style="1427" bestFit="1" customWidth="1"/>
    <col min="15360" max="15360" width="63.28515625" style="1427" customWidth="1"/>
    <col min="15361" max="15361" width="22" style="1427" customWidth="1"/>
    <col min="15362" max="15364" width="8" style="1427" bestFit="1" customWidth="1"/>
    <col min="15365" max="15365" width="13.85546875" style="1427" customWidth="1"/>
    <col min="15366" max="15366" width="17.28515625" style="1427" bestFit="1" customWidth="1"/>
    <col min="15367" max="15378" width="10.7109375" style="1427" bestFit="1" customWidth="1"/>
    <col min="15379" max="15614" width="9.140625" style="1427"/>
    <col min="15615" max="15615" width="16.28515625" style="1427" bestFit="1" customWidth="1"/>
    <col min="15616" max="15616" width="63.28515625" style="1427" customWidth="1"/>
    <col min="15617" max="15617" width="22" style="1427" customWidth="1"/>
    <col min="15618" max="15620" width="8" style="1427" bestFit="1" customWidth="1"/>
    <col min="15621" max="15621" width="13.85546875" style="1427" customWidth="1"/>
    <col min="15622" max="15622" width="17.28515625" style="1427" bestFit="1" customWidth="1"/>
    <col min="15623" max="15634" width="10.7109375" style="1427" bestFit="1" customWidth="1"/>
    <col min="15635" max="15870" width="9.140625" style="1427"/>
    <col min="15871" max="15871" width="16.28515625" style="1427" bestFit="1" customWidth="1"/>
    <col min="15872" max="15872" width="63.28515625" style="1427" customWidth="1"/>
    <col min="15873" max="15873" width="22" style="1427" customWidth="1"/>
    <col min="15874" max="15876" width="8" style="1427" bestFit="1" customWidth="1"/>
    <col min="15877" max="15877" width="13.85546875" style="1427" customWidth="1"/>
    <col min="15878" max="15878" width="17.28515625" style="1427" bestFit="1" customWidth="1"/>
    <col min="15879" max="15890" width="10.7109375" style="1427" bestFit="1" customWidth="1"/>
    <col min="15891" max="16126" width="9.140625" style="1427"/>
    <col min="16127" max="16127" width="16.28515625" style="1427" bestFit="1" customWidth="1"/>
    <col min="16128" max="16128" width="63.28515625" style="1427" customWidth="1"/>
    <col min="16129" max="16129" width="22" style="1427" customWidth="1"/>
    <col min="16130" max="16132" width="8" style="1427" bestFit="1" customWidth="1"/>
    <col min="16133" max="16133" width="13.85546875" style="1427" customWidth="1"/>
    <col min="16134" max="16134" width="17.28515625" style="1427" bestFit="1" customWidth="1"/>
    <col min="16135" max="16146" width="10.7109375" style="1427" bestFit="1" customWidth="1"/>
    <col min="16147" max="16384" width="9.140625" style="1427"/>
  </cols>
  <sheetData>
    <row r="1" spans="1:31" s="1435"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1427"/>
      <c r="AD1" s="1427"/>
      <c r="AE1" s="1427"/>
    </row>
    <row r="2" spans="1:31" s="1435" customFormat="1" ht="24.95" customHeight="1">
      <c r="B2" s="3054" t="str">
        <f>INDEX(dms_TradingNameFull_List,MATCH(dms_TradingName,dms_TradingName_List))</f>
        <v>AusNet Gas Services</v>
      </c>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7"/>
      <c r="AD2" s="1427"/>
      <c r="AE2" s="1427"/>
    </row>
    <row r="3" spans="1:31" s="1435" customFormat="1" ht="24.95" customHeight="1">
      <c r="B3" s="3054" t="str">
        <f ca="1">IF(SUM(dms_SingleYear_Model)&gt;0,CRY,CONCATENATE(FRCP_y1," to ",dms_MultiYear_FinalYear_Result))</f>
        <v>2018 to 2022</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7"/>
      <c r="AD3" s="1427"/>
      <c r="AE3" s="1427"/>
    </row>
    <row r="4" spans="1:31" s="1435" customFormat="1" ht="24" customHeight="1">
      <c r="B4" s="10" t="s">
        <v>1506</v>
      </c>
      <c r="C4" s="12"/>
      <c r="D4" s="12"/>
      <c r="E4" s="12"/>
      <c r="F4" s="12"/>
      <c r="G4" s="12"/>
      <c r="H4" s="12"/>
      <c r="I4" s="12"/>
      <c r="J4" s="12"/>
      <c r="K4" s="12"/>
      <c r="L4" s="12"/>
      <c r="M4" s="12"/>
      <c r="N4" s="12"/>
      <c r="O4" s="12"/>
      <c r="P4" s="12"/>
      <c r="Q4" s="12"/>
      <c r="R4" s="12"/>
      <c r="S4" s="12"/>
      <c r="T4" s="12"/>
      <c r="U4" s="12"/>
      <c r="V4" s="12"/>
      <c r="W4" s="12"/>
      <c r="X4" s="12"/>
      <c r="Y4" s="12"/>
      <c r="Z4" s="12"/>
      <c r="AA4" s="12"/>
      <c r="AB4" s="12"/>
      <c r="AC4" s="1427"/>
      <c r="AD4" s="1427"/>
      <c r="AE4" s="1427"/>
    </row>
    <row r="5" spans="1:31">
      <c r="A5" s="409"/>
      <c r="B5" s="1076"/>
      <c r="C5" s="1429"/>
      <c r="D5" s="1429"/>
      <c r="E5" s="1429"/>
      <c r="F5" s="1429"/>
      <c r="G5" s="1429"/>
      <c r="H5" s="1429"/>
      <c r="I5" s="1429"/>
      <c r="J5" s="1429"/>
      <c r="K5" s="1429"/>
      <c r="L5" s="1429"/>
      <c r="M5" s="1429"/>
      <c r="N5" s="1429"/>
      <c r="O5" s="1429"/>
      <c r="P5" s="1429"/>
      <c r="Q5" s="1429"/>
      <c r="R5" s="1429"/>
      <c r="S5" s="1429"/>
      <c r="T5" s="1429"/>
      <c r="U5" s="1429"/>
      <c r="V5" s="1429"/>
      <c r="W5" s="1429"/>
      <c r="X5" s="1429"/>
      <c r="Y5" s="1429"/>
      <c r="Z5" s="1429"/>
      <c r="AA5" s="1429"/>
      <c r="AB5" s="1429"/>
    </row>
    <row r="6" spans="1:31">
      <c r="A6" s="1429"/>
      <c r="B6" s="1429"/>
      <c r="C6" s="1429"/>
      <c r="D6" s="1429"/>
      <c r="E6" s="1429"/>
      <c r="F6" s="1429"/>
      <c r="G6" s="1429"/>
      <c r="H6" s="1429"/>
      <c r="I6" s="1429"/>
      <c r="J6" s="1429"/>
      <c r="K6" s="1429"/>
      <c r="L6" s="1429"/>
      <c r="M6" s="1429"/>
      <c r="N6" s="1429"/>
      <c r="O6" s="1429"/>
      <c r="P6" s="1429"/>
      <c r="Q6" s="1429"/>
      <c r="R6" s="1429"/>
      <c r="S6" s="1429"/>
      <c r="T6" s="1429"/>
      <c r="U6" s="1429"/>
      <c r="V6" s="1429"/>
      <c r="W6" s="1429"/>
      <c r="X6" s="1429"/>
      <c r="Y6" s="1429"/>
      <c r="Z6" s="1429"/>
      <c r="AA6" s="1429"/>
      <c r="AB6" s="1429"/>
    </row>
    <row r="7" spans="1:31">
      <c r="A7" s="1429"/>
      <c r="B7" s="4180" t="s">
        <v>59</v>
      </c>
      <c r="C7" s="4180"/>
      <c r="D7" s="4180"/>
      <c r="E7" s="4180"/>
      <c r="F7" s="4180"/>
      <c r="G7" s="4180"/>
      <c r="H7" s="4180"/>
      <c r="I7" s="1429"/>
      <c r="J7" s="1429"/>
      <c r="K7" s="1429"/>
      <c r="L7" s="1429"/>
      <c r="M7" s="1429"/>
      <c r="N7" s="1429"/>
      <c r="O7" s="1429"/>
      <c r="P7" s="1429"/>
      <c r="Q7" s="1429"/>
      <c r="R7" s="1429"/>
      <c r="S7" s="1429"/>
      <c r="T7" s="1429"/>
      <c r="U7" s="1429"/>
      <c r="V7" s="1429"/>
      <c r="W7" s="1429"/>
      <c r="X7" s="1429"/>
      <c r="Y7" s="1429"/>
      <c r="Z7" s="1429"/>
      <c r="AA7" s="1429"/>
      <c r="AB7" s="1429"/>
    </row>
    <row r="8" spans="1:31" ht="12.75" customHeight="1">
      <c r="A8" s="1429"/>
      <c r="B8" s="4181" t="s">
        <v>244</v>
      </c>
      <c r="C8" s="4181"/>
      <c r="D8" s="4181"/>
      <c r="E8" s="4181"/>
      <c r="F8" s="4181"/>
      <c r="G8" s="4181"/>
      <c r="H8" s="4181"/>
      <c r="I8" s="1429"/>
      <c r="J8" s="1429"/>
      <c r="K8" s="1429"/>
      <c r="L8" s="1429"/>
      <c r="M8" s="1429"/>
      <c r="N8" s="1429"/>
      <c r="O8" s="1429"/>
      <c r="P8" s="1429"/>
      <c r="Q8" s="1429"/>
      <c r="R8" s="1429"/>
      <c r="S8" s="1429"/>
      <c r="T8" s="1429"/>
      <c r="U8" s="1429"/>
      <c r="V8" s="1429"/>
      <c r="W8" s="1429"/>
      <c r="X8" s="1429"/>
      <c r="Y8" s="1429"/>
      <c r="Z8" s="1429"/>
      <c r="AA8" s="1429"/>
      <c r="AB8" s="1429"/>
    </row>
    <row r="9" spans="1:31" ht="12.75" customHeight="1">
      <c r="A9" s="1429"/>
      <c r="B9" s="3616" t="s">
        <v>512</v>
      </c>
      <c r="C9" s="3616"/>
      <c r="D9" s="3396"/>
      <c r="E9" s="3396"/>
      <c r="F9" s="3396"/>
      <c r="G9" s="3396"/>
      <c r="H9" s="3396"/>
      <c r="I9" s="308"/>
      <c r="J9" s="308"/>
      <c r="K9" s="308"/>
      <c r="L9" s="308"/>
      <c r="M9" s="308"/>
      <c r="N9" s="308"/>
      <c r="O9" s="308"/>
      <c r="P9" s="1429"/>
      <c r="Q9" s="1429"/>
      <c r="R9" s="1429"/>
      <c r="S9" s="308"/>
      <c r="T9" s="308"/>
      <c r="U9" s="1429"/>
      <c r="V9" s="1429"/>
      <c r="W9" s="1429"/>
      <c r="X9" s="308"/>
      <c r="Y9" s="308"/>
      <c r="Z9" s="1429"/>
      <c r="AA9" s="1429"/>
      <c r="AB9" s="1429"/>
    </row>
    <row r="10" spans="1:31" ht="20.25" customHeight="1">
      <c r="A10" s="1429"/>
      <c r="B10" s="4182" t="s">
        <v>420</v>
      </c>
      <c r="C10" s="4183"/>
      <c r="D10" s="4183"/>
      <c r="E10" s="4183"/>
      <c r="F10" s="4183"/>
      <c r="G10" s="4183"/>
      <c r="H10" s="4183"/>
      <c r="I10" s="1429"/>
      <c r="J10" s="1429"/>
      <c r="K10" s="1429"/>
      <c r="L10" s="1429"/>
      <c r="M10" s="1429"/>
      <c r="N10" s="1429"/>
      <c r="O10" s="1429"/>
      <c r="P10" s="1429"/>
      <c r="Q10" s="1429"/>
      <c r="R10" s="1429"/>
      <c r="S10" s="1429"/>
      <c r="T10" s="1429"/>
      <c r="U10" s="1429"/>
      <c r="V10" s="1429"/>
      <c r="W10" s="1429"/>
      <c r="X10" s="1429"/>
      <c r="Y10" s="1429"/>
      <c r="Z10" s="1429"/>
      <c r="AA10" s="1429"/>
      <c r="AB10" s="1429"/>
    </row>
    <row r="11" spans="1:31" ht="33.75" customHeight="1" thickBot="1">
      <c r="A11" s="1429"/>
      <c r="B11" s="151"/>
      <c r="C11" s="1429"/>
      <c r="D11" s="1429"/>
      <c r="E11" s="1429"/>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c r="AB11" s="1429"/>
    </row>
    <row r="12" spans="1:31">
      <c r="A12" s="1429"/>
      <c r="B12" s="1073" t="s">
        <v>270</v>
      </c>
      <c r="C12" s="1429"/>
      <c r="D12" s="1429"/>
      <c r="E12" s="1429"/>
      <c r="F12" s="1429"/>
      <c r="G12" s="1429"/>
      <c r="H12" s="1429"/>
      <c r="I12" s="1429"/>
      <c r="J12" s="1429"/>
      <c r="K12" s="1429"/>
      <c r="L12" s="1429"/>
      <c r="M12" s="1429"/>
      <c r="N12" s="1429"/>
      <c r="O12" s="1429"/>
      <c r="P12" s="1429"/>
      <c r="Q12" s="1429"/>
      <c r="R12" s="1429"/>
      <c r="S12" s="1429"/>
      <c r="T12" s="1429"/>
      <c r="U12" s="1429"/>
      <c r="V12" s="1429"/>
      <c r="W12" s="1429"/>
      <c r="X12" s="1429"/>
      <c r="Y12" s="1429"/>
      <c r="Z12" s="1429"/>
      <c r="AA12" s="1429"/>
      <c r="AB12" s="1429"/>
    </row>
    <row r="13" spans="1:31" ht="27" customHeight="1">
      <c r="A13" s="1429"/>
      <c r="B13" s="1060" t="s">
        <v>1507</v>
      </c>
      <c r="C13" s="1429"/>
      <c r="D13" s="1429"/>
      <c r="E13" s="1429"/>
      <c r="F13" s="1429"/>
      <c r="G13" s="1429"/>
      <c r="H13" s="1429"/>
      <c r="I13" s="1429"/>
      <c r="J13" s="1429"/>
      <c r="K13" s="1429"/>
      <c r="L13" s="1429"/>
      <c r="M13" s="1429"/>
      <c r="N13" s="1429"/>
      <c r="O13" s="1429"/>
      <c r="P13" s="1429"/>
      <c r="Q13" s="1429"/>
      <c r="R13" s="1429"/>
      <c r="S13" s="1429"/>
      <c r="T13" s="1429"/>
      <c r="U13" s="1429"/>
      <c r="V13" s="1429"/>
      <c r="W13" s="1429"/>
      <c r="X13" s="1429"/>
      <c r="Y13" s="1429"/>
      <c r="Z13" s="1429"/>
      <c r="AA13" s="1429"/>
      <c r="AB13" s="1429"/>
    </row>
    <row r="14" spans="1:31">
      <c r="A14" s="1429"/>
      <c r="B14" s="1429"/>
      <c r="C14" s="1429"/>
      <c r="D14" s="1429"/>
      <c r="E14" s="1429"/>
      <c r="F14" s="1429"/>
      <c r="G14" s="1429"/>
      <c r="H14" s="1429"/>
      <c r="I14" s="1429"/>
      <c r="J14" s="1429"/>
      <c r="K14" s="1429"/>
      <c r="L14" s="1429"/>
      <c r="M14" s="1429"/>
      <c r="N14" s="1429"/>
      <c r="O14" s="1429"/>
      <c r="P14" s="1429"/>
      <c r="Q14" s="1429"/>
      <c r="R14" s="1429"/>
      <c r="S14" s="1429"/>
      <c r="T14" s="1429"/>
      <c r="U14" s="1429"/>
      <c r="V14" s="1429"/>
      <c r="W14" s="1429"/>
      <c r="X14" s="1429"/>
      <c r="Y14" s="1429"/>
      <c r="Z14" s="1429"/>
      <c r="AA14" s="1429"/>
      <c r="AB14" s="1429"/>
    </row>
    <row r="15" spans="1:31" ht="13.5" thickBot="1">
      <c r="A15" s="1429"/>
      <c r="B15" s="1429"/>
      <c r="C15" s="1429"/>
      <c r="D15" s="1429"/>
      <c r="E15" s="1429"/>
      <c r="F15" s="1429"/>
      <c r="G15" s="1429"/>
      <c r="H15" s="1429"/>
      <c r="I15" s="1429"/>
      <c r="J15" s="1429"/>
      <c r="K15" s="1429"/>
      <c r="L15" s="1429"/>
      <c r="M15" s="1429"/>
      <c r="N15" s="1429"/>
      <c r="O15" s="1429"/>
      <c r="P15" s="1429"/>
      <c r="Q15" s="1429"/>
      <c r="R15" s="1429"/>
      <c r="S15" s="1429"/>
      <c r="T15" s="1429"/>
      <c r="U15" s="1429"/>
      <c r="V15" s="1429"/>
      <c r="W15" s="1429"/>
      <c r="X15" s="1429"/>
      <c r="Y15" s="1429"/>
      <c r="Z15" s="1429"/>
      <c r="AA15" s="1429"/>
      <c r="AB15" s="1429"/>
    </row>
    <row r="16" spans="1:31" ht="34.5" customHeight="1" thickBot="1">
      <c r="A16" s="1429"/>
      <c r="B16" s="972" t="s">
        <v>1523</v>
      </c>
      <c r="C16" s="989"/>
      <c r="D16" s="989"/>
      <c r="E16" s="989"/>
      <c r="F16" s="989"/>
      <c r="G16" s="989"/>
      <c r="H16" s="989"/>
      <c r="I16" s="989"/>
      <c r="J16" s="989"/>
      <c r="K16" s="990"/>
      <c r="L16" s="990"/>
      <c r="M16" s="990"/>
      <c r="N16" s="990"/>
      <c r="O16" s="990"/>
      <c r="P16" s="990"/>
      <c r="Q16" s="990"/>
      <c r="R16" s="990"/>
      <c r="S16" s="990"/>
      <c r="T16" s="990"/>
      <c r="U16" s="990"/>
      <c r="V16" s="990"/>
      <c r="W16" s="990"/>
      <c r="X16" s="990"/>
      <c r="Y16" s="990"/>
      <c r="Z16" s="990"/>
      <c r="AA16" s="990"/>
      <c r="AB16" s="990"/>
      <c r="AC16" s="990"/>
    </row>
    <row r="17" spans="1:135" ht="20.25" customHeight="1">
      <c r="A17" s="1429"/>
      <c r="B17" s="4184"/>
      <c r="C17" s="4120" t="s">
        <v>673</v>
      </c>
      <c r="D17" s="4111" t="s">
        <v>70</v>
      </c>
      <c r="E17" s="4189" t="s">
        <v>37</v>
      </c>
      <c r="F17" s="4079"/>
      <c r="G17" s="4079"/>
      <c r="H17" s="4079"/>
      <c r="I17" s="4079"/>
      <c r="J17" s="4080" t="s">
        <v>73</v>
      </c>
      <c r="K17" s="4080"/>
      <c r="L17" s="4080"/>
      <c r="M17" s="4080"/>
      <c r="N17" s="4080"/>
      <c r="O17" s="4154" t="s">
        <v>272</v>
      </c>
      <c r="P17" s="4154"/>
      <c r="Q17" s="4154"/>
      <c r="R17" s="4154"/>
      <c r="S17" s="4154"/>
      <c r="T17" s="4154"/>
      <c r="U17" s="4154"/>
      <c r="V17" s="4154"/>
      <c r="W17" s="4154"/>
      <c r="X17" s="4154"/>
      <c r="Y17" s="4154"/>
      <c r="Z17" s="4154"/>
      <c r="AA17" s="4154"/>
      <c r="AB17" s="4154"/>
      <c r="AC17" s="4155"/>
    </row>
    <row r="18" spans="1:135" ht="20.25" customHeight="1">
      <c r="A18" s="1429"/>
      <c r="B18" s="4185"/>
      <c r="C18" s="4121"/>
      <c r="D18" s="4112"/>
      <c r="E18" s="4156" t="s">
        <v>366</v>
      </c>
      <c r="F18" s="4157"/>
      <c r="G18" s="4157"/>
      <c r="H18" s="4157"/>
      <c r="I18" s="4157"/>
      <c r="J18" s="4157"/>
      <c r="K18" s="4157"/>
      <c r="L18" s="4157"/>
      <c r="M18" s="4157"/>
      <c r="N18" s="4157"/>
      <c r="O18" s="4157"/>
      <c r="P18" s="4157"/>
      <c r="Q18" s="4157"/>
      <c r="R18" s="4157"/>
      <c r="S18" s="4157"/>
      <c r="T18" s="4157"/>
      <c r="U18" s="4157"/>
      <c r="V18" s="4157"/>
      <c r="W18" s="4157"/>
      <c r="X18" s="4157"/>
      <c r="Y18" s="4157"/>
      <c r="Z18" s="4157"/>
      <c r="AA18" s="4157"/>
      <c r="AB18" s="4157"/>
      <c r="AC18" s="4158"/>
    </row>
    <row r="19" spans="1:135" ht="20.25" customHeight="1">
      <c r="A19" s="1429"/>
      <c r="B19" s="4185"/>
      <c r="C19" s="4121"/>
      <c r="D19" s="4112"/>
      <c r="E19" s="4156" t="s">
        <v>54</v>
      </c>
      <c r="F19" s="4157"/>
      <c r="G19" s="4162"/>
      <c r="H19" s="4159" t="s">
        <v>411</v>
      </c>
      <c r="I19" s="4160"/>
      <c r="J19" s="4160"/>
      <c r="K19" s="4160"/>
      <c r="L19" s="4160"/>
      <c r="M19" s="4160"/>
      <c r="N19" s="4160"/>
      <c r="O19" s="4160"/>
      <c r="P19" s="4160"/>
      <c r="Q19" s="4160"/>
      <c r="R19" s="4160"/>
      <c r="S19" s="4160"/>
      <c r="T19" s="4160"/>
      <c r="U19" s="4160"/>
      <c r="V19" s="4160"/>
      <c r="W19" s="4160"/>
      <c r="X19" s="4160"/>
      <c r="Y19" s="4160"/>
      <c r="Z19" s="4160"/>
      <c r="AA19" s="4160"/>
      <c r="AB19" s="4160"/>
      <c r="AC19" s="4161"/>
    </row>
    <row r="20" spans="1:135" ht="20.25" customHeight="1" thickBot="1">
      <c r="A20" s="1429"/>
      <c r="B20" s="4186"/>
      <c r="C20" s="4122"/>
      <c r="D20" s="4113"/>
      <c r="E20" s="1028">
        <f>CRCP_y1</f>
        <v>2013</v>
      </c>
      <c r="F20" s="1028">
        <f>CRCP_y2</f>
        <v>2014</v>
      </c>
      <c r="G20" s="1028">
        <f>CRCP_y3</f>
        <v>2015</v>
      </c>
      <c r="H20" s="1028">
        <f>CRCP_y4</f>
        <v>2016</v>
      </c>
      <c r="I20" s="1028">
        <f>CRCP_y5</f>
        <v>2017</v>
      </c>
      <c r="J20" s="1028" t="str">
        <f>CONCATENATE(IF(dms_RPT="Calendar",I20+1,(LEFT(I20,4)+1&amp;"-"&amp;IF(MID(I20,6,2)&lt;"09","0"&amp;RIGHT(I20,1)+1,RIGHT(I20,2)+1))))</f>
        <v>2018</v>
      </c>
      <c r="K20" s="1028" t="str">
        <f t="shared" ref="K20:AC20" si="0">CONCATENATE(IF(dms_RPT="Calendar",J20+1,(LEFT(J20,4)+1&amp;"-"&amp;IF(MID(J20,6,2)&lt;"09","0"&amp;RIGHT(J20,1)+1,RIGHT(J20,2)+1))))</f>
        <v>2019</v>
      </c>
      <c r="L20" s="1028" t="str">
        <f t="shared" si="0"/>
        <v>2020</v>
      </c>
      <c r="M20" s="1028" t="str">
        <f t="shared" si="0"/>
        <v>2021</v>
      </c>
      <c r="N20" s="1028" t="str">
        <f t="shared" si="0"/>
        <v>2022</v>
      </c>
      <c r="O20" s="1028" t="str">
        <f t="shared" si="0"/>
        <v>2023</v>
      </c>
      <c r="P20" s="1028" t="str">
        <f t="shared" si="0"/>
        <v>2024</v>
      </c>
      <c r="Q20" s="1028" t="str">
        <f t="shared" si="0"/>
        <v>2025</v>
      </c>
      <c r="R20" s="1028" t="str">
        <f t="shared" si="0"/>
        <v>2026</v>
      </c>
      <c r="S20" s="1028" t="str">
        <f t="shared" si="0"/>
        <v>2027</v>
      </c>
      <c r="T20" s="1028" t="str">
        <f t="shared" si="0"/>
        <v>2028</v>
      </c>
      <c r="U20" s="1028" t="str">
        <f t="shared" si="0"/>
        <v>2029</v>
      </c>
      <c r="V20" s="1028" t="str">
        <f t="shared" si="0"/>
        <v>2030</v>
      </c>
      <c r="W20" s="1028" t="str">
        <f t="shared" si="0"/>
        <v>2031</v>
      </c>
      <c r="X20" s="1028" t="str">
        <f t="shared" si="0"/>
        <v>2032</v>
      </c>
      <c r="Y20" s="1028" t="str">
        <f t="shared" si="0"/>
        <v>2033</v>
      </c>
      <c r="Z20" s="1028" t="str">
        <f t="shared" si="0"/>
        <v>2034</v>
      </c>
      <c r="AA20" s="1028" t="str">
        <f t="shared" si="0"/>
        <v>2035</v>
      </c>
      <c r="AB20" s="1028" t="str">
        <f t="shared" si="0"/>
        <v>2036</v>
      </c>
      <c r="AC20" s="1028" t="str">
        <f t="shared" si="0"/>
        <v>2037</v>
      </c>
    </row>
    <row r="21" spans="1:135" s="94" customFormat="1" ht="18.75" customHeight="1" thickBot="1">
      <c r="A21" s="308"/>
      <c r="B21" s="858" t="s">
        <v>1524</v>
      </c>
      <c r="C21" s="859"/>
      <c r="D21" s="859"/>
      <c r="E21" s="859"/>
      <c r="F21" s="859"/>
      <c r="G21" s="859"/>
      <c r="H21" s="859"/>
      <c r="I21" s="859"/>
      <c r="J21" s="859"/>
      <c r="K21" s="924"/>
      <c r="L21" s="924"/>
      <c r="M21" s="924"/>
      <c r="N21" s="924"/>
      <c r="O21" s="924"/>
      <c r="P21" s="924"/>
      <c r="Q21" s="924"/>
      <c r="R21" s="924"/>
      <c r="S21" s="924"/>
      <c r="T21" s="924"/>
      <c r="U21" s="924"/>
      <c r="V21" s="924"/>
      <c r="W21" s="924"/>
      <c r="X21" s="924"/>
      <c r="Y21" s="924"/>
      <c r="Z21" s="924"/>
      <c r="AA21" s="924"/>
      <c r="AB21" s="924"/>
      <c r="AC21" s="860"/>
      <c r="AD21" s="1427"/>
      <c r="AE21" s="1427"/>
      <c r="AF21" s="1427"/>
      <c r="DF21" s="1427"/>
      <c r="DG21" s="1427"/>
      <c r="DH21" s="1427"/>
      <c r="DI21" s="1427"/>
      <c r="DJ21" s="1427"/>
      <c r="DK21" s="1427"/>
      <c r="DL21" s="1427"/>
      <c r="DM21" s="1427"/>
      <c r="DN21" s="1427"/>
      <c r="DO21" s="1427"/>
      <c r="DP21" s="1427"/>
      <c r="DQ21" s="1427"/>
      <c r="DR21" s="1427"/>
      <c r="DS21" s="1427"/>
      <c r="DT21" s="1427"/>
      <c r="DU21" s="1427"/>
      <c r="DV21" s="1427"/>
      <c r="DW21" s="1427"/>
      <c r="DX21" s="1427"/>
      <c r="DY21" s="1427"/>
      <c r="DZ21" s="1427"/>
      <c r="EA21" s="1427"/>
      <c r="EB21" s="1427"/>
      <c r="EC21" s="1427"/>
      <c r="ED21" s="1427"/>
      <c r="EE21" s="1427"/>
    </row>
    <row r="22" spans="1:135" s="529" customFormat="1">
      <c r="B22" s="4176" t="str">
        <f>+'29.2.2 Gas extenstions cust no'!B23</f>
        <v>Declining block tariff</v>
      </c>
      <c r="C22" s="4178" t="s">
        <v>47</v>
      </c>
      <c r="D22" s="4179"/>
      <c r="E22" s="2023">
        <f>+'29.2.2 Gas extenstions cust no'!D25</f>
        <v>0</v>
      </c>
      <c r="F22" s="2011">
        <f>+'29.2.2 Gas extenstions cust no'!E25</f>
        <v>0</v>
      </c>
      <c r="G22" s="2011">
        <f>+'29.2.2 Gas extenstions cust no'!F25</f>
        <v>0</v>
      </c>
      <c r="H22" s="2011">
        <f>+'29.2.2 Gas extenstions cust no'!G25</f>
        <v>0</v>
      </c>
      <c r="I22" s="2024">
        <f>+'29.2.2 Gas extenstions cust no'!H25</f>
        <v>0</v>
      </c>
      <c r="J22" s="2010">
        <f>+'29.2.2 Gas extenstions cust no'!I25</f>
        <v>184.10337148037854</v>
      </c>
      <c r="K22" s="1978">
        <f>+'29.2.2 Gas extenstions cust no'!J25</f>
        <v>506.28427157104102</v>
      </c>
      <c r="L22" s="1978">
        <f>+'29.2.2 Gas extenstions cust no'!K25</f>
        <v>747.9199466390379</v>
      </c>
      <c r="M22" s="1978">
        <f>+'29.2.2 Gas extenstions cust no'!L25</f>
        <v>929.14670294003554</v>
      </c>
      <c r="N22" s="1979">
        <f>+'29.2.2 Gas extenstions cust no'!M25</f>
        <v>1065.0667701657837</v>
      </c>
      <c r="O22" s="1977">
        <f>+'29.2.2 Gas extenstions cust no'!N25</f>
        <v>1167.5162255951223</v>
      </c>
      <c r="P22" s="1978">
        <f>+'29.2.2 Gas extenstions cust no'!O25</f>
        <v>1244.8627221771535</v>
      </c>
      <c r="Q22" s="1978">
        <f>+'29.2.2 Gas extenstions cust no'!P25</f>
        <v>1302.8725946136769</v>
      </c>
      <c r="R22" s="1978">
        <f>+'29.2.2 Gas extenstions cust no'!Q25</f>
        <v>1346.3799989410695</v>
      </c>
      <c r="S22" s="1978">
        <f>+'29.2.2 Gas extenstions cust no'!R25</f>
        <v>1379.0105521866139</v>
      </c>
      <c r="T22" s="1978">
        <f>+'29.2.2 Gas extenstions cust no'!S25</f>
        <v>1403.4834671207723</v>
      </c>
      <c r="U22" s="1978">
        <f>+'29.2.2 Gas extenstions cust no'!T25</f>
        <v>1421.838153321391</v>
      </c>
      <c r="V22" s="1978">
        <f>+'29.2.2 Gas extenstions cust no'!U25</f>
        <v>1435.6041679718551</v>
      </c>
      <c r="W22" s="1978">
        <f>+'29.2.2 Gas extenstions cust no'!V25</f>
        <v>1445.9286789597031</v>
      </c>
      <c r="X22" s="1978">
        <f>+'29.2.2 Gas extenstions cust no'!W25</f>
        <v>1453.6720622005892</v>
      </c>
      <c r="Y22" s="1978">
        <f>+'29.2.2 Gas extenstions cust no'!X25</f>
        <v>1459.4795996312537</v>
      </c>
      <c r="Z22" s="1978">
        <f>+'29.2.2 Gas extenstions cust no'!Y25</f>
        <v>1463.8352527042521</v>
      </c>
      <c r="AA22" s="1978">
        <f>+'29.2.2 Gas extenstions cust no'!Z25</f>
        <v>1467.1019925090009</v>
      </c>
      <c r="AB22" s="1978">
        <f>+'29.2.2 Gas extenstions cust no'!AA25</f>
        <v>1469.5520473625625</v>
      </c>
      <c r="AC22" s="1979">
        <f>+'29.2.2 Gas extenstions cust no'!AB25</f>
        <v>1471.3895885027337</v>
      </c>
      <c r="AD22" s="1427"/>
      <c r="AE22" s="1427"/>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row>
    <row r="23" spans="1:135" s="529" customFormat="1">
      <c r="B23" s="4176"/>
      <c r="C23" s="1026" t="s">
        <v>1483</v>
      </c>
      <c r="D23" s="884" t="s">
        <v>1479</v>
      </c>
      <c r="E23" s="1980"/>
      <c r="F23" s="1025"/>
      <c r="G23" s="1025"/>
      <c r="H23" s="1025"/>
      <c r="I23" s="702">
        <f>I$22*('28. Consumption and demand'!N92/'28. Consumption and demand'!N$91)</f>
        <v>0</v>
      </c>
      <c r="J23" s="514">
        <f>J$22*('28. Consumption and demand'!O69/'28. Consumption and demand'!O$68)</f>
        <v>1647.0302621410856</v>
      </c>
      <c r="K23" s="513">
        <f>K$22*('28. Consumption and demand'!P69/'28. Consumption and demand'!P$68)</f>
        <v>4344.6272803202055</v>
      </c>
      <c r="L23" s="513">
        <f>L$22*('28. Consumption and demand'!Q69/'28. Consumption and demand'!Q$68)</f>
        <v>6196.2020268331471</v>
      </c>
      <c r="M23" s="513">
        <f>M$22*('28. Consumption and demand'!R69/'28. Consumption and demand'!R$68)</f>
        <v>7489.3020609322266</v>
      </c>
      <c r="N23" s="515">
        <f>N$22*('28. Consumption and demand'!S69/'28. Consumption and demand'!S$68)</f>
        <v>8198.4908419621024</v>
      </c>
      <c r="O23" s="514">
        <f>+O$22*(N23/N$22)</f>
        <v>8987.1089320473802</v>
      </c>
      <c r="P23" s="513">
        <f>+P$22*(O23/O$22)</f>
        <v>9582.4937113386641</v>
      </c>
      <c r="Q23" s="513">
        <f t="shared" ref="Q23:AC30" si="1">+Q$22*(P23/P$22)</f>
        <v>10029.032295807128</v>
      </c>
      <c r="R23" s="513">
        <f t="shared" si="1"/>
        <v>10363.936234158477</v>
      </c>
      <c r="S23" s="513">
        <f t="shared" si="1"/>
        <v>10615.114187921987</v>
      </c>
      <c r="T23" s="513">
        <f t="shared" si="1"/>
        <v>10803.49765324462</v>
      </c>
      <c r="U23" s="513">
        <f t="shared" si="1"/>
        <v>10944.785252236594</v>
      </c>
      <c r="V23" s="513">
        <f t="shared" si="1"/>
        <v>11050.750951480573</v>
      </c>
      <c r="W23" s="513">
        <f t="shared" si="1"/>
        <v>11130.225225913558</v>
      </c>
      <c r="X23" s="513">
        <f t="shared" si="1"/>
        <v>11189.830931738297</v>
      </c>
      <c r="Y23" s="513">
        <f t="shared" si="1"/>
        <v>11234.535211106851</v>
      </c>
      <c r="Z23" s="513">
        <f t="shared" si="1"/>
        <v>11268.063420633267</v>
      </c>
      <c r="AA23" s="513">
        <f t="shared" si="1"/>
        <v>11293.20957777808</v>
      </c>
      <c r="AB23" s="513">
        <f t="shared" si="1"/>
        <v>11312.069195636688</v>
      </c>
      <c r="AC23" s="515">
        <f t="shared" si="1"/>
        <v>11326.213909030645</v>
      </c>
      <c r="AD23" s="1427"/>
      <c r="AE23" s="1427"/>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row>
    <row r="24" spans="1:135" s="529" customFormat="1">
      <c r="B24" s="4176"/>
      <c r="C24" s="1026" t="s">
        <v>1484</v>
      </c>
      <c r="D24" s="884" t="s">
        <v>1480</v>
      </c>
      <c r="E24" s="1980"/>
      <c r="F24" s="1025"/>
      <c r="G24" s="1025"/>
      <c r="H24" s="1025"/>
      <c r="I24" s="702">
        <f>I$22*('28. Consumption and demand'!N93/'28. Consumption and demand'!N$91)</f>
        <v>0</v>
      </c>
      <c r="J24" s="514">
        <f>J$22*('28. Consumption and demand'!O70/'28. Consumption and demand'!O$68)</f>
        <v>1068.0111484364479</v>
      </c>
      <c r="K24" s="513">
        <f>K$22*('28. Consumption and demand'!P70/'28. Consumption and demand'!P$68)</f>
        <v>2813.351489406507</v>
      </c>
      <c r="L24" s="513">
        <f>L$22*('28. Consumption and demand'!Q70/'28. Consumption and demand'!Q$68)</f>
        <v>4005.3955665698531</v>
      </c>
      <c r="M24" s="513">
        <f>M$22*('28. Consumption and demand'!R70/'28. Consumption and demand'!R$68)</f>
        <v>4832.3471887799697</v>
      </c>
      <c r="N24" s="515">
        <f>N$22*('28. Consumption and demand'!S70/'28. Consumption and demand'!S$68)</f>
        <v>5279.0004154795633</v>
      </c>
      <c r="O24" s="514">
        <f t="shared" ref="O24:P30" si="2">+O$22*(N24/N$22)</f>
        <v>5786.790849775949</v>
      </c>
      <c r="P24" s="513">
        <f t="shared" si="2"/>
        <v>6170.1585399808328</v>
      </c>
      <c r="Q24" s="513">
        <f t="shared" si="1"/>
        <v>6457.6843076344949</v>
      </c>
      <c r="R24" s="513">
        <f t="shared" si="1"/>
        <v>6673.3286333747419</v>
      </c>
      <c r="S24" s="513">
        <f t="shared" si="1"/>
        <v>6835.0618776799265</v>
      </c>
      <c r="T24" s="513">
        <f t="shared" si="1"/>
        <v>6956.3618109088156</v>
      </c>
      <c r="U24" s="513">
        <f t="shared" si="1"/>
        <v>7047.3367608304816</v>
      </c>
      <c r="V24" s="513">
        <f t="shared" si="1"/>
        <v>7115.5679732717317</v>
      </c>
      <c r="W24" s="513">
        <f t="shared" si="1"/>
        <v>7166.7413826026695</v>
      </c>
      <c r="X24" s="513">
        <f t="shared" si="1"/>
        <v>7205.1214396008727</v>
      </c>
      <c r="Y24" s="513">
        <f t="shared" si="1"/>
        <v>7233.9064823495246</v>
      </c>
      <c r="Z24" s="513">
        <f t="shared" si="1"/>
        <v>7255.4952644110144</v>
      </c>
      <c r="AA24" s="513">
        <f t="shared" si="1"/>
        <v>7271.6868509571314</v>
      </c>
      <c r="AB24" s="513">
        <f t="shared" si="1"/>
        <v>7283.8305408667184</v>
      </c>
      <c r="AC24" s="515">
        <f t="shared" si="1"/>
        <v>7292.9383082989098</v>
      </c>
      <c r="AD24" s="1427"/>
      <c r="AE24" s="1427"/>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row>
    <row r="25" spans="1:135" s="529" customFormat="1">
      <c r="B25" s="4176"/>
      <c r="C25" s="1026" t="s">
        <v>1485</v>
      </c>
      <c r="D25" s="884" t="s">
        <v>1481</v>
      </c>
      <c r="E25" s="1980"/>
      <c r="F25" s="1025"/>
      <c r="G25" s="1025"/>
      <c r="H25" s="1025"/>
      <c r="I25" s="702">
        <f>I$22*('28. Consumption and demand'!N94/'28. Consumption and demand'!N$91)</f>
        <v>0</v>
      </c>
      <c r="J25" s="514">
        <f>J$22*('28. Consumption and demand'!O71/'28. Consumption and demand'!O$68)</f>
        <v>1240.8043609624324</v>
      </c>
      <c r="K25" s="513">
        <f>K$22*('28. Consumption and demand'!P71/'28. Consumption and demand'!P$68)</f>
        <v>3244.7217686399763</v>
      </c>
      <c r="L25" s="513">
        <f>L$22*('28. Consumption and demand'!Q71/'28. Consumption and demand'!Q$68)</f>
        <v>4603.7097754392098</v>
      </c>
      <c r="M25" s="513">
        <f>M$22*('28. Consumption and demand'!R71/'28. Consumption and demand'!R$68)</f>
        <v>5547.9740114653432</v>
      </c>
      <c r="N25" s="515">
        <f>N$22*('28. Consumption and demand'!S71/'28. Consumption and demand'!S$68)</f>
        <v>6072.6510601889586</v>
      </c>
      <c r="O25" s="514">
        <f t="shared" si="2"/>
        <v>6656.7832588039937</v>
      </c>
      <c r="P25" s="513">
        <f t="shared" si="2"/>
        <v>7097.7868631110387</v>
      </c>
      <c r="Q25" s="513">
        <f t="shared" si="1"/>
        <v>7428.5395663413228</v>
      </c>
      <c r="R25" s="513">
        <f t="shared" si="1"/>
        <v>7676.6040937640355</v>
      </c>
      <c r="S25" s="513">
        <f t="shared" si="1"/>
        <v>7862.6524893310698</v>
      </c>
      <c r="T25" s="513">
        <f t="shared" si="1"/>
        <v>8002.1887860063462</v>
      </c>
      <c r="U25" s="513">
        <f t="shared" si="1"/>
        <v>8106.8410085128025</v>
      </c>
      <c r="V25" s="513">
        <f t="shared" si="1"/>
        <v>8185.3301753926453</v>
      </c>
      <c r="W25" s="513">
        <f t="shared" si="1"/>
        <v>8244.1970505525278</v>
      </c>
      <c r="X25" s="513">
        <f t="shared" si="1"/>
        <v>8288.347206922439</v>
      </c>
      <c r="Y25" s="513">
        <f t="shared" si="1"/>
        <v>8321.4598241998719</v>
      </c>
      <c r="Z25" s="513">
        <f t="shared" si="1"/>
        <v>8346.2942871579471</v>
      </c>
      <c r="AA25" s="513">
        <f t="shared" si="1"/>
        <v>8364.9201343765035</v>
      </c>
      <c r="AB25" s="513">
        <f t="shared" si="1"/>
        <v>8378.8895197904203</v>
      </c>
      <c r="AC25" s="515">
        <f t="shared" si="1"/>
        <v>8389.3665588508593</v>
      </c>
      <c r="AD25" s="1427"/>
      <c r="AE25" s="1427"/>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row>
    <row r="26" spans="1:135" s="529" customFormat="1">
      <c r="B26" s="4176"/>
      <c r="C26" s="1026" t="s">
        <v>1486</v>
      </c>
      <c r="D26" s="884" t="s">
        <v>1482</v>
      </c>
      <c r="E26" s="1980"/>
      <c r="F26" s="1025"/>
      <c r="G26" s="1025"/>
      <c r="H26" s="1025"/>
      <c r="I26" s="702">
        <f>I$22*('28. Consumption and demand'!N95/'28. Consumption and demand'!N$91)</f>
        <v>0</v>
      </c>
      <c r="J26" s="514">
        <f>J$22*('28. Consumption and demand'!O72/'28. Consumption and demand'!O$68)</f>
        <v>73.367046235147839</v>
      </c>
      <c r="K26" s="513">
        <f>K$22*('28. Consumption and demand'!P72/'28. Consumption and demand'!P$68)</f>
        <v>200.25938446583632</v>
      </c>
      <c r="L26" s="513">
        <f>L$22*('28. Consumption and demand'!Q72/'28. Consumption and demand'!Q$68)</f>
        <v>293.36753729125218</v>
      </c>
      <c r="M26" s="513">
        <f>M$22*('28. Consumption and demand'!R72/'28. Consumption and demand'!R$68)</f>
        <v>362.68591404091319</v>
      </c>
      <c r="N26" s="515">
        <f>N$22*('28. Consumption and demand'!S72/'28. Consumption and demand'!S$68)</f>
        <v>403.90528830282318</v>
      </c>
      <c r="O26" s="514">
        <f t="shared" si="2"/>
        <v>442.75719692561609</v>
      </c>
      <c r="P26" s="513">
        <f t="shared" si="2"/>
        <v>472.08931006281961</v>
      </c>
      <c r="Q26" s="513">
        <f t="shared" si="1"/>
        <v>494.08839491572218</v>
      </c>
      <c r="R26" s="513">
        <f t="shared" si="1"/>
        <v>510.58770855539916</v>
      </c>
      <c r="S26" s="513">
        <f t="shared" si="1"/>
        <v>522.96219378515684</v>
      </c>
      <c r="T26" s="513">
        <f t="shared" si="1"/>
        <v>532.24305770747515</v>
      </c>
      <c r="U26" s="513">
        <f t="shared" si="1"/>
        <v>539.20370564921382</v>
      </c>
      <c r="V26" s="513">
        <f t="shared" si="1"/>
        <v>544.42419160551788</v>
      </c>
      <c r="W26" s="513">
        <f t="shared" si="1"/>
        <v>548.33955607274595</v>
      </c>
      <c r="X26" s="513">
        <f t="shared" si="1"/>
        <v>551.27607942316695</v>
      </c>
      <c r="Y26" s="513">
        <f t="shared" si="1"/>
        <v>553.47847193598272</v>
      </c>
      <c r="Z26" s="513">
        <f t="shared" si="1"/>
        <v>555.1302663205945</v>
      </c>
      <c r="AA26" s="513">
        <f t="shared" si="1"/>
        <v>556.36911210905339</v>
      </c>
      <c r="AB26" s="513">
        <f t="shared" si="1"/>
        <v>557.29824645039753</v>
      </c>
      <c r="AC26" s="515">
        <f t="shared" si="1"/>
        <v>557.99509720640572</v>
      </c>
      <c r="AD26" s="1427"/>
      <c r="AE26" s="1427"/>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row>
    <row r="27" spans="1:135" s="529" customFormat="1">
      <c r="B27" s="4176"/>
      <c r="C27" s="3417" t="s">
        <v>1491</v>
      </c>
      <c r="D27" s="884" t="s">
        <v>1487</v>
      </c>
      <c r="E27" s="1980"/>
      <c r="F27" s="1025"/>
      <c r="G27" s="1025"/>
      <c r="H27" s="1025"/>
      <c r="I27" s="702">
        <f>I$22*('28. Consumption and demand'!N96/'28. Consumption and demand'!N$91)</f>
        <v>0</v>
      </c>
      <c r="J27" s="514">
        <f>J$22*('28. Consumption and demand'!O73/'28. Consumption and demand'!O$68)</f>
        <v>1740.5151197872697</v>
      </c>
      <c r="K27" s="513">
        <f>K$22*('28. Consumption and demand'!P73/'28. Consumption and demand'!P$68)</f>
        <v>4512.8786694979754</v>
      </c>
      <c r="L27" s="513">
        <f>L$22*('28. Consumption and demand'!Q73/'28. Consumption and demand'!Q$68)</f>
        <v>6349.6602143002947</v>
      </c>
      <c r="M27" s="513">
        <f>M$22*('28. Consumption and demand'!R73/'28. Consumption and demand'!R$68)</f>
        <v>7588.3044909232794</v>
      </c>
      <c r="N27" s="515">
        <f>N$22*('28. Consumption and demand'!S73/'28. Consumption and demand'!S$68)</f>
        <v>8237.4593169907366</v>
      </c>
      <c r="O27" s="514">
        <f t="shared" si="2"/>
        <v>9029.8258096714453</v>
      </c>
      <c r="P27" s="513">
        <f t="shared" si="2"/>
        <v>9628.0405289299124</v>
      </c>
      <c r="Q27" s="513">
        <f t="shared" si="1"/>
        <v>10076.701568373761</v>
      </c>
      <c r="R27" s="513">
        <f t="shared" si="1"/>
        <v>10413.197347956648</v>
      </c>
      <c r="S27" s="513">
        <f t="shared" si="1"/>
        <v>10665.569182643812</v>
      </c>
      <c r="T27" s="513">
        <f t="shared" si="1"/>
        <v>10854.848058659187</v>
      </c>
      <c r="U27" s="513">
        <f t="shared" si="1"/>
        <v>10996.807215670717</v>
      </c>
      <c r="V27" s="513">
        <f t="shared" si="1"/>
        <v>11103.276583429364</v>
      </c>
      <c r="W27" s="513">
        <f t="shared" si="1"/>
        <v>11183.12860924835</v>
      </c>
      <c r="X27" s="513">
        <f t="shared" si="1"/>
        <v>11243.01762861259</v>
      </c>
      <c r="Y27" s="513">
        <f t="shared" si="1"/>
        <v>11287.934393135769</v>
      </c>
      <c r="Z27" s="513">
        <f t="shared" si="1"/>
        <v>11321.621966528153</v>
      </c>
      <c r="AA27" s="513">
        <f t="shared" si="1"/>
        <v>11346.887646572442</v>
      </c>
      <c r="AB27" s="513">
        <f t="shared" si="1"/>
        <v>11365.836906605658</v>
      </c>
      <c r="AC27" s="515">
        <f t="shared" si="1"/>
        <v>11380.04885163057</v>
      </c>
      <c r="AD27" s="1427"/>
      <c r="AE27" s="1427"/>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row>
    <row r="28" spans="1:135" s="529" customFormat="1">
      <c r="B28" s="4176"/>
      <c r="C28" s="3417" t="s">
        <v>1492</v>
      </c>
      <c r="D28" s="884" t="s">
        <v>1488</v>
      </c>
      <c r="E28" s="1980"/>
      <c r="F28" s="1025"/>
      <c r="G28" s="1025"/>
      <c r="H28" s="1025"/>
      <c r="I28" s="702">
        <f>I$22*('28. Consumption and demand'!N97/'28. Consumption and demand'!N$91)</f>
        <v>0</v>
      </c>
      <c r="J28" s="514">
        <f>J$22*('28. Consumption and demand'!O74/'28. Consumption and demand'!O$68)</f>
        <v>302.33746196885744</v>
      </c>
      <c r="K28" s="513">
        <f>K$22*('28. Consumption and demand'!P74/'28. Consumption and demand'!P$68)</f>
        <v>774.34438789710043</v>
      </c>
      <c r="L28" s="513">
        <f>L$22*('28. Consumption and demand'!Q74/'28. Consumption and demand'!Q$68)</f>
        <v>1076.3034377381709</v>
      </c>
      <c r="M28" s="513">
        <f>M$22*('28. Consumption and demand'!R74/'28. Consumption and demand'!R$68)</f>
        <v>1271.1623938057121</v>
      </c>
      <c r="N28" s="515">
        <f>N$22*('28. Consumption and demand'!S74/'28. Consumption and demand'!S$68)</f>
        <v>1364.0547421122983</v>
      </c>
      <c r="O28" s="514">
        <f t="shared" si="2"/>
        <v>1495.2640422423356</v>
      </c>
      <c r="P28" s="513">
        <f t="shared" si="2"/>
        <v>1594.3234236856886</v>
      </c>
      <c r="Q28" s="513">
        <f t="shared" si="1"/>
        <v>1668.6179597682033</v>
      </c>
      <c r="R28" s="513">
        <f t="shared" si="1"/>
        <v>1724.3388618300894</v>
      </c>
      <c r="S28" s="513">
        <f t="shared" si="1"/>
        <v>1766.1295383765039</v>
      </c>
      <c r="T28" s="513">
        <f t="shared" si="1"/>
        <v>1797.4725457863149</v>
      </c>
      <c r="U28" s="513">
        <f t="shared" si="1"/>
        <v>1820.979801343673</v>
      </c>
      <c r="V28" s="513">
        <f t="shared" si="1"/>
        <v>1838.6102430116916</v>
      </c>
      <c r="W28" s="513">
        <f t="shared" si="1"/>
        <v>1851.8330742627056</v>
      </c>
      <c r="X28" s="513">
        <f t="shared" si="1"/>
        <v>1861.7501977009661</v>
      </c>
      <c r="Y28" s="513">
        <f t="shared" si="1"/>
        <v>1869.1880402796614</v>
      </c>
      <c r="Z28" s="513">
        <f t="shared" si="1"/>
        <v>1874.766422213683</v>
      </c>
      <c r="AA28" s="513">
        <f t="shared" si="1"/>
        <v>1878.9502086641992</v>
      </c>
      <c r="AB28" s="513">
        <f t="shared" si="1"/>
        <v>1882.0880485020862</v>
      </c>
      <c r="AC28" s="515">
        <f t="shared" si="1"/>
        <v>1884.4414283805015</v>
      </c>
      <c r="AD28" s="1427"/>
      <c r="AE28" s="1427"/>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row>
    <row r="29" spans="1:135" s="529" customFormat="1">
      <c r="B29" s="4176"/>
      <c r="C29" s="3417" t="s">
        <v>1493</v>
      </c>
      <c r="D29" s="884" t="s">
        <v>1489</v>
      </c>
      <c r="E29" s="1980"/>
      <c r="F29" s="1025"/>
      <c r="G29" s="1025"/>
      <c r="H29" s="1025"/>
      <c r="I29" s="702">
        <f>I$22*('28. Consumption and demand'!N98/'28. Consumption and demand'!N$91)</f>
        <v>0</v>
      </c>
      <c r="J29" s="514">
        <f>J$22*('28. Consumption and demand'!O75/'28. Consumption and demand'!O$68)</f>
        <v>163.8426839489062</v>
      </c>
      <c r="K29" s="513">
        <f>K$22*('28. Consumption and demand'!P75/'28. Consumption and demand'!P$68)</f>
        <v>419.45369395881801</v>
      </c>
      <c r="L29" s="513">
        <f>L$22*('28. Consumption and demand'!Q75/'28. Consumption and demand'!Q$68)</f>
        <v>582.99116071758328</v>
      </c>
      <c r="M29" s="513">
        <f>M$22*('28. Consumption and demand'!R75/'28. Consumption and demand'!R$68)</f>
        <v>688.78822505907567</v>
      </c>
      <c r="N29" s="515">
        <f>N$22*('28. Consumption and demand'!S75/'28. Consumption and demand'!S$68)</f>
        <v>739.70001544794184</v>
      </c>
      <c r="O29" s="514">
        <f t="shared" si="2"/>
        <v>810.85223415054872</v>
      </c>
      <c r="P29" s="513">
        <f t="shared" si="2"/>
        <v>864.5701852867644</v>
      </c>
      <c r="Q29" s="513">
        <f t="shared" si="1"/>
        <v>904.8586486389263</v>
      </c>
      <c r="R29" s="513">
        <f t="shared" si="1"/>
        <v>935.07499615304755</v>
      </c>
      <c r="S29" s="513">
        <f t="shared" si="1"/>
        <v>957.73725678863866</v>
      </c>
      <c r="T29" s="513">
        <f t="shared" si="1"/>
        <v>974.73395226533194</v>
      </c>
      <c r="U29" s="513">
        <f t="shared" si="1"/>
        <v>987.48147387285178</v>
      </c>
      <c r="V29" s="513">
        <f t="shared" si="1"/>
        <v>997.04211507849175</v>
      </c>
      <c r="W29" s="513">
        <f t="shared" si="1"/>
        <v>1004.2125959827217</v>
      </c>
      <c r="X29" s="513">
        <f t="shared" si="1"/>
        <v>1009.5904566608942</v>
      </c>
      <c r="Y29" s="513">
        <f t="shared" si="1"/>
        <v>1013.6238521695236</v>
      </c>
      <c r="Z29" s="513">
        <f t="shared" si="1"/>
        <v>1016.6488988009957</v>
      </c>
      <c r="AA29" s="513">
        <f t="shared" si="1"/>
        <v>1018.9176837745996</v>
      </c>
      <c r="AB29" s="513">
        <f t="shared" si="1"/>
        <v>1020.6192725048027</v>
      </c>
      <c r="AC29" s="515">
        <f t="shared" si="1"/>
        <v>1021.8954640524549</v>
      </c>
      <c r="AD29" s="1427"/>
      <c r="AE29" s="1427"/>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row>
    <row r="30" spans="1:135" s="529" customFormat="1">
      <c r="B30" s="4176"/>
      <c r="C30" s="3417" t="s">
        <v>1494</v>
      </c>
      <c r="D30" s="884" t="s">
        <v>1490</v>
      </c>
      <c r="E30" s="1980"/>
      <c r="F30" s="1025"/>
      <c r="G30" s="1025"/>
      <c r="H30" s="1025"/>
      <c r="I30" s="702">
        <f>I$22*('28. Consumption and demand'!N99/'28. Consumption and demand'!N$91)</f>
        <v>0</v>
      </c>
      <c r="J30" s="514">
        <f>J$22*('28. Consumption and demand'!O76/'28. Consumption and demand'!O$68)</f>
        <v>47.567403514737869</v>
      </c>
      <c r="K30" s="513">
        <f>K$22*('28. Consumption and demand'!P76/'28. Consumption and demand'!P$68)</f>
        <v>130.14555299208578</v>
      </c>
      <c r="L30" s="513">
        <f>L$22*('28. Consumption and demand'!Q76/'28. Consumption and demand'!Q$68)</f>
        <v>190.42350749910307</v>
      </c>
      <c r="M30" s="513">
        <f>M$22*('28. Consumption and demand'!R76/'28. Consumption and demand'!R$68)</f>
        <v>234.72955416710133</v>
      </c>
      <c r="N30" s="515">
        <f>N$22*('28. Consumption and demand'!S76/'28. Consumption and demand'!S$68)</f>
        <v>260.047280308604</v>
      </c>
      <c r="O30" s="514">
        <f t="shared" si="2"/>
        <v>285.06139491603852</v>
      </c>
      <c r="P30" s="513">
        <f t="shared" si="2"/>
        <v>303.94635747517003</v>
      </c>
      <c r="Q30" s="513">
        <f t="shared" si="1"/>
        <v>318.11007939451866</v>
      </c>
      <c r="R30" s="513">
        <f t="shared" si="1"/>
        <v>328.73287083403011</v>
      </c>
      <c r="S30" s="513">
        <f t="shared" si="1"/>
        <v>336.69996441366368</v>
      </c>
      <c r="T30" s="513">
        <f t="shared" si="1"/>
        <v>342.67528459838888</v>
      </c>
      <c r="U30" s="513">
        <f t="shared" si="1"/>
        <v>347.15677473693279</v>
      </c>
      <c r="V30" s="513">
        <f t="shared" si="1"/>
        <v>350.51789234084072</v>
      </c>
      <c r="W30" s="513">
        <f t="shared" si="1"/>
        <v>353.03873054377163</v>
      </c>
      <c r="X30" s="513">
        <f t="shared" si="1"/>
        <v>354.92935919596988</v>
      </c>
      <c r="Y30" s="513">
        <f t="shared" si="1"/>
        <v>356.34733068511855</v>
      </c>
      <c r="Z30" s="513">
        <f t="shared" si="1"/>
        <v>357.41080930198007</v>
      </c>
      <c r="AA30" s="513">
        <f t="shared" si="1"/>
        <v>358.20841826462623</v>
      </c>
      <c r="AB30" s="513">
        <f t="shared" si="1"/>
        <v>358.80662498661081</v>
      </c>
      <c r="AC30" s="515">
        <f t="shared" si="1"/>
        <v>359.25528002809926</v>
      </c>
      <c r="AD30" s="1427"/>
      <c r="AE30" s="1427"/>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row>
    <row r="31" spans="1:135" s="529" customFormat="1" ht="13.5" thickBot="1">
      <c r="B31" s="4177"/>
      <c r="C31" s="1981" t="s">
        <v>63</v>
      </c>
      <c r="D31" s="1061"/>
      <c r="E31" s="1078">
        <f t="shared" ref="E31:O31" si="3">SUM(E23:E30)</f>
        <v>0</v>
      </c>
      <c r="F31" s="1062">
        <f t="shared" si="3"/>
        <v>0</v>
      </c>
      <c r="G31" s="1062">
        <f t="shared" si="3"/>
        <v>0</v>
      </c>
      <c r="H31" s="1062">
        <f t="shared" si="3"/>
        <v>0</v>
      </c>
      <c r="I31" s="706">
        <f t="shared" si="3"/>
        <v>0</v>
      </c>
      <c r="J31" s="1710">
        <f t="shared" si="3"/>
        <v>6283.4754869948856</v>
      </c>
      <c r="K31" s="405">
        <f t="shared" si="3"/>
        <v>16439.782227178504</v>
      </c>
      <c r="L31" s="405">
        <f t="shared" si="3"/>
        <v>23298.053226388613</v>
      </c>
      <c r="M31" s="405">
        <f t="shared" si="3"/>
        <v>28015.293839173624</v>
      </c>
      <c r="N31" s="560">
        <f t="shared" si="3"/>
        <v>30555.308960793031</v>
      </c>
      <c r="O31" s="1710">
        <f t="shared" si="3"/>
        <v>33494.443718533308</v>
      </c>
      <c r="P31" s="405">
        <f t="shared" ref="P31:AC31" si="4">SUM(P23:P30)</f>
        <v>35713.40891987089</v>
      </c>
      <c r="Q31" s="405">
        <f t="shared" si="4"/>
        <v>37377.632820874074</v>
      </c>
      <c r="R31" s="405">
        <f t="shared" si="4"/>
        <v>38625.800746626461</v>
      </c>
      <c r="S31" s="405">
        <f t="shared" si="4"/>
        <v>39561.92669094076</v>
      </c>
      <c r="T31" s="405">
        <f t="shared" si="4"/>
        <v>40264.021149176486</v>
      </c>
      <c r="U31" s="405">
        <f t="shared" si="4"/>
        <v>40790.591992853275</v>
      </c>
      <c r="V31" s="405">
        <f t="shared" si="4"/>
        <v>41185.520125610848</v>
      </c>
      <c r="W31" s="405">
        <f t="shared" si="4"/>
        <v>41481.716225179058</v>
      </c>
      <c r="X31" s="405">
        <f t="shared" si="4"/>
        <v>41703.863299855191</v>
      </c>
      <c r="Y31" s="405">
        <f t="shared" si="4"/>
        <v>41870.473605862302</v>
      </c>
      <c r="Z31" s="405">
        <f t="shared" si="4"/>
        <v>41995.431335367633</v>
      </c>
      <c r="AA31" s="405">
        <f t="shared" si="4"/>
        <v>42089.149632496643</v>
      </c>
      <c r="AB31" s="405">
        <f t="shared" si="4"/>
        <v>42159.438355343387</v>
      </c>
      <c r="AC31" s="560">
        <f t="shared" si="4"/>
        <v>42212.154897478438</v>
      </c>
      <c r="AD31" s="1427"/>
      <c r="AE31" s="1427"/>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row>
    <row r="32" spans="1:135" ht="24" customHeight="1">
      <c r="A32" s="1429"/>
      <c r="B32" s="1982" t="s">
        <v>63</v>
      </c>
      <c r="C32" s="1983"/>
      <c r="D32" s="1984"/>
      <c r="E32" s="1985">
        <f>E31</f>
        <v>0</v>
      </c>
      <c r="F32" s="1986">
        <f t="shared" ref="F32:AC32" si="5">F31</f>
        <v>0</v>
      </c>
      <c r="G32" s="1986">
        <f t="shared" si="5"/>
        <v>0</v>
      </c>
      <c r="H32" s="1986">
        <f t="shared" si="5"/>
        <v>0</v>
      </c>
      <c r="I32" s="3431">
        <f t="shared" si="5"/>
        <v>0</v>
      </c>
      <c r="J32" s="3434">
        <f t="shared" si="5"/>
        <v>6283.4754869948856</v>
      </c>
      <c r="K32" s="3431">
        <f t="shared" si="5"/>
        <v>16439.782227178504</v>
      </c>
      <c r="L32" s="3431">
        <f t="shared" si="5"/>
        <v>23298.053226388613</v>
      </c>
      <c r="M32" s="3431">
        <f t="shared" si="5"/>
        <v>28015.293839173624</v>
      </c>
      <c r="N32" s="3435">
        <f t="shared" si="5"/>
        <v>30555.308960793031</v>
      </c>
      <c r="O32" s="3434">
        <f t="shared" si="5"/>
        <v>33494.443718533308</v>
      </c>
      <c r="P32" s="3431">
        <f t="shared" si="5"/>
        <v>35713.40891987089</v>
      </c>
      <c r="Q32" s="3431">
        <f t="shared" si="5"/>
        <v>37377.632820874074</v>
      </c>
      <c r="R32" s="3431">
        <f t="shared" si="5"/>
        <v>38625.800746626461</v>
      </c>
      <c r="S32" s="3431">
        <f t="shared" si="5"/>
        <v>39561.92669094076</v>
      </c>
      <c r="T32" s="3431">
        <f t="shared" si="5"/>
        <v>40264.021149176486</v>
      </c>
      <c r="U32" s="3431">
        <f t="shared" si="5"/>
        <v>40790.591992853275</v>
      </c>
      <c r="V32" s="3431">
        <f t="shared" si="5"/>
        <v>41185.520125610848</v>
      </c>
      <c r="W32" s="3431">
        <f t="shared" si="5"/>
        <v>41481.716225179058</v>
      </c>
      <c r="X32" s="3431">
        <f t="shared" si="5"/>
        <v>41703.863299855191</v>
      </c>
      <c r="Y32" s="3431">
        <f t="shared" si="5"/>
        <v>41870.473605862302</v>
      </c>
      <c r="Z32" s="3431">
        <f t="shared" si="5"/>
        <v>41995.431335367633</v>
      </c>
      <c r="AA32" s="3431">
        <f t="shared" si="5"/>
        <v>42089.149632496643</v>
      </c>
      <c r="AB32" s="3431">
        <f t="shared" si="5"/>
        <v>42159.438355343387</v>
      </c>
      <c r="AC32" s="3436">
        <f t="shared" si="5"/>
        <v>42212.154897478438</v>
      </c>
    </row>
    <row r="33" spans="1:135" ht="27" customHeight="1" thickBot="1">
      <c r="B33" s="1427"/>
      <c r="I33" s="3433"/>
      <c r="J33" s="3433"/>
      <c r="K33" s="3433"/>
      <c r="L33" s="3433"/>
      <c r="M33" s="3433"/>
      <c r="N33" s="3433"/>
      <c r="O33" s="3433"/>
      <c r="P33" s="3433"/>
      <c r="Q33" s="3433"/>
      <c r="R33" s="3433"/>
      <c r="S33" s="3433"/>
      <c r="T33" s="3433"/>
      <c r="U33" s="3433"/>
      <c r="V33" s="3433"/>
      <c r="W33" s="3433"/>
      <c r="X33" s="3433"/>
      <c r="Y33" s="3433"/>
      <c r="Z33" s="3433"/>
      <c r="AA33" s="3433"/>
      <c r="AB33" s="3433"/>
      <c r="AC33" s="3433"/>
    </row>
    <row r="34" spans="1:135" s="94" customFormat="1" ht="18.75" customHeight="1" thickBot="1">
      <c r="A34" s="308"/>
      <c r="B34" s="858" t="s">
        <v>1525</v>
      </c>
      <c r="C34" s="859"/>
      <c r="D34" s="859"/>
      <c r="E34" s="859"/>
      <c r="F34" s="859"/>
      <c r="G34" s="859"/>
      <c r="H34" s="859"/>
      <c r="I34" s="859"/>
      <c r="J34" s="859"/>
      <c r="K34" s="859"/>
      <c r="L34" s="859"/>
      <c r="M34" s="859"/>
      <c r="N34" s="859"/>
      <c r="O34" s="859"/>
      <c r="P34" s="859"/>
      <c r="Q34" s="859"/>
      <c r="R34" s="859"/>
      <c r="S34" s="859"/>
      <c r="T34" s="859"/>
      <c r="U34" s="859"/>
      <c r="V34" s="859"/>
      <c r="W34" s="859"/>
      <c r="X34" s="859"/>
      <c r="Y34" s="859"/>
      <c r="Z34" s="859"/>
      <c r="AA34" s="859"/>
      <c r="AB34" s="859"/>
      <c r="AC34" s="860"/>
      <c r="AD34" s="1427"/>
      <c r="AE34" s="1427"/>
      <c r="AF34" s="1427"/>
      <c r="DF34" s="1427"/>
      <c r="DG34" s="1427"/>
      <c r="DH34" s="1427"/>
      <c r="DI34" s="1427"/>
      <c r="DJ34" s="1427"/>
      <c r="DK34" s="1427"/>
      <c r="DL34" s="1427"/>
      <c r="DM34" s="1427"/>
      <c r="DN34" s="1427"/>
      <c r="DO34" s="1427"/>
      <c r="DP34" s="1427"/>
      <c r="DQ34" s="1427"/>
      <c r="DR34" s="1427"/>
      <c r="DS34" s="1427"/>
      <c r="DT34" s="1427"/>
      <c r="DU34" s="1427"/>
      <c r="DV34" s="1427"/>
      <c r="DW34" s="1427"/>
      <c r="DX34" s="1427"/>
      <c r="DY34" s="1427"/>
      <c r="DZ34" s="1427"/>
      <c r="EA34" s="1427"/>
      <c r="EB34" s="1427"/>
      <c r="EC34" s="1427"/>
      <c r="ED34" s="1427"/>
      <c r="EE34" s="1427"/>
    </row>
    <row r="35" spans="1:135">
      <c r="A35" s="1429"/>
      <c r="B35" s="4191" t="str">
        <f>+'29.2.2 Gas extenstions cust no'!B34</f>
        <v>Declining block tariff</v>
      </c>
      <c r="C35" s="4178" t="s">
        <v>47</v>
      </c>
      <c r="D35" s="4179"/>
      <c r="E35" s="3424">
        <f>+'29.2.2 Gas extenstions cust no'!D36</f>
        <v>0</v>
      </c>
      <c r="F35" s="3425">
        <f>+'29.2.2 Gas extenstions cust no'!E36</f>
        <v>0</v>
      </c>
      <c r="G35" s="3425">
        <f>+'29.2.2 Gas extenstions cust no'!F36</f>
        <v>0</v>
      </c>
      <c r="H35" s="3425">
        <f>+'29.2.2 Gas extenstions cust no'!G36</f>
        <v>0</v>
      </c>
      <c r="I35" s="3425">
        <f>+'29.2.2 Gas extenstions cust no'!H36</f>
        <v>0</v>
      </c>
      <c r="J35" s="3426">
        <f>+'29.2.2 Gas extenstions cust no'!I36</f>
        <v>2.1466285196214585</v>
      </c>
      <c r="K35" s="3425">
        <f>+'29.2.2 Gas extenstions cust no'!J36</f>
        <v>5.9032284289590109</v>
      </c>
      <c r="L35" s="3425">
        <f>+'29.2.2 Gas extenstions cust no'!K36</f>
        <v>8.7206783609621823</v>
      </c>
      <c r="M35" s="3425">
        <f>+'29.2.2 Gas extenstions cust no'!L36</f>
        <v>10.833765809964561</v>
      </c>
      <c r="N35" s="3427">
        <f>+'29.2.2 Gas extenstions cust no'!M36</f>
        <v>12.418581396716341</v>
      </c>
      <c r="O35" s="3424">
        <f>+'29.2.2 Gas extenstions cust no'!N36</f>
        <v>13.097788076752821</v>
      </c>
      <c r="P35" s="3425">
        <f>+'29.2.2 Gas extenstions cust no'!O36</f>
        <v>13.097788076752821</v>
      </c>
      <c r="Q35" s="3425">
        <f>+'29.2.2 Gas extenstions cust no'!P36</f>
        <v>13.097788076752821</v>
      </c>
      <c r="R35" s="3425">
        <f>+'29.2.2 Gas extenstions cust no'!Q36</f>
        <v>13.097788076752821</v>
      </c>
      <c r="S35" s="3425">
        <f>+'29.2.2 Gas extenstions cust no'!R36</f>
        <v>13.097788076752821</v>
      </c>
      <c r="T35" s="3425">
        <f>+'29.2.2 Gas extenstions cust no'!S36</f>
        <v>13.097788076752821</v>
      </c>
      <c r="U35" s="3425">
        <f>+'29.2.2 Gas extenstions cust no'!T36</f>
        <v>13.097788076752821</v>
      </c>
      <c r="V35" s="3425">
        <f>+'29.2.2 Gas extenstions cust no'!U36</f>
        <v>13.097788076752821</v>
      </c>
      <c r="W35" s="3425">
        <f>+'29.2.2 Gas extenstions cust no'!V36</f>
        <v>13.097788076752821</v>
      </c>
      <c r="X35" s="3425">
        <f>+'29.2.2 Gas extenstions cust no'!W36</f>
        <v>13.097788076752821</v>
      </c>
      <c r="Y35" s="3425">
        <f>+'29.2.2 Gas extenstions cust no'!X36</f>
        <v>13.097788076752821</v>
      </c>
      <c r="Z35" s="3425">
        <f>+'29.2.2 Gas extenstions cust no'!Y36</f>
        <v>13.097788076752821</v>
      </c>
      <c r="AA35" s="3425">
        <f>+'29.2.2 Gas extenstions cust no'!Z36</f>
        <v>13.097788076752821</v>
      </c>
      <c r="AB35" s="3425">
        <f>+'29.2.2 Gas extenstions cust no'!AA36</f>
        <v>13.097788076752821</v>
      </c>
      <c r="AC35" s="3428">
        <f>+'29.2.2 Gas extenstions cust no'!AB36</f>
        <v>13.097788076752821</v>
      </c>
    </row>
    <row r="36" spans="1:135">
      <c r="A36" s="1429"/>
      <c r="B36" s="4191"/>
      <c r="C36" s="1026" t="s">
        <v>1483</v>
      </c>
      <c r="D36" s="884" t="s">
        <v>1479</v>
      </c>
      <c r="E36" s="1980"/>
      <c r="F36" s="1025"/>
      <c r="G36" s="1025"/>
      <c r="H36" s="1025"/>
      <c r="I36" s="3418">
        <f>+I$35*('28. Consumption and demand'!I102/'28. Consumption and demand'!I$101)</f>
        <v>0</v>
      </c>
      <c r="J36" s="3437">
        <f>+J$35*('28. Consumption and demand'!J79/'28. Consumption and demand'!J$78)</f>
        <v>17.74231404037528</v>
      </c>
      <c r="K36" s="3418">
        <f>+K$35*('28. Consumption and demand'!K79/'28. Consumption and demand'!K$78)</f>
        <v>50.99164989316801</v>
      </c>
      <c r="L36" s="3418">
        <f>+L$35*('28. Consumption and demand'!L79/'28. Consumption and demand'!L$78)</f>
        <v>81.847119286591962</v>
      </c>
      <c r="M36" s="3418">
        <f>+M$35*('28. Consumption and demand'!M79/'28. Consumption and demand'!M$78)</f>
        <v>115.66223435909859</v>
      </c>
      <c r="N36" s="3420">
        <f>+N$35*('28. Consumption and demand'!N79/'28. Consumption and demand'!N$78)</f>
        <v>156.84426560202223</v>
      </c>
      <c r="O36" s="514">
        <f>+O$35*(N36/N$35)</f>
        <v>165.42251375446236</v>
      </c>
      <c r="P36" s="513">
        <f t="shared" ref="P36:AC36" si="6">+P$35*(O36/O$35)</f>
        <v>165.42251375446236</v>
      </c>
      <c r="Q36" s="513">
        <f t="shared" si="6"/>
        <v>165.42251375446236</v>
      </c>
      <c r="R36" s="513">
        <f t="shared" si="6"/>
        <v>165.42251375446236</v>
      </c>
      <c r="S36" s="513">
        <f t="shared" si="6"/>
        <v>165.42251375446236</v>
      </c>
      <c r="T36" s="513">
        <f t="shared" si="6"/>
        <v>165.42251375446236</v>
      </c>
      <c r="U36" s="513">
        <f t="shared" si="6"/>
        <v>165.42251375446236</v>
      </c>
      <c r="V36" s="513">
        <f t="shared" si="6"/>
        <v>165.42251375446236</v>
      </c>
      <c r="W36" s="513">
        <f t="shared" si="6"/>
        <v>165.42251375446236</v>
      </c>
      <c r="X36" s="513">
        <f t="shared" si="6"/>
        <v>165.42251375446236</v>
      </c>
      <c r="Y36" s="513">
        <f t="shared" si="6"/>
        <v>165.42251375446236</v>
      </c>
      <c r="Z36" s="513">
        <f t="shared" si="6"/>
        <v>165.42251375446236</v>
      </c>
      <c r="AA36" s="513">
        <f t="shared" si="6"/>
        <v>165.42251375446236</v>
      </c>
      <c r="AB36" s="513">
        <f t="shared" si="6"/>
        <v>165.42251375446236</v>
      </c>
      <c r="AC36" s="515">
        <f t="shared" si="6"/>
        <v>165.42251375446236</v>
      </c>
    </row>
    <row r="37" spans="1:135">
      <c r="A37" s="1429"/>
      <c r="B37" s="4191"/>
      <c r="C37" s="1026" t="s">
        <v>1484</v>
      </c>
      <c r="D37" s="884" t="s">
        <v>1480</v>
      </c>
      <c r="E37" s="1980"/>
      <c r="F37" s="1025"/>
      <c r="G37" s="1025"/>
      <c r="H37" s="1025"/>
      <c r="I37" s="3418">
        <f>+I$35*('28. Consumption and demand'!I103/'28. Consumption and demand'!I$101)</f>
        <v>0</v>
      </c>
      <c r="J37" s="3437">
        <f>+J$35*('28. Consumption and demand'!J80/'28. Consumption and demand'!J$78)</f>
        <v>14.312688587146466</v>
      </c>
      <c r="K37" s="3418">
        <f>+K$35*('28. Consumption and demand'!K80/'28. Consumption and demand'!K$78)</f>
        <v>39.858161076151312</v>
      </c>
      <c r="L37" s="3418">
        <f>+L$35*('28. Consumption and demand'!L80/'28. Consumption and demand'!L$78)</f>
        <v>68.141442784033842</v>
      </c>
      <c r="M37" s="3418">
        <f>+M$35*('28. Consumption and demand'!M80/'28. Consumption and demand'!M$78)</f>
        <v>91.418221489165134</v>
      </c>
      <c r="N37" s="3420">
        <f>+N$35*('28. Consumption and demand'!N80/'28. Consumption and demand'!N$78)</f>
        <v>125.15771106251516</v>
      </c>
      <c r="O37" s="467">
        <f t="shared" ref="O37:AC43" si="7">+O$35*(N37/N$35)</f>
        <v>132.00293361218684</v>
      </c>
      <c r="P37" s="513">
        <f t="shared" si="7"/>
        <v>132.00293361218684</v>
      </c>
      <c r="Q37" s="513">
        <f t="shared" si="7"/>
        <v>132.00293361218684</v>
      </c>
      <c r="R37" s="513">
        <f t="shared" si="7"/>
        <v>132.00293361218684</v>
      </c>
      <c r="S37" s="513">
        <f t="shared" si="7"/>
        <v>132.00293361218684</v>
      </c>
      <c r="T37" s="513">
        <f t="shared" si="7"/>
        <v>132.00293361218684</v>
      </c>
      <c r="U37" s="513">
        <f t="shared" si="7"/>
        <v>132.00293361218684</v>
      </c>
      <c r="V37" s="513">
        <f t="shared" si="7"/>
        <v>132.00293361218684</v>
      </c>
      <c r="W37" s="513">
        <f t="shared" si="7"/>
        <v>132.00293361218684</v>
      </c>
      <c r="X37" s="513">
        <f t="shared" si="7"/>
        <v>132.00293361218684</v>
      </c>
      <c r="Y37" s="513">
        <f t="shared" si="7"/>
        <v>132.00293361218684</v>
      </c>
      <c r="Z37" s="513">
        <f t="shared" si="7"/>
        <v>132.00293361218684</v>
      </c>
      <c r="AA37" s="513">
        <f t="shared" si="7"/>
        <v>132.00293361218684</v>
      </c>
      <c r="AB37" s="513">
        <f t="shared" si="7"/>
        <v>132.00293361218684</v>
      </c>
      <c r="AC37" s="515">
        <f t="shared" si="7"/>
        <v>132.00293361218684</v>
      </c>
    </row>
    <row r="38" spans="1:135">
      <c r="A38" s="1429"/>
      <c r="B38" s="4191"/>
      <c r="C38" s="1026" t="s">
        <v>1485</v>
      </c>
      <c r="D38" s="884" t="s">
        <v>1481</v>
      </c>
      <c r="E38" s="1980"/>
      <c r="F38" s="1025"/>
      <c r="G38" s="1025"/>
      <c r="H38" s="1025"/>
      <c r="I38" s="3418">
        <f>+I$35*('28. Consumption and demand'!I104/'28. Consumption and demand'!I$101)</f>
        <v>0</v>
      </c>
      <c r="J38" s="3437">
        <f>+J$35*('28. Consumption and demand'!J81/'28. Consumption and demand'!J$78)</f>
        <v>83.236808825433826</v>
      </c>
      <c r="K38" s="3418">
        <f>+K$35*('28. Consumption and demand'!K81/'28. Consumption and demand'!K$78)</f>
        <v>246.49826721287192</v>
      </c>
      <c r="L38" s="3418">
        <f>+L$35*('28. Consumption and demand'!L81/'28. Consumption and demand'!L$78)</f>
        <v>352.88515676912169</v>
      </c>
      <c r="M38" s="3418">
        <f>+M$35*('28. Consumption and demand'!M81/'28. Consumption and demand'!M$78)</f>
        <v>505.52162767404525</v>
      </c>
      <c r="N38" s="3420">
        <f>+N$35*('28. Consumption and demand'!N81/'28. Consumption and demand'!N$78)</f>
        <v>699.8308437401422</v>
      </c>
      <c r="O38" s="467">
        <f t="shared" si="7"/>
        <v>738.10653472120339</v>
      </c>
      <c r="P38" s="513">
        <f t="shared" si="7"/>
        <v>738.10653472120339</v>
      </c>
      <c r="Q38" s="513">
        <f t="shared" si="7"/>
        <v>738.10653472120339</v>
      </c>
      <c r="R38" s="513">
        <f t="shared" si="7"/>
        <v>738.10653472120339</v>
      </c>
      <c r="S38" s="513">
        <f t="shared" si="7"/>
        <v>738.10653472120339</v>
      </c>
      <c r="T38" s="513">
        <f t="shared" si="7"/>
        <v>738.10653472120339</v>
      </c>
      <c r="U38" s="513">
        <f t="shared" si="7"/>
        <v>738.10653472120339</v>
      </c>
      <c r="V38" s="513">
        <f t="shared" si="7"/>
        <v>738.10653472120339</v>
      </c>
      <c r="W38" s="513">
        <f t="shared" si="7"/>
        <v>738.10653472120339</v>
      </c>
      <c r="X38" s="513">
        <f t="shared" si="7"/>
        <v>738.10653472120339</v>
      </c>
      <c r="Y38" s="513">
        <f t="shared" si="7"/>
        <v>738.10653472120339</v>
      </c>
      <c r="Z38" s="513">
        <f t="shared" si="7"/>
        <v>738.10653472120339</v>
      </c>
      <c r="AA38" s="513">
        <f t="shared" si="7"/>
        <v>738.10653472120339</v>
      </c>
      <c r="AB38" s="513">
        <f t="shared" si="7"/>
        <v>738.10653472120339</v>
      </c>
      <c r="AC38" s="515">
        <f t="shared" si="7"/>
        <v>738.10653472120339</v>
      </c>
    </row>
    <row r="39" spans="1:135">
      <c r="A39" s="1429"/>
      <c r="B39" s="4191"/>
      <c r="C39" s="1026" t="s">
        <v>1486</v>
      </c>
      <c r="D39" s="884" t="s">
        <v>1482</v>
      </c>
      <c r="E39" s="1980"/>
      <c r="F39" s="1025"/>
      <c r="G39" s="1025"/>
      <c r="H39" s="1025"/>
      <c r="I39" s="3418">
        <f>+I$35*('28. Consumption and demand'!I105/'28. Consumption and demand'!I$101)</f>
        <v>0</v>
      </c>
      <c r="J39" s="3437">
        <f>+J$35*('28. Consumption and demand'!J82/'28. Consumption and demand'!J$78)</f>
        <v>88.356431979590212</v>
      </c>
      <c r="K39" s="3418">
        <f>+K$35*('28. Consumption and demand'!K82/'28. Consumption and demand'!K$78)</f>
        <v>206.80058649475228</v>
      </c>
      <c r="L39" s="3418">
        <f>+L$35*('28. Consumption and demand'!L82/'28. Consumption and demand'!L$78)</f>
        <v>377.38897101107568</v>
      </c>
      <c r="M39" s="3418">
        <f>+M$35*('28. Consumption and demand'!M82/'28. Consumption and demand'!M$78)</f>
        <v>388.01222302865159</v>
      </c>
      <c r="N39" s="3420">
        <f>+N$35*('28. Consumption and demand'!N82/'28. Consumption and demand'!N$78)</f>
        <v>485.22550338031073</v>
      </c>
      <c r="O39" s="467">
        <f t="shared" si="7"/>
        <v>511.76383273466939</v>
      </c>
      <c r="P39" s="513">
        <f t="shared" si="7"/>
        <v>511.76383273466939</v>
      </c>
      <c r="Q39" s="513">
        <f t="shared" si="7"/>
        <v>511.76383273466939</v>
      </c>
      <c r="R39" s="513">
        <f t="shared" si="7"/>
        <v>511.76383273466939</v>
      </c>
      <c r="S39" s="513">
        <f t="shared" si="7"/>
        <v>511.76383273466939</v>
      </c>
      <c r="T39" s="513">
        <f t="shared" si="7"/>
        <v>511.76383273466939</v>
      </c>
      <c r="U39" s="513">
        <f t="shared" si="7"/>
        <v>511.76383273466939</v>
      </c>
      <c r="V39" s="513">
        <f t="shared" si="7"/>
        <v>511.76383273466939</v>
      </c>
      <c r="W39" s="513">
        <f t="shared" si="7"/>
        <v>511.76383273466939</v>
      </c>
      <c r="X39" s="513">
        <f t="shared" si="7"/>
        <v>511.76383273466939</v>
      </c>
      <c r="Y39" s="513">
        <f t="shared" si="7"/>
        <v>511.76383273466939</v>
      </c>
      <c r="Z39" s="513">
        <f t="shared" si="7"/>
        <v>511.76383273466939</v>
      </c>
      <c r="AA39" s="513">
        <f t="shared" si="7"/>
        <v>511.76383273466939</v>
      </c>
      <c r="AB39" s="513">
        <f t="shared" si="7"/>
        <v>511.76383273466939</v>
      </c>
      <c r="AC39" s="515">
        <f t="shared" si="7"/>
        <v>511.76383273466939</v>
      </c>
    </row>
    <row r="40" spans="1:135">
      <c r="A40" s="1429"/>
      <c r="B40" s="4191"/>
      <c r="C40" s="3417" t="s">
        <v>1491</v>
      </c>
      <c r="D40" s="884" t="s">
        <v>1487</v>
      </c>
      <c r="E40" s="1980"/>
      <c r="F40" s="1025"/>
      <c r="G40" s="1025"/>
      <c r="H40" s="1025"/>
      <c r="I40" s="3418">
        <f>+I$35*('28. Consumption and demand'!I106/'28. Consumption and demand'!I$101)</f>
        <v>0</v>
      </c>
      <c r="J40" s="3437">
        <f>+J$35*('28. Consumption and demand'!J83/'28. Consumption and demand'!J$78)</f>
        <v>27.330874311820413</v>
      </c>
      <c r="K40" s="3418">
        <f>+K$35*('28. Consumption and demand'!K83/'28. Consumption and demand'!K$78)</f>
        <v>72.760132682089306</v>
      </c>
      <c r="L40" s="3418">
        <f>+L$35*('28. Consumption and demand'!L83/'28. Consumption and demand'!L$78)</f>
        <v>125.44534328200378</v>
      </c>
      <c r="M40" s="3418">
        <f>+M$35*('28. Consumption and demand'!M83/'28. Consumption and demand'!M$78)</f>
        <v>169.25503990993397</v>
      </c>
      <c r="N40" s="3420">
        <f>+N$35*('28. Consumption and demand'!N83/'28. Consumption and demand'!N$78)</f>
        <v>232.01865099693109</v>
      </c>
      <c r="O40" s="467">
        <f t="shared" si="7"/>
        <v>244.70839490695909</v>
      </c>
      <c r="P40" s="513">
        <f t="shared" si="7"/>
        <v>244.70839490695909</v>
      </c>
      <c r="Q40" s="513">
        <f t="shared" si="7"/>
        <v>244.70839490695909</v>
      </c>
      <c r="R40" s="513">
        <f t="shared" si="7"/>
        <v>244.70839490695909</v>
      </c>
      <c r="S40" s="513">
        <f t="shared" si="7"/>
        <v>244.70839490695909</v>
      </c>
      <c r="T40" s="513">
        <f t="shared" si="7"/>
        <v>244.70839490695909</v>
      </c>
      <c r="U40" s="513">
        <f t="shared" si="7"/>
        <v>244.70839490695909</v>
      </c>
      <c r="V40" s="513">
        <f t="shared" si="7"/>
        <v>244.70839490695909</v>
      </c>
      <c r="W40" s="513">
        <f t="shared" si="7"/>
        <v>244.70839490695909</v>
      </c>
      <c r="X40" s="513">
        <f t="shared" si="7"/>
        <v>244.70839490695909</v>
      </c>
      <c r="Y40" s="513">
        <f t="shared" si="7"/>
        <v>244.70839490695909</v>
      </c>
      <c r="Z40" s="513">
        <f t="shared" si="7"/>
        <v>244.70839490695909</v>
      </c>
      <c r="AA40" s="513">
        <f t="shared" si="7"/>
        <v>244.70839490695909</v>
      </c>
      <c r="AB40" s="513">
        <f t="shared" si="7"/>
        <v>244.70839490695909</v>
      </c>
      <c r="AC40" s="515">
        <f t="shared" si="7"/>
        <v>244.70839490695909</v>
      </c>
    </row>
    <row r="41" spans="1:135">
      <c r="A41" s="1429"/>
      <c r="B41" s="4191"/>
      <c r="C41" s="3417" t="s">
        <v>1492</v>
      </c>
      <c r="D41" s="884" t="s">
        <v>1488</v>
      </c>
      <c r="E41" s="1980"/>
      <c r="F41" s="1025"/>
      <c r="G41" s="1025"/>
      <c r="H41" s="1025"/>
      <c r="I41" s="3418">
        <f>+I$35*('28. Consumption and demand'!I107/'28. Consumption and demand'!I$101)</f>
        <v>0</v>
      </c>
      <c r="J41" s="3437">
        <f>+J$35*('28. Consumption and demand'!J84/'28. Consumption and demand'!J$78)</f>
        <v>17.880556917038902</v>
      </c>
      <c r="K41" s="3418">
        <f>+K$35*('28. Consumption and demand'!K84/'28. Consumption and demand'!K$78)</f>
        <v>54.823063781652365</v>
      </c>
      <c r="L41" s="3418">
        <f>+L$35*('28. Consumption and demand'!L84/'28. Consumption and demand'!L$78)</f>
        <v>97.639944810207027</v>
      </c>
      <c r="M41" s="3418">
        <f>+M$35*('28. Consumption and demand'!M84/'28. Consumption and demand'!M$78)</f>
        <v>126.59527548568026</v>
      </c>
      <c r="N41" s="3420">
        <f>+N$35*('28. Consumption and demand'!N84/'28. Consumption and demand'!N$78)</f>
        <v>176.85796926174908</v>
      </c>
      <c r="O41" s="467">
        <f t="shared" si="7"/>
        <v>186.53082240840789</v>
      </c>
      <c r="P41" s="513">
        <f t="shared" si="7"/>
        <v>186.53082240840789</v>
      </c>
      <c r="Q41" s="513">
        <f t="shared" si="7"/>
        <v>186.53082240840789</v>
      </c>
      <c r="R41" s="513">
        <f t="shared" si="7"/>
        <v>186.53082240840789</v>
      </c>
      <c r="S41" s="513">
        <f t="shared" si="7"/>
        <v>186.53082240840789</v>
      </c>
      <c r="T41" s="513">
        <f t="shared" si="7"/>
        <v>186.53082240840789</v>
      </c>
      <c r="U41" s="513">
        <f t="shared" si="7"/>
        <v>186.53082240840789</v>
      </c>
      <c r="V41" s="513">
        <f t="shared" si="7"/>
        <v>186.53082240840789</v>
      </c>
      <c r="W41" s="513">
        <f t="shared" si="7"/>
        <v>186.53082240840789</v>
      </c>
      <c r="X41" s="513">
        <f t="shared" si="7"/>
        <v>186.53082240840789</v>
      </c>
      <c r="Y41" s="513">
        <f t="shared" si="7"/>
        <v>186.53082240840789</v>
      </c>
      <c r="Z41" s="513">
        <f t="shared" si="7"/>
        <v>186.53082240840789</v>
      </c>
      <c r="AA41" s="513">
        <f t="shared" si="7"/>
        <v>186.53082240840789</v>
      </c>
      <c r="AB41" s="513">
        <f t="shared" si="7"/>
        <v>186.53082240840789</v>
      </c>
      <c r="AC41" s="515">
        <f t="shared" si="7"/>
        <v>186.53082240840789</v>
      </c>
    </row>
    <row r="42" spans="1:135">
      <c r="A42" s="1429"/>
      <c r="B42" s="4191"/>
      <c r="C42" s="3417" t="s">
        <v>1493</v>
      </c>
      <c r="D42" s="884" t="s">
        <v>1489</v>
      </c>
      <c r="E42" s="1980"/>
      <c r="F42" s="1025"/>
      <c r="G42" s="1025"/>
      <c r="H42" s="1025"/>
      <c r="I42" s="3418">
        <f>+I$35*('28. Consumption and demand'!I108/'28. Consumption and demand'!I$101)</f>
        <v>0</v>
      </c>
      <c r="J42" s="3437">
        <f>+J$35*('28. Consumption and demand'!J85/'28. Consumption and demand'!J$78)</f>
        <v>164.34261658686904</v>
      </c>
      <c r="K42" s="3418">
        <f>+K$35*('28. Consumption and demand'!K85/'28. Consumption and demand'!K$78)</f>
        <v>446.7418973896805</v>
      </c>
      <c r="L42" s="3418">
        <f>+L$35*('28. Consumption and demand'!L85/'28. Consumption and demand'!L$78)</f>
        <v>585.63747831850276</v>
      </c>
      <c r="M42" s="3418">
        <f>+M$35*('28. Consumption and demand'!M85/'28. Consumption and demand'!M$78)</f>
        <v>880.52672564926547</v>
      </c>
      <c r="N42" s="3420">
        <f>+N$35*('28. Consumption and demand'!N85/'28. Consumption and demand'!N$78)</f>
        <v>1197.6803254397948</v>
      </c>
      <c r="O42" s="467">
        <f t="shared" si="7"/>
        <v>1263.1847861829572</v>
      </c>
      <c r="P42" s="513">
        <f t="shared" si="7"/>
        <v>1263.1847861829572</v>
      </c>
      <c r="Q42" s="513">
        <f t="shared" si="7"/>
        <v>1263.1847861829572</v>
      </c>
      <c r="R42" s="513">
        <f t="shared" si="7"/>
        <v>1263.1847861829572</v>
      </c>
      <c r="S42" s="513">
        <f t="shared" si="7"/>
        <v>1263.1847861829572</v>
      </c>
      <c r="T42" s="513">
        <f t="shared" si="7"/>
        <v>1263.1847861829572</v>
      </c>
      <c r="U42" s="513">
        <f t="shared" si="7"/>
        <v>1263.1847861829572</v>
      </c>
      <c r="V42" s="513">
        <f t="shared" si="7"/>
        <v>1263.1847861829572</v>
      </c>
      <c r="W42" s="513">
        <f t="shared" si="7"/>
        <v>1263.1847861829572</v>
      </c>
      <c r="X42" s="513">
        <f t="shared" si="7"/>
        <v>1263.1847861829572</v>
      </c>
      <c r="Y42" s="513">
        <f t="shared" si="7"/>
        <v>1263.1847861829572</v>
      </c>
      <c r="Z42" s="513">
        <f t="shared" si="7"/>
        <v>1263.1847861829572</v>
      </c>
      <c r="AA42" s="513">
        <f t="shared" si="7"/>
        <v>1263.1847861829572</v>
      </c>
      <c r="AB42" s="513">
        <f t="shared" si="7"/>
        <v>1263.1847861829572</v>
      </c>
      <c r="AC42" s="515">
        <f t="shared" si="7"/>
        <v>1263.1847861829572</v>
      </c>
    </row>
    <row r="43" spans="1:135">
      <c r="A43" s="1429"/>
      <c r="B43" s="4191"/>
      <c r="C43" s="3417" t="s">
        <v>1494</v>
      </c>
      <c r="D43" s="884" t="s">
        <v>1490</v>
      </c>
      <c r="E43" s="1980"/>
      <c r="F43" s="1025"/>
      <c r="G43" s="1025"/>
      <c r="H43" s="1025"/>
      <c r="I43" s="3418">
        <f>+I$35*('28. Consumption and demand'!I109/'28. Consumption and demand'!I$101)</f>
        <v>0</v>
      </c>
      <c r="J43" s="3437">
        <f>+J$35*('28. Consumption and demand'!J86/'28. Consumption and demand'!J$78)</f>
        <v>146.66968158024795</v>
      </c>
      <c r="K43" s="3418">
        <f>+K$35*('28. Consumption and demand'!K86/'28. Consumption and demand'!K$78)</f>
        <v>378.76163063032823</v>
      </c>
      <c r="L43" s="3418">
        <f>+L$35*('28. Consumption and demand'!L86/'28. Consumption and demand'!L$78)</f>
        <v>552.00925060628288</v>
      </c>
      <c r="M43" s="3418">
        <f>+M$35*('28. Consumption and demand'!M86/'28. Consumption and demand'!M$78)</f>
        <v>714.80594340111952</v>
      </c>
      <c r="N43" s="3420">
        <f>+N$35*('28. Consumption and demand'!N86/'28. Consumption and demand'!N$78)</f>
        <v>894.09611700644189</v>
      </c>
      <c r="O43" s="467">
        <f t="shared" si="7"/>
        <v>942.99671489808395</v>
      </c>
      <c r="P43" s="513">
        <f t="shared" si="7"/>
        <v>942.99671489808395</v>
      </c>
      <c r="Q43" s="513">
        <f t="shared" si="7"/>
        <v>942.99671489808395</v>
      </c>
      <c r="R43" s="513">
        <f t="shared" si="7"/>
        <v>942.99671489808395</v>
      </c>
      <c r="S43" s="513">
        <f t="shared" si="7"/>
        <v>942.99671489808395</v>
      </c>
      <c r="T43" s="513">
        <f t="shared" si="7"/>
        <v>942.99671489808395</v>
      </c>
      <c r="U43" s="513">
        <f t="shared" si="7"/>
        <v>942.99671489808395</v>
      </c>
      <c r="V43" s="513">
        <f t="shared" si="7"/>
        <v>942.99671489808395</v>
      </c>
      <c r="W43" s="513">
        <f t="shared" si="7"/>
        <v>942.99671489808395</v>
      </c>
      <c r="X43" s="513">
        <f t="shared" si="7"/>
        <v>942.99671489808395</v>
      </c>
      <c r="Y43" s="513">
        <f t="shared" si="7"/>
        <v>942.99671489808395</v>
      </c>
      <c r="Z43" s="513">
        <f t="shared" si="7"/>
        <v>942.99671489808395</v>
      </c>
      <c r="AA43" s="513">
        <f t="shared" si="7"/>
        <v>942.99671489808395</v>
      </c>
      <c r="AB43" s="513">
        <f t="shared" si="7"/>
        <v>942.99671489808395</v>
      </c>
      <c r="AC43" s="515">
        <f t="shared" si="7"/>
        <v>942.99671489808395</v>
      </c>
    </row>
    <row r="44" spans="1:135" s="529" customFormat="1" ht="13.5" thickBot="1">
      <c r="B44" s="4192"/>
      <c r="C44" s="1981" t="s">
        <v>63</v>
      </c>
      <c r="D44" s="1061"/>
      <c r="E44" s="559">
        <f t="shared" ref="E44:AC44" si="8">SUM(E35:E43)</f>
        <v>0</v>
      </c>
      <c r="F44" s="405">
        <f t="shared" si="8"/>
        <v>0</v>
      </c>
      <c r="G44" s="405">
        <f t="shared" si="8"/>
        <v>0</v>
      </c>
      <c r="H44" s="405">
        <f t="shared" si="8"/>
        <v>0</v>
      </c>
      <c r="I44" s="706">
        <f t="shared" si="8"/>
        <v>0</v>
      </c>
      <c r="J44" s="1710">
        <f t="shared" si="8"/>
        <v>562.01860134814353</v>
      </c>
      <c r="K44" s="405">
        <f t="shared" si="8"/>
        <v>1503.138617589653</v>
      </c>
      <c r="L44" s="405">
        <f t="shared" si="8"/>
        <v>2249.715385228782</v>
      </c>
      <c r="M44" s="405">
        <f t="shared" si="8"/>
        <v>3002.6310568069239</v>
      </c>
      <c r="N44" s="560">
        <f t="shared" si="8"/>
        <v>3980.1299678866235</v>
      </c>
      <c r="O44" s="1710">
        <f t="shared" si="8"/>
        <v>4197.8143212956829</v>
      </c>
      <c r="P44" s="405">
        <f t="shared" si="8"/>
        <v>4197.8143212956829</v>
      </c>
      <c r="Q44" s="405">
        <f t="shared" si="8"/>
        <v>4197.8143212956829</v>
      </c>
      <c r="R44" s="405">
        <f t="shared" si="8"/>
        <v>4197.8143212956829</v>
      </c>
      <c r="S44" s="405">
        <f t="shared" si="8"/>
        <v>4197.8143212956829</v>
      </c>
      <c r="T44" s="405">
        <f t="shared" si="8"/>
        <v>4197.8143212956829</v>
      </c>
      <c r="U44" s="405">
        <f t="shared" si="8"/>
        <v>4197.8143212956829</v>
      </c>
      <c r="V44" s="405">
        <f t="shared" si="8"/>
        <v>4197.8143212956829</v>
      </c>
      <c r="W44" s="405">
        <f t="shared" si="8"/>
        <v>4197.8143212956829</v>
      </c>
      <c r="X44" s="405">
        <f t="shared" si="8"/>
        <v>4197.8143212956829</v>
      </c>
      <c r="Y44" s="405">
        <f t="shared" si="8"/>
        <v>4197.8143212956829</v>
      </c>
      <c r="Z44" s="405">
        <f t="shared" si="8"/>
        <v>4197.8143212956829</v>
      </c>
      <c r="AA44" s="405">
        <f t="shared" si="8"/>
        <v>4197.8143212956829</v>
      </c>
      <c r="AB44" s="405">
        <f t="shared" si="8"/>
        <v>4197.8143212956829</v>
      </c>
      <c r="AC44" s="560">
        <f t="shared" si="8"/>
        <v>4197.8143212956829</v>
      </c>
      <c r="AD44" s="1427"/>
      <c r="AE44" s="1427"/>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c r="BU44" s="229"/>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c r="DM44" s="229"/>
      <c r="DN44" s="229"/>
      <c r="DO44" s="229"/>
      <c r="DP44" s="229"/>
    </row>
    <row r="45" spans="1:135" ht="24" customHeight="1" thickBot="1">
      <c r="A45" s="1429"/>
      <c r="B45" s="4193" t="s">
        <v>63</v>
      </c>
      <c r="C45" s="4194"/>
      <c r="D45" s="4195"/>
      <c r="E45" s="3429">
        <f>E44</f>
        <v>0</v>
      </c>
      <c r="F45" s="405">
        <f t="shared" ref="F45:AC45" si="9">F44</f>
        <v>0</v>
      </c>
      <c r="G45" s="405">
        <f t="shared" si="9"/>
        <v>0</v>
      </c>
      <c r="H45" s="405">
        <f t="shared" si="9"/>
        <v>0</v>
      </c>
      <c r="I45" s="405">
        <f t="shared" si="9"/>
        <v>0</v>
      </c>
      <c r="J45" s="3429">
        <f t="shared" si="9"/>
        <v>562.01860134814353</v>
      </c>
      <c r="K45" s="405">
        <f t="shared" si="9"/>
        <v>1503.138617589653</v>
      </c>
      <c r="L45" s="405">
        <f t="shared" si="9"/>
        <v>2249.715385228782</v>
      </c>
      <c r="M45" s="405">
        <f t="shared" si="9"/>
        <v>3002.6310568069239</v>
      </c>
      <c r="N45" s="3430">
        <f t="shared" si="9"/>
        <v>3980.1299678866235</v>
      </c>
      <c r="O45" s="559">
        <f t="shared" si="9"/>
        <v>4197.8143212956829</v>
      </c>
      <c r="P45" s="405">
        <f t="shared" si="9"/>
        <v>4197.8143212956829</v>
      </c>
      <c r="Q45" s="405">
        <f t="shared" si="9"/>
        <v>4197.8143212956829</v>
      </c>
      <c r="R45" s="405">
        <f t="shared" si="9"/>
        <v>4197.8143212956829</v>
      </c>
      <c r="S45" s="405">
        <f t="shared" si="9"/>
        <v>4197.8143212956829</v>
      </c>
      <c r="T45" s="405">
        <f t="shared" si="9"/>
        <v>4197.8143212956829</v>
      </c>
      <c r="U45" s="405">
        <f t="shared" si="9"/>
        <v>4197.8143212956829</v>
      </c>
      <c r="V45" s="405">
        <f t="shared" si="9"/>
        <v>4197.8143212956829</v>
      </c>
      <c r="W45" s="405">
        <f t="shared" si="9"/>
        <v>4197.8143212956829</v>
      </c>
      <c r="X45" s="405">
        <f t="shared" si="9"/>
        <v>4197.8143212956829</v>
      </c>
      <c r="Y45" s="405">
        <f t="shared" si="9"/>
        <v>4197.8143212956829</v>
      </c>
      <c r="Z45" s="405">
        <f t="shared" si="9"/>
        <v>4197.8143212956829</v>
      </c>
      <c r="AA45" s="405">
        <f t="shared" si="9"/>
        <v>4197.8143212956829</v>
      </c>
      <c r="AB45" s="405">
        <f t="shared" si="9"/>
        <v>4197.8143212956829</v>
      </c>
      <c r="AC45" s="560">
        <f t="shared" si="9"/>
        <v>4197.8143212956829</v>
      </c>
    </row>
    <row r="46" spans="1:135" ht="24" customHeight="1" thickBot="1">
      <c r="A46" s="1429"/>
      <c r="B46" s="4193" t="s">
        <v>298</v>
      </c>
      <c r="C46" s="4194"/>
      <c r="D46" s="4195"/>
      <c r="E46" s="1987"/>
      <c r="F46" s="1079"/>
      <c r="G46" s="1079"/>
      <c r="H46" s="1079"/>
      <c r="I46" s="1079"/>
      <c r="J46" s="1081"/>
      <c r="K46" s="1079"/>
      <c r="L46" s="1079"/>
      <c r="M46" s="1079"/>
      <c r="N46" s="1079"/>
      <c r="O46" s="1081"/>
      <c r="P46" s="1079"/>
      <c r="Q46" s="1079"/>
      <c r="R46" s="1079"/>
      <c r="S46" s="1079"/>
      <c r="T46" s="1079"/>
      <c r="U46" s="1079"/>
      <c r="V46" s="1079"/>
      <c r="W46" s="1079"/>
      <c r="X46" s="1079"/>
      <c r="Y46" s="1079"/>
      <c r="Z46" s="1079"/>
      <c r="AA46" s="1079"/>
      <c r="AB46" s="1079"/>
      <c r="AC46" s="1080"/>
    </row>
    <row r="47" spans="1:135" ht="30" customHeight="1" thickBot="1">
      <c r="B47" s="1427"/>
    </row>
    <row r="48" spans="1:135" s="94" customFormat="1" ht="18.75" customHeight="1" thickBot="1">
      <c r="A48" s="308"/>
      <c r="B48" s="858" t="s">
        <v>1526</v>
      </c>
      <c r="C48" s="859"/>
      <c r="D48" s="859"/>
      <c r="E48" s="924"/>
      <c r="F48" s="924"/>
      <c r="G48" s="924"/>
      <c r="H48" s="924"/>
      <c r="I48" s="924"/>
      <c r="J48" s="924"/>
      <c r="K48" s="924"/>
      <c r="L48" s="924"/>
      <c r="M48" s="924"/>
      <c r="N48" s="924"/>
      <c r="O48" s="924"/>
      <c r="P48" s="924"/>
      <c r="Q48" s="924"/>
      <c r="R48" s="924"/>
      <c r="S48" s="924"/>
      <c r="T48" s="924"/>
      <c r="U48" s="924"/>
      <c r="V48" s="924"/>
      <c r="W48" s="924"/>
      <c r="X48" s="924"/>
      <c r="Y48" s="924"/>
      <c r="Z48" s="924"/>
      <c r="AA48" s="924"/>
      <c r="AB48" s="924"/>
      <c r="AC48" s="925"/>
      <c r="AD48" s="1427"/>
      <c r="AE48" s="1427"/>
      <c r="AF48" s="1427"/>
      <c r="DF48" s="1427"/>
      <c r="DG48" s="1427"/>
      <c r="DH48" s="1427"/>
      <c r="DI48" s="1427"/>
      <c r="DJ48" s="1427"/>
      <c r="DK48" s="1427"/>
      <c r="DL48" s="1427"/>
      <c r="DM48" s="1427"/>
      <c r="DN48" s="1427"/>
      <c r="DO48" s="1427"/>
      <c r="DP48" s="1427"/>
      <c r="DQ48" s="1427"/>
      <c r="DR48" s="1427"/>
      <c r="DS48" s="1427"/>
      <c r="DT48" s="1427"/>
      <c r="DU48" s="1427"/>
      <c r="DV48" s="1427"/>
      <c r="DW48" s="1427"/>
      <c r="DX48" s="1427"/>
      <c r="DY48" s="1427"/>
      <c r="DZ48" s="1427"/>
      <c r="EA48" s="1427"/>
      <c r="EB48" s="1427"/>
      <c r="EC48" s="1427"/>
      <c r="ED48" s="1427"/>
      <c r="EE48" s="1427"/>
    </row>
    <row r="49" spans="1:120">
      <c r="A49" s="1429"/>
      <c r="B49" s="4173"/>
      <c r="C49" s="4178" t="s">
        <v>47</v>
      </c>
      <c r="D49" s="4179"/>
      <c r="E49" s="1988">
        <f>'29.2.2 Gas extenstions cust no'!D47</f>
        <v>0</v>
      </c>
      <c r="F49" s="1077">
        <f>'29.2.2 Gas extenstions cust no'!E47</f>
        <v>0</v>
      </c>
      <c r="G49" s="1077">
        <f>'29.2.2 Gas extenstions cust no'!E47</f>
        <v>0</v>
      </c>
      <c r="H49" s="1077">
        <f>'29.2.2 Gas extenstions cust no'!F47</f>
        <v>0</v>
      </c>
      <c r="I49" s="1084">
        <f>'29.2.2 Gas extenstions cust no'!H47</f>
        <v>0</v>
      </c>
      <c r="J49" s="1988">
        <f>'29.2.2 Gas extenstions cust no'!I47</f>
        <v>0</v>
      </c>
      <c r="K49" s="1077">
        <f>'29.2.2 Gas extenstions cust no'!J47</f>
        <v>0</v>
      </c>
      <c r="L49" s="1077">
        <f>'29.2.2 Gas extenstions cust no'!K47</f>
        <v>0</v>
      </c>
      <c r="M49" s="1077">
        <f>'29.2.2 Gas extenstions cust no'!L47</f>
        <v>0</v>
      </c>
      <c r="N49" s="1084">
        <f>'29.2.2 Gas extenstions cust no'!M47</f>
        <v>0</v>
      </c>
      <c r="O49" s="1085">
        <f>'29.2.2 Gas extenstions cust no'!N47</f>
        <v>0</v>
      </c>
      <c r="P49" s="1077">
        <f>'29.2.2 Gas extenstions cust no'!O47</f>
        <v>0</v>
      </c>
      <c r="Q49" s="1077">
        <f>'29.2.2 Gas extenstions cust no'!P47</f>
        <v>0</v>
      </c>
      <c r="R49" s="1077">
        <f>'29.2.2 Gas extenstions cust no'!Q47</f>
        <v>0</v>
      </c>
      <c r="S49" s="1077">
        <f>'29.2.2 Gas extenstions cust no'!R47</f>
        <v>0</v>
      </c>
      <c r="T49" s="1077">
        <f>'29.2.2 Gas extenstions cust no'!S47</f>
        <v>0</v>
      </c>
      <c r="U49" s="1077">
        <f>'29.2.2 Gas extenstions cust no'!T47</f>
        <v>0</v>
      </c>
      <c r="V49" s="1077">
        <f>'29.2.2 Gas extenstions cust no'!U47</f>
        <v>0</v>
      </c>
      <c r="W49" s="1077">
        <f>'29.2.2 Gas extenstions cust no'!V47</f>
        <v>0</v>
      </c>
      <c r="X49" s="1077">
        <f>'29.2.2 Gas extenstions cust no'!W47</f>
        <v>0</v>
      </c>
      <c r="Y49" s="1077">
        <f>'29.2.2 Gas extenstions cust no'!X47</f>
        <v>0</v>
      </c>
      <c r="Z49" s="1077">
        <f>'29.2.2 Gas extenstions cust no'!Y47</f>
        <v>0</v>
      </c>
      <c r="AA49" s="1077">
        <f>'29.2.2 Gas extenstions cust no'!Z47</f>
        <v>0</v>
      </c>
      <c r="AB49" s="1077">
        <f>'29.2.2 Gas extenstions cust no'!AA47</f>
        <v>0</v>
      </c>
      <c r="AC49" s="1084">
        <f>'29.2.2 Gas extenstions cust no'!AB47</f>
        <v>0</v>
      </c>
    </row>
    <row r="50" spans="1:120">
      <c r="A50" s="1429"/>
      <c r="B50" s="4174"/>
      <c r="C50" s="1026" t="s">
        <v>297</v>
      </c>
      <c r="D50" s="983" t="s">
        <v>296</v>
      </c>
      <c r="E50" s="823"/>
      <c r="F50" s="780"/>
      <c r="G50" s="780"/>
      <c r="H50" s="780"/>
      <c r="I50" s="884"/>
      <c r="J50" s="823"/>
      <c r="K50" s="780"/>
      <c r="L50" s="780"/>
      <c r="M50" s="780"/>
      <c r="N50" s="884"/>
      <c r="O50" s="880"/>
      <c r="P50" s="780"/>
      <c r="Q50" s="780"/>
      <c r="R50" s="780"/>
      <c r="S50" s="780"/>
      <c r="T50" s="780"/>
      <c r="U50" s="780"/>
      <c r="V50" s="780"/>
      <c r="W50" s="780"/>
      <c r="X50" s="780"/>
      <c r="Y50" s="780"/>
      <c r="Z50" s="780"/>
      <c r="AA50" s="780"/>
      <c r="AB50" s="780"/>
      <c r="AC50" s="884"/>
    </row>
    <row r="51" spans="1:120">
      <c r="A51" s="1429"/>
      <c r="B51" s="4174"/>
      <c r="C51" s="1026" t="s">
        <v>297</v>
      </c>
      <c r="D51" s="983" t="s">
        <v>296</v>
      </c>
      <c r="E51" s="823"/>
      <c r="F51" s="780"/>
      <c r="G51" s="780"/>
      <c r="H51" s="780"/>
      <c r="I51" s="884"/>
      <c r="J51" s="823"/>
      <c r="K51" s="780"/>
      <c r="L51" s="780"/>
      <c r="M51" s="780"/>
      <c r="N51" s="884"/>
      <c r="O51" s="880"/>
      <c r="P51" s="780"/>
      <c r="Q51" s="780"/>
      <c r="R51" s="780"/>
      <c r="S51" s="780"/>
      <c r="T51" s="780"/>
      <c r="U51" s="780"/>
      <c r="V51" s="780"/>
      <c r="W51" s="780"/>
      <c r="X51" s="780"/>
      <c r="Y51" s="780"/>
      <c r="Z51" s="780"/>
      <c r="AA51" s="780"/>
      <c r="AB51" s="780"/>
      <c r="AC51" s="884"/>
    </row>
    <row r="52" spans="1:120" ht="13.5" thickBot="1">
      <c r="A52" s="1429"/>
      <c r="B52" s="4175"/>
      <c r="C52" s="1033" t="s">
        <v>297</v>
      </c>
      <c r="D52" s="1034" t="s">
        <v>296</v>
      </c>
      <c r="E52" s="1932"/>
      <c r="F52" s="886"/>
      <c r="G52" s="886"/>
      <c r="H52" s="886"/>
      <c r="I52" s="887"/>
      <c r="J52" s="1932"/>
      <c r="K52" s="886"/>
      <c r="L52" s="886"/>
      <c r="M52" s="886"/>
      <c r="N52" s="887"/>
      <c r="O52" s="889"/>
      <c r="P52" s="886"/>
      <c r="Q52" s="886"/>
      <c r="R52" s="886"/>
      <c r="S52" s="886"/>
      <c r="T52" s="886"/>
      <c r="U52" s="886"/>
      <c r="V52" s="886"/>
      <c r="W52" s="886"/>
      <c r="X52" s="886"/>
      <c r="Y52" s="886"/>
      <c r="Z52" s="886"/>
      <c r="AA52" s="886"/>
      <c r="AB52" s="886"/>
      <c r="AC52" s="887"/>
    </row>
    <row r="53" spans="1:120" ht="23.25" customHeight="1" thickBot="1">
      <c r="B53" s="1427"/>
    </row>
    <row r="54" spans="1:120" s="529" customFormat="1" ht="18" customHeight="1">
      <c r="B54" s="4196" t="s">
        <v>124</v>
      </c>
      <c r="C54" s="4197"/>
      <c r="D54" s="4198"/>
      <c r="E54" s="1989">
        <f t="shared" ref="E54:AC54" si="10">SUM(E50:E52)</f>
        <v>0</v>
      </c>
      <c r="F54" s="1063">
        <f t="shared" si="10"/>
        <v>0</v>
      </c>
      <c r="G54" s="1063">
        <f t="shared" si="10"/>
        <v>0</v>
      </c>
      <c r="H54" s="1063">
        <f t="shared" si="10"/>
        <v>0</v>
      </c>
      <c r="I54" s="1064">
        <f t="shared" si="10"/>
        <v>0</v>
      </c>
      <c r="J54" s="1067">
        <f t="shared" si="10"/>
        <v>0</v>
      </c>
      <c r="K54" s="1063">
        <f t="shared" si="10"/>
        <v>0</v>
      </c>
      <c r="L54" s="1063">
        <f t="shared" si="10"/>
        <v>0</v>
      </c>
      <c r="M54" s="1063">
        <f t="shared" si="10"/>
        <v>0</v>
      </c>
      <c r="N54" s="1082">
        <f t="shared" si="10"/>
        <v>0</v>
      </c>
      <c r="O54" s="1069">
        <f t="shared" si="10"/>
        <v>0</v>
      </c>
      <c r="P54" s="1063">
        <f t="shared" si="10"/>
        <v>0</v>
      </c>
      <c r="Q54" s="1063">
        <f t="shared" si="10"/>
        <v>0</v>
      </c>
      <c r="R54" s="1063">
        <f t="shared" si="10"/>
        <v>0</v>
      </c>
      <c r="S54" s="1063">
        <f t="shared" si="10"/>
        <v>0</v>
      </c>
      <c r="T54" s="1063">
        <f t="shared" si="10"/>
        <v>0</v>
      </c>
      <c r="U54" s="1063">
        <f t="shared" si="10"/>
        <v>0</v>
      </c>
      <c r="V54" s="1063">
        <f t="shared" si="10"/>
        <v>0</v>
      </c>
      <c r="W54" s="1063">
        <f t="shared" si="10"/>
        <v>0</v>
      </c>
      <c r="X54" s="1063">
        <f t="shared" si="10"/>
        <v>0</v>
      </c>
      <c r="Y54" s="1063">
        <f t="shared" si="10"/>
        <v>0</v>
      </c>
      <c r="Z54" s="1063">
        <f t="shared" si="10"/>
        <v>0</v>
      </c>
      <c r="AA54" s="1063">
        <f t="shared" si="10"/>
        <v>0</v>
      </c>
      <c r="AB54" s="1063">
        <f t="shared" si="10"/>
        <v>0</v>
      </c>
      <c r="AC54" s="1064">
        <f t="shared" si="10"/>
        <v>0</v>
      </c>
      <c r="AD54" s="1427"/>
      <c r="AE54" s="1427"/>
      <c r="AF54" s="1427"/>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29"/>
      <c r="CR54" s="229"/>
      <c r="CS54" s="229"/>
      <c r="CT54" s="229"/>
      <c r="CU54" s="229"/>
      <c r="CV54" s="229"/>
      <c r="CW54" s="229"/>
      <c r="CX54" s="229"/>
      <c r="CY54" s="229"/>
      <c r="CZ54" s="229"/>
      <c r="DA54" s="229"/>
      <c r="DB54" s="229"/>
      <c r="DC54" s="229"/>
      <c r="DD54" s="229"/>
      <c r="DE54" s="229"/>
      <c r="DF54" s="229"/>
      <c r="DG54" s="229"/>
      <c r="DH54" s="229"/>
      <c r="DI54" s="229"/>
      <c r="DJ54" s="229"/>
      <c r="DK54" s="229"/>
      <c r="DL54" s="229"/>
      <c r="DM54" s="229"/>
      <c r="DN54" s="229"/>
      <c r="DO54" s="229"/>
      <c r="DP54" s="229"/>
    </row>
    <row r="55" spans="1:120" s="529" customFormat="1" ht="18" customHeight="1" thickBot="1">
      <c r="B55" s="4199" t="s">
        <v>123</v>
      </c>
      <c r="C55" s="4200"/>
      <c r="D55" s="4201"/>
      <c r="E55" s="1990">
        <f t="shared" ref="E55:AC55" si="11">IF(ISERROR(E54/E49),0,(E54/E49))</f>
        <v>0</v>
      </c>
      <c r="F55" s="1065">
        <f t="shared" si="11"/>
        <v>0</v>
      </c>
      <c r="G55" s="1065">
        <f t="shared" si="11"/>
        <v>0</v>
      </c>
      <c r="H55" s="1065">
        <f t="shared" si="11"/>
        <v>0</v>
      </c>
      <c r="I55" s="1066">
        <f t="shared" si="11"/>
        <v>0</v>
      </c>
      <c r="J55" s="1068">
        <f t="shared" si="11"/>
        <v>0</v>
      </c>
      <c r="K55" s="1065">
        <f t="shared" si="11"/>
        <v>0</v>
      </c>
      <c r="L55" s="1065">
        <f t="shared" si="11"/>
        <v>0</v>
      </c>
      <c r="M55" s="1065">
        <f t="shared" si="11"/>
        <v>0</v>
      </c>
      <c r="N55" s="1083">
        <f t="shared" si="11"/>
        <v>0</v>
      </c>
      <c r="O55" s="1070">
        <f t="shared" si="11"/>
        <v>0</v>
      </c>
      <c r="P55" s="1065">
        <f t="shared" si="11"/>
        <v>0</v>
      </c>
      <c r="Q55" s="1065">
        <f t="shared" si="11"/>
        <v>0</v>
      </c>
      <c r="R55" s="1065">
        <f t="shared" si="11"/>
        <v>0</v>
      </c>
      <c r="S55" s="1065">
        <f t="shared" si="11"/>
        <v>0</v>
      </c>
      <c r="T55" s="1065">
        <f t="shared" si="11"/>
        <v>0</v>
      </c>
      <c r="U55" s="1065">
        <f t="shared" si="11"/>
        <v>0</v>
      </c>
      <c r="V55" s="1065">
        <f t="shared" si="11"/>
        <v>0</v>
      </c>
      <c r="W55" s="1065">
        <f t="shared" si="11"/>
        <v>0</v>
      </c>
      <c r="X55" s="1065">
        <f t="shared" si="11"/>
        <v>0</v>
      </c>
      <c r="Y55" s="1065">
        <f t="shared" si="11"/>
        <v>0</v>
      </c>
      <c r="Z55" s="1065">
        <f t="shared" si="11"/>
        <v>0</v>
      </c>
      <c r="AA55" s="1065">
        <f t="shared" si="11"/>
        <v>0</v>
      </c>
      <c r="AB55" s="1065">
        <f t="shared" si="11"/>
        <v>0</v>
      </c>
      <c r="AC55" s="1066">
        <f t="shared" si="11"/>
        <v>0</v>
      </c>
      <c r="AD55" s="1427"/>
      <c r="AE55" s="1427"/>
      <c r="AF55" s="1427"/>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c r="BU55" s="229"/>
      <c r="BV55" s="229"/>
      <c r="BW55" s="229"/>
      <c r="BX55" s="229"/>
      <c r="BY55" s="229"/>
      <c r="BZ55" s="229"/>
      <c r="CA55" s="229"/>
      <c r="CB55" s="229"/>
      <c r="CC55" s="229"/>
      <c r="CD55" s="229"/>
      <c r="CE55" s="229"/>
      <c r="CF55" s="229"/>
      <c r="CG55" s="229"/>
      <c r="CH55" s="229"/>
      <c r="CI55" s="229"/>
      <c r="CJ55" s="229"/>
      <c r="CK55" s="229"/>
      <c r="CL55" s="229"/>
      <c r="CM55" s="229"/>
      <c r="CN55" s="229"/>
      <c r="CO55" s="229"/>
      <c r="CP55" s="229"/>
      <c r="CQ55" s="229"/>
      <c r="CR55" s="229"/>
      <c r="CS55" s="229"/>
      <c r="CT55" s="229"/>
      <c r="CU55" s="229"/>
      <c r="CV55" s="229"/>
      <c r="CW55" s="229"/>
      <c r="CX55" s="229"/>
      <c r="CY55" s="229"/>
      <c r="CZ55" s="229"/>
      <c r="DA55" s="229"/>
      <c r="DB55" s="229"/>
      <c r="DC55" s="229"/>
      <c r="DD55" s="229"/>
      <c r="DE55" s="229"/>
      <c r="DF55" s="229"/>
      <c r="DG55" s="229"/>
      <c r="DH55" s="229"/>
      <c r="DI55" s="229"/>
      <c r="DJ55" s="229"/>
      <c r="DK55" s="229"/>
      <c r="DL55" s="229"/>
      <c r="DM55" s="229"/>
      <c r="DN55" s="229"/>
      <c r="DO55" s="229"/>
      <c r="DP55" s="229"/>
    </row>
    <row r="56" spans="1:120" ht="34.5" customHeight="1" thickBot="1">
      <c r="A56" s="1433"/>
      <c r="B56" s="3610" t="s">
        <v>125</v>
      </c>
      <c r="C56" s="3868"/>
      <c r="D56" s="4190"/>
      <c r="E56" s="4187"/>
      <c r="F56" s="4187"/>
      <c r="G56" s="4187"/>
      <c r="H56" s="4187"/>
      <c r="I56" s="4187"/>
      <c r="J56" s="4187"/>
      <c r="K56" s="4187"/>
      <c r="L56" s="4187"/>
      <c r="M56" s="4187"/>
      <c r="N56" s="4187"/>
      <c r="O56" s="4187"/>
      <c r="P56" s="4187"/>
      <c r="Q56" s="4187"/>
      <c r="R56" s="4187"/>
      <c r="S56" s="4187"/>
      <c r="T56" s="4187"/>
      <c r="U56" s="4187"/>
      <c r="V56" s="4187"/>
      <c r="W56" s="4187"/>
      <c r="X56" s="4187"/>
      <c r="Y56" s="4187"/>
      <c r="Z56" s="4187"/>
      <c r="AA56" s="4187"/>
      <c r="AB56" s="4187"/>
      <c r="AC56" s="4188"/>
    </row>
    <row r="57" spans="1:120">
      <c r="A57" s="1429"/>
    </row>
    <row r="58" spans="1:120">
      <c r="A58" s="1429"/>
    </row>
  </sheetData>
  <mergeCells count="25">
    <mergeCell ref="B22:B31"/>
    <mergeCell ref="C22:D22"/>
    <mergeCell ref="B7:H7"/>
    <mergeCell ref="B8:H8"/>
    <mergeCell ref="B9:C9"/>
    <mergeCell ref="B10:H10"/>
    <mergeCell ref="B17:B20"/>
    <mergeCell ref="C17:C20"/>
    <mergeCell ref="D17:D20"/>
    <mergeCell ref="E17:I17"/>
    <mergeCell ref="J17:N17"/>
    <mergeCell ref="O17:AC17"/>
    <mergeCell ref="E18:AC18"/>
    <mergeCell ref="E19:G19"/>
    <mergeCell ref="H19:AC19"/>
    <mergeCell ref="B54:D54"/>
    <mergeCell ref="B55:D55"/>
    <mergeCell ref="B56:D56"/>
    <mergeCell ref="E56:AC56"/>
    <mergeCell ref="B35:B44"/>
    <mergeCell ref="C35:D35"/>
    <mergeCell ref="B45:D45"/>
    <mergeCell ref="B46:D46"/>
    <mergeCell ref="B49:B52"/>
    <mergeCell ref="C49:D49"/>
  </mergeCells>
  <pageMargins left="0.75" right="0.75" top="1" bottom="1" header="0.5" footer="0.5"/>
  <pageSetup paperSize="9" orientation="portrait" r:id="rId1"/>
  <headerFooter alignWithMargins="0"/>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autoPageBreaks="0"/>
  </sheetPr>
  <dimension ref="A1:EE51"/>
  <sheetViews>
    <sheetView showGridLines="0" zoomScale="70" zoomScaleNormal="70" workbookViewId="0">
      <selection activeCell="C29" sqref="C29"/>
    </sheetView>
  </sheetViews>
  <sheetFormatPr defaultRowHeight="12.75"/>
  <cols>
    <col min="1" max="1" width="14.140625" style="1427" customWidth="1"/>
    <col min="2" max="2" width="54.5703125" style="1427" customWidth="1"/>
    <col min="3" max="3" width="57.7109375" style="1427" customWidth="1"/>
    <col min="4" max="27" width="12.7109375" style="1427" customWidth="1"/>
    <col min="28" max="256" width="9.140625" style="1427"/>
    <col min="257" max="257" width="14.140625" style="1427" customWidth="1"/>
    <col min="258" max="258" width="66.28515625" style="1427" bestFit="1" customWidth="1"/>
    <col min="259" max="259" width="10" style="1427" bestFit="1" customWidth="1"/>
    <col min="260" max="261" width="8.5703125" style="1427" bestFit="1" customWidth="1"/>
    <col min="262" max="262" width="17.42578125" style="1427" bestFit="1" customWidth="1"/>
    <col min="263" max="263" width="17.28515625" style="1427" bestFit="1" customWidth="1"/>
    <col min="264" max="265" width="10.7109375" style="1427" customWidth="1"/>
    <col min="266" max="267" width="10.7109375" style="1427" bestFit="1" customWidth="1"/>
    <col min="268" max="268" width="10.7109375" style="1427" customWidth="1"/>
    <col min="269" max="271" width="10.7109375" style="1427" bestFit="1" customWidth="1"/>
    <col min="272" max="273" width="10.7109375" style="1427" customWidth="1"/>
    <col min="274" max="275" width="10.7109375" style="1427" bestFit="1" customWidth="1"/>
    <col min="276" max="512" width="9.140625" style="1427"/>
    <col min="513" max="513" width="14.140625" style="1427" customWidth="1"/>
    <col min="514" max="514" width="66.28515625" style="1427" bestFit="1" customWidth="1"/>
    <col min="515" max="515" width="10" style="1427" bestFit="1" customWidth="1"/>
    <col min="516" max="517" width="8.5703125" style="1427" bestFit="1" customWidth="1"/>
    <col min="518" max="518" width="17.42578125" style="1427" bestFit="1" customWidth="1"/>
    <col min="519" max="519" width="17.28515625" style="1427" bestFit="1" customWidth="1"/>
    <col min="520" max="521" width="10.7109375" style="1427" customWidth="1"/>
    <col min="522" max="523" width="10.7109375" style="1427" bestFit="1" customWidth="1"/>
    <col min="524" max="524" width="10.7109375" style="1427" customWidth="1"/>
    <col min="525" max="527" width="10.7109375" style="1427" bestFit="1" customWidth="1"/>
    <col min="528" max="529" width="10.7109375" style="1427" customWidth="1"/>
    <col min="530" max="531" width="10.7109375" style="1427" bestFit="1" customWidth="1"/>
    <col min="532" max="768" width="9.140625" style="1427"/>
    <col min="769" max="769" width="14.140625" style="1427" customWidth="1"/>
    <col min="770" max="770" width="66.28515625" style="1427" bestFit="1" customWidth="1"/>
    <col min="771" max="771" width="10" style="1427" bestFit="1" customWidth="1"/>
    <col min="772" max="773" width="8.5703125" style="1427" bestFit="1" customWidth="1"/>
    <col min="774" max="774" width="17.42578125" style="1427" bestFit="1" customWidth="1"/>
    <col min="775" max="775" width="17.28515625" style="1427" bestFit="1" customWidth="1"/>
    <col min="776" max="777" width="10.7109375" style="1427" customWidth="1"/>
    <col min="778" max="779" width="10.7109375" style="1427" bestFit="1" customWidth="1"/>
    <col min="780" max="780" width="10.7109375" style="1427" customWidth="1"/>
    <col min="781" max="783" width="10.7109375" style="1427" bestFit="1" customWidth="1"/>
    <col min="784" max="785" width="10.7109375" style="1427" customWidth="1"/>
    <col min="786" max="787" width="10.7109375" style="1427" bestFit="1" customWidth="1"/>
    <col min="788" max="1024" width="9.140625" style="1427"/>
    <col min="1025" max="1025" width="14.140625" style="1427" customWidth="1"/>
    <col min="1026" max="1026" width="66.28515625" style="1427" bestFit="1" customWidth="1"/>
    <col min="1027" max="1027" width="10" style="1427" bestFit="1" customWidth="1"/>
    <col min="1028" max="1029" width="8.5703125" style="1427" bestFit="1" customWidth="1"/>
    <col min="1030" max="1030" width="17.42578125" style="1427" bestFit="1" customWidth="1"/>
    <col min="1031" max="1031" width="17.28515625" style="1427" bestFit="1" customWidth="1"/>
    <col min="1032" max="1033" width="10.7109375" style="1427" customWidth="1"/>
    <col min="1034" max="1035" width="10.7109375" style="1427" bestFit="1" customWidth="1"/>
    <col min="1036" max="1036" width="10.7109375" style="1427" customWidth="1"/>
    <col min="1037" max="1039" width="10.7109375" style="1427" bestFit="1" customWidth="1"/>
    <col min="1040" max="1041" width="10.7109375" style="1427" customWidth="1"/>
    <col min="1042" max="1043" width="10.7109375" style="1427" bestFit="1" customWidth="1"/>
    <col min="1044" max="1280" width="9.140625" style="1427"/>
    <col min="1281" max="1281" width="14.140625" style="1427" customWidth="1"/>
    <col min="1282" max="1282" width="66.28515625" style="1427" bestFit="1" customWidth="1"/>
    <col min="1283" max="1283" width="10" style="1427" bestFit="1" customWidth="1"/>
    <col min="1284" max="1285" width="8.5703125" style="1427" bestFit="1" customWidth="1"/>
    <col min="1286" max="1286" width="17.42578125" style="1427" bestFit="1" customWidth="1"/>
    <col min="1287" max="1287" width="17.28515625" style="1427" bestFit="1" customWidth="1"/>
    <col min="1288" max="1289" width="10.7109375" style="1427" customWidth="1"/>
    <col min="1290" max="1291" width="10.7109375" style="1427" bestFit="1" customWidth="1"/>
    <col min="1292" max="1292" width="10.7109375" style="1427" customWidth="1"/>
    <col min="1293" max="1295" width="10.7109375" style="1427" bestFit="1" customWidth="1"/>
    <col min="1296" max="1297" width="10.7109375" style="1427" customWidth="1"/>
    <col min="1298" max="1299" width="10.7109375" style="1427" bestFit="1" customWidth="1"/>
    <col min="1300" max="1536" width="9.140625" style="1427"/>
    <col min="1537" max="1537" width="14.140625" style="1427" customWidth="1"/>
    <col min="1538" max="1538" width="66.28515625" style="1427" bestFit="1" customWidth="1"/>
    <col min="1539" max="1539" width="10" style="1427" bestFit="1" customWidth="1"/>
    <col min="1540" max="1541" width="8.5703125" style="1427" bestFit="1" customWidth="1"/>
    <col min="1542" max="1542" width="17.42578125" style="1427" bestFit="1" customWidth="1"/>
    <col min="1543" max="1543" width="17.28515625" style="1427" bestFit="1" customWidth="1"/>
    <col min="1544" max="1545" width="10.7109375" style="1427" customWidth="1"/>
    <col min="1546" max="1547" width="10.7109375" style="1427" bestFit="1" customWidth="1"/>
    <col min="1548" max="1548" width="10.7109375" style="1427" customWidth="1"/>
    <col min="1549" max="1551" width="10.7109375" style="1427" bestFit="1" customWidth="1"/>
    <col min="1552" max="1553" width="10.7109375" style="1427" customWidth="1"/>
    <col min="1554" max="1555" width="10.7109375" style="1427" bestFit="1" customWidth="1"/>
    <col min="1556" max="1792" width="9.140625" style="1427"/>
    <col min="1793" max="1793" width="14.140625" style="1427" customWidth="1"/>
    <col min="1794" max="1794" width="66.28515625" style="1427" bestFit="1" customWidth="1"/>
    <col min="1795" max="1795" width="10" style="1427" bestFit="1" customWidth="1"/>
    <col min="1796" max="1797" width="8.5703125" style="1427" bestFit="1" customWidth="1"/>
    <col min="1798" max="1798" width="17.42578125" style="1427" bestFit="1" customWidth="1"/>
    <col min="1799" max="1799" width="17.28515625" style="1427" bestFit="1" customWidth="1"/>
    <col min="1800" max="1801" width="10.7109375" style="1427" customWidth="1"/>
    <col min="1802" max="1803" width="10.7109375" style="1427" bestFit="1" customWidth="1"/>
    <col min="1804" max="1804" width="10.7109375" style="1427" customWidth="1"/>
    <col min="1805" max="1807" width="10.7109375" style="1427" bestFit="1" customWidth="1"/>
    <col min="1808" max="1809" width="10.7109375" style="1427" customWidth="1"/>
    <col min="1810" max="1811" width="10.7109375" style="1427" bestFit="1" customWidth="1"/>
    <col min="1812" max="2048" width="9.140625" style="1427"/>
    <col min="2049" max="2049" width="14.140625" style="1427" customWidth="1"/>
    <col min="2050" max="2050" width="66.28515625" style="1427" bestFit="1" customWidth="1"/>
    <col min="2051" max="2051" width="10" style="1427" bestFit="1" customWidth="1"/>
    <col min="2052" max="2053" width="8.5703125" style="1427" bestFit="1" customWidth="1"/>
    <col min="2054" max="2054" width="17.42578125" style="1427" bestFit="1" customWidth="1"/>
    <col min="2055" max="2055" width="17.28515625" style="1427" bestFit="1" customWidth="1"/>
    <col min="2056" max="2057" width="10.7109375" style="1427" customWidth="1"/>
    <col min="2058" max="2059" width="10.7109375" style="1427" bestFit="1" customWidth="1"/>
    <col min="2060" max="2060" width="10.7109375" style="1427" customWidth="1"/>
    <col min="2061" max="2063" width="10.7109375" style="1427" bestFit="1" customWidth="1"/>
    <col min="2064" max="2065" width="10.7109375" style="1427" customWidth="1"/>
    <col min="2066" max="2067" width="10.7109375" style="1427" bestFit="1" customWidth="1"/>
    <col min="2068" max="2304" width="9.140625" style="1427"/>
    <col min="2305" max="2305" width="14.140625" style="1427" customWidth="1"/>
    <col min="2306" max="2306" width="66.28515625" style="1427" bestFit="1" customWidth="1"/>
    <col min="2307" max="2307" width="10" style="1427" bestFit="1" customWidth="1"/>
    <col min="2308" max="2309" width="8.5703125" style="1427" bestFit="1" customWidth="1"/>
    <col min="2310" max="2310" width="17.42578125" style="1427" bestFit="1" customWidth="1"/>
    <col min="2311" max="2311" width="17.28515625" style="1427" bestFit="1" customWidth="1"/>
    <col min="2312" max="2313" width="10.7109375" style="1427" customWidth="1"/>
    <col min="2314" max="2315" width="10.7109375" style="1427" bestFit="1" customWidth="1"/>
    <col min="2316" max="2316" width="10.7109375" style="1427" customWidth="1"/>
    <col min="2317" max="2319" width="10.7109375" style="1427" bestFit="1" customWidth="1"/>
    <col min="2320" max="2321" width="10.7109375" style="1427" customWidth="1"/>
    <col min="2322" max="2323" width="10.7109375" style="1427" bestFit="1" customWidth="1"/>
    <col min="2324" max="2560" width="9.140625" style="1427"/>
    <col min="2561" max="2561" width="14.140625" style="1427" customWidth="1"/>
    <col min="2562" max="2562" width="66.28515625" style="1427" bestFit="1" customWidth="1"/>
    <col min="2563" max="2563" width="10" style="1427" bestFit="1" customWidth="1"/>
    <col min="2564" max="2565" width="8.5703125" style="1427" bestFit="1" customWidth="1"/>
    <col min="2566" max="2566" width="17.42578125" style="1427" bestFit="1" customWidth="1"/>
    <col min="2567" max="2567" width="17.28515625" style="1427" bestFit="1" customWidth="1"/>
    <col min="2568" max="2569" width="10.7109375" style="1427" customWidth="1"/>
    <col min="2570" max="2571" width="10.7109375" style="1427" bestFit="1" customWidth="1"/>
    <col min="2572" max="2572" width="10.7109375" style="1427" customWidth="1"/>
    <col min="2573" max="2575" width="10.7109375" style="1427" bestFit="1" customWidth="1"/>
    <col min="2576" max="2577" width="10.7109375" style="1427" customWidth="1"/>
    <col min="2578" max="2579" width="10.7109375" style="1427" bestFit="1" customWidth="1"/>
    <col min="2580" max="2816" width="9.140625" style="1427"/>
    <col min="2817" max="2817" width="14.140625" style="1427" customWidth="1"/>
    <col min="2818" max="2818" width="66.28515625" style="1427" bestFit="1" customWidth="1"/>
    <col min="2819" max="2819" width="10" style="1427" bestFit="1" customWidth="1"/>
    <col min="2820" max="2821" width="8.5703125" style="1427" bestFit="1" customWidth="1"/>
    <col min="2822" max="2822" width="17.42578125" style="1427" bestFit="1" customWidth="1"/>
    <col min="2823" max="2823" width="17.28515625" style="1427" bestFit="1" customWidth="1"/>
    <col min="2824" max="2825" width="10.7109375" style="1427" customWidth="1"/>
    <col min="2826" max="2827" width="10.7109375" style="1427" bestFit="1" customWidth="1"/>
    <col min="2828" max="2828" width="10.7109375" style="1427" customWidth="1"/>
    <col min="2829" max="2831" width="10.7109375" style="1427" bestFit="1" customWidth="1"/>
    <col min="2832" max="2833" width="10.7109375" style="1427" customWidth="1"/>
    <col min="2834" max="2835" width="10.7109375" style="1427" bestFit="1" customWidth="1"/>
    <col min="2836" max="3072" width="9.140625" style="1427"/>
    <col min="3073" max="3073" width="14.140625" style="1427" customWidth="1"/>
    <col min="3074" max="3074" width="66.28515625" style="1427" bestFit="1" customWidth="1"/>
    <col min="3075" max="3075" width="10" style="1427" bestFit="1" customWidth="1"/>
    <col min="3076" max="3077" width="8.5703125" style="1427" bestFit="1" customWidth="1"/>
    <col min="3078" max="3078" width="17.42578125" style="1427" bestFit="1" customWidth="1"/>
    <col min="3079" max="3079" width="17.28515625" style="1427" bestFit="1" customWidth="1"/>
    <col min="3080" max="3081" width="10.7109375" style="1427" customWidth="1"/>
    <col min="3082" max="3083" width="10.7109375" style="1427" bestFit="1" customWidth="1"/>
    <col min="3084" max="3084" width="10.7109375" style="1427" customWidth="1"/>
    <col min="3085" max="3087" width="10.7109375" style="1427" bestFit="1" customWidth="1"/>
    <col min="3088" max="3089" width="10.7109375" style="1427" customWidth="1"/>
    <col min="3090" max="3091" width="10.7109375" style="1427" bestFit="1" customWidth="1"/>
    <col min="3092" max="3328" width="9.140625" style="1427"/>
    <col min="3329" max="3329" width="14.140625" style="1427" customWidth="1"/>
    <col min="3330" max="3330" width="66.28515625" style="1427" bestFit="1" customWidth="1"/>
    <col min="3331" max="3331" width="10" style="1427" bestFit="1" customWidth="1"/>
    <col min="3332" max="3333" width="8.5703125" style="1427" bestFit="1" customWidth="1"/>
    <col min="3334" max="3334" width="17.42578125" style="1427" bestFit="1" customWidth="1"/>
    <col min="3335" max="3335" width="17.28515625" style="1427" bestFit="1" customWidth="1"/>
    <col min="3336" max="3337" width="10.7109375" style="1427" customWidth="1"/>
    <col min="3338" max="3339" width="10.7109375" style="1427" bestFit="1" customWidth="1"/>
    <col min="3340" max="3340" width="10.7109375" style="1427" customWidth="1"/>
    <col min="3341" max="3343" width="10.7109375" style="1427" bestFit="1" customWidth="1"/>
    <col min="3344" max="3345" width="10.7109375" style="1427" customWidth="1"/>
    <col min="3346" max="3347" width="10.7109375" style="1427" bestFit="1" customWidth="1"/>
    <col min="3348" max="3584" width="9.140625" style="1427"/>
    <col min="3585" max="3585" width="14.140625" style="1427" customWidth="1"/>
    <col min="3586" max="3586" width="66.28515625" style="1427" bestFit="1" customWidth="1"/>
    <col min="3587" max="3587" width="10" style="1427" bestFit="1" customWidth="1"/>
    <col min="3588" max="3589" width="8.5703125" style="1427" bestFit="1" customWidth="1"/>
    <col min="3590" max="3590" width="17.42578125" style="1427" bestFit="1" customWidth="1"/>
    <col min="3591" max="3591" width="17.28515625" style="1427" bestFit="1" customWidth="1"/>
    <col min="3592" max="3593" width="10.7109375" style="1427" customWidth="1"/>
    <col min="3594" max="3595" width="10.7109375" style="1427" bestFit="1" customWidth="1"/>
    <col min="3596" max="3596" width="10.7109375" style="1427" customWidth="1"/>
    <col min="3597" max="3599" width="10.7109375" style="1427" bestFit="1" customWidth="1"/>
    <col min="3600" max="3601" width="10.7109375" style="1427" customWidth="1"/>
    <col min="3602" max="3603" width="10.7109375" style="1427" bestFit="1" customWidth="1"/>
    <col min="3604" max="3840" width="9.140625" style="1427"/>
    <col min="3841" max="3841" width="14.140625" style="1427" customWidth="1"/>
    <col min="3842" max="3842" width="66.28515625" style="1427" bestFit="1" customWidth="1"/>
    <col min="3843" max="3843" width="10" style="1427" bestFit="1" customWidth="1"/>
    <col min="3844" max="3845" width="8.5703125" style="1427" bestFit="1" customWidth="1"/>
    <col min="3846" max="3846" width="17.42578125" style="1427" bestFit="1" customWidth="1"/>
    <col min="3847" max="3847" width="17.28515625" style="1427" bestFit="1" customWidth="1"/>
    <col min="3848" max="3849" width="10.7109375" style="1427" customWidth="1"/>
    <col min="3850" max="3851" width="10.7109375" style="1427" bestFit="1" customWidth="1"/>
    <col min="3852" max="3852" width="10.7109375" style="1427" customWidth="1"/>
    <col min="3853" max="3855" width="10.7109375" style="1427" bestFit="1" customWidth="1"/>
    <col min="3856" max="3857" width="10.7109375" style="1427" customWidth="1"/>
    <col min="3858" max="3859" width="10.7109375" style="1427" bestFit="1" customWidth="1"/>
    <col min="3860" max="4096" width="9.140625" style="1427"/>
    <col min="4097" max="4097" width="14.140625" style="1427" customWidth="1"/>
    <col min="4098" max="4098" width="66.28515625" style="1427" bestFit="1" customWidth="1"/>
    <col min="4099" max="4099" width="10" style="1427" bestFit="1" customWidth="1"/>
    <col min="4100" max="4101" width="8.5703125" style="1427" bestFit="1" customWidth="1"/>
    <col min="4102" max="4102" width="17.42578125" style="1427" bestFit="1" customWidth="1"/>
    <col min="4103" max="4103" width="17.28515625" style="1427" bestFit="1" customWidth="1"/>
    <col min="4104" max="4105" width="10.7109375" style="1427" customWidth="1"/>
    <col min="4106" max="4107" width="10.7109375" style="1427" bestFit="1" customWidth="1"/>
    <col min="4108" max="4108" width="10.7109375" style="1427" customWidth="1"/>
    <col min="4109" max="4111" width="10.7109375" style="1427" bestFit="1" customWidth="1"/>
    <col min="4112" max="4113" width="10.7109375" style="1427" customWidth="1"/>
    <col min="4114" max="4115" width="10.7109375" style="1427" bestFit="1" customWidth="1"/>
    <col min="4116" max="4352" width="9.140625" style="1427"/>
    <col min="4353" max="4353" width="14.140625" style="1427" customWidth="1"/>
    <col min="4354" max="4354" width="66.28515625" style="1427" bestFit="1" customWidth="1"/>
    <col min="4355" max="4355" width="10" style="1427" bestFit="1" customWidth="1"/>
    <col min="4356" max="4357" width="8.5703125" style="1427" bestFit="1" customWidth="1"/>
    <col min="4358" max="4358" width="17.42578125" style="1427" bestFit="1" customWidth="1"/>
    <col min="4359" max="4359" width="17.28515625" style="1427" bestFit="1" customWidth="1"/>
    <col min="4360" max="4361" width="10.7109375" style="1427" customWidth="1"/>
    <col min="4362" max="4363" width="10.7109375" style="1427" bestFit="1" customWidth="1"/>
    <col min="4364" max="4364" width="10.7109375" style="1427" customWidth="1"/>
    <col min="4365" max="4367" width="10.7109375" style="1427" bestFit="1" customWidth="1"/>
    <col min="4368" max="4369" width="10.7109375" style="1427" customWidth="1"/>
    <col min="4370" max="4371" width="10.7109375" style="1427" bestFit="1" customWidth="1"/>
    <col min="4372" max="4608" width="9.140625" style="1427"/>
    <col min="4609" max="4609" width="14.140625" style="1427" customWidth="1"/>
    <col min="4610" max="4610" width="66.28515625" style="1427" bestFit="1" customWidth="1"/>
    <col min="4611" max="4611" width="10" style="1427" bestFit="1" customWidth="1"/>
    <col min="4612" max="4613" width="8.5703125" style="1427" bestFit="1" customWidth="1"/>
    <col min="4614" max="4614" width="17.42578125" style="1427" bestFit="1" customWidth="1"/>
    <col min="4615" max="4615" width="17.28515625" style="1427" bestFit="1" customWidth="1"/>
    <col min="4616" max="4617" width="10.7109375" style="1427" customWidth="1"/>
    <col min="4618" max="4619" width="10.7109375" style="1427" bestFit="1" customWidth="1"/>
    <col min="4620" max="4620" width="10.7109375" style="1427" customWidth="1"/>
    <col min="4621" max="4623" width="10.7109375" style="1427" bestFit="1" customWidth="1"/>
    <col min="4624" max="4625" width="10.7109375" style="1427" customWidth="1"/>
    <col min="4626" max="4627" width="10.7109375" style="1427" bestFit="1" customWidth="1"/>
    <col min="4628" max="4864" width="9.140625" style="1427"/>
    <col min="4865" max="4865" width="14.140625" style="1427" customWidth="1"/>
    <col min="4866" max="4866" width="66.28515625" style="1427" bestFit="1" customWidth="1"/>
    <col min="4867" max="4867" width="10" style="1427" bestFit="1" customWidth="1"/>
    <col min="4868" max="4869" width="8.5703125" style="1427" bestFit="1" customWidth="1"/>
    <col min="4870" max="4870" width="17.42578125" style="1427" bestFit="1" customWidth="1"/>
    <col min="4871" max="4871" width="17.28515625" style="1427" bestFit="1" customWidth="1"/>
    <col min="4872" max="4873" width="10.7109375" style="1427" customWidth="1"/>
    <col min="4874" max="4875" width="10.7109375" style="1427" bestFit="1" customWidth="1"/>
    <col min="4876" max="4876" width="10.7109375" style="1427" customWidth="1"/>
    <col min="4877" max="4879" width="10.7109375" style="1427" bestFit="1" customWidth="1"/>
    <col min="4880" max="4881" width="10.7109375" style="1427" customWidth="1"/>
    <col min="4882" max="4883" width="10.7109375" style="1427" bestFit="1" customWidth="1"/>
    <col min="4884" max="5120" width="9.140625" style="1427"/>
    <col min="5121" max="5121" width="14.140625" style="1427" customWidth="1"/>
    <col min="5122" max="5122" width="66.28515625" style="1427" bestFit="1" customWidth="1"/>
    <col min="5123" max="5123" width="10" style="1427" bestFit="1" customWidth="1"/>
    <col min="5124" max="5125" width="8.5703125" style="1427" bestFit="1" customWidth="1"/>
    <col min="5126" max="5126" width="17.42578125" style="1427" bestFit="1" customWidth="1"/>
    <col min="5127" max="5127" width="17.28515625" style="1427" bestFit="1" customWidth="1"/>
    <col min="5128" max="5129" width="10.7109375" style="1427" customWidth="1"/>
    <col min="5130" max="5131" width="10.7109375" style="1427" bestFit="1" customWidth="1"/>
    <col min="5132" max="5132" width="10.7109375" style="1427" customWidth="1"/>
    <col min="5133" max="5135" width="10.7109375" style="1427" bestFit="1" customWidth="1"/>
    <col min="5136" max="5137" width="10.7109375" style="1427" customWidth="1"/>
    <col min="5138" max="5139" width="10.7109375" style="1427" bestFit="1" customWidth="1"/>
    <col min="5140" max="5376" width="9.140625" style="1427"/>
    <col min="5377" max="5377" width="14.140625" style="1427" customWidth="1"/>
    <col min="5378" max="5378" width="66.28515625" style="1427" bestFit="1" customWidth="1"/>
    <col min="5379" max="5379" width="10" style="1427" bestFit="1" customWidth="1"/>
    <col min="5380" max="5381" width="8.5703125" style="1427" bestFit="1" customWidth="1"/>
    <col min="5382" max="5382" width="17.42578125" style="1427" bestFit="1" customWidth="1"/>
    <col min="5383" max="5383" width="17.28515625" style="1427" bestFit="1" customWidth="1"/>
    <col min="5384" max="5385" width="10.7109375" style="1427" customWidth="1"/>
    <col min="5386" max="5387" width="10.7109375" style="1427" bestFit="1" customWidth="1"/>
    <col min="5388" max="5388" width="10.7109375" style="1427" customWidth="1"/>
    <col min="5389" max="5391" width="10.7109375" style="1427" bestFit="1" customWidth="1"/>
    <col min="5392" max="5393" width="10.7109375" style="1427" customWidth="1"/>
    <col min="5394" max="5395" width="10.7109375" style="1427" bestFit="1" customWidth="1"/>
    <col min="5396" max="5632" width="9.140625" style="1427"/>
    <col min="5633" max="5633" width="14.140625" style="1427" customWidth="1"/>
    <col min="5634" max="5634" width="66.28515625" style="1427" bestFit="1" customWidth="1"/>
    <col min="5635" max="5635" width="10" style="1427" bestFit="1" customWidth="1"/>
    <col min="5636" max="5637" width="8.5703125" style="1427" bestFit="1" customWidth="1"/>
    <col min="5638" max="5638" width="17.42578125" style="1427" bestFit="1" customWidth="1"/>
    <col min="5639" max="5639" width="17.28515625" style="1427" bestFit="1" customWidth="1"/>
    <col min="5640" max="5641" width="10.7109375" style="1427" customWidth="1"/>
    <col min="5642" max="5643" width="10.7109375" style="1427" bestFit="1" customWidth="1"/>
    <col min="5644" max="5644" width="10.7109375" style="1427" customWidth="1"/>
    <col min="5645" max="5647" width="10.7109375" style="1427" bestFit="1" customWidth="1"/>
    <col min="5648" max="5649" width="10.7109375" style="1427" customWidth="1"/>
    <col min="5650" max="5651" width="10.7109375" style="1427" bestFit="1" customWidth="1"/>
    <col min="5652" max="5888" width="9.140625" style="1427"/>
    <col min="5889" max="5889" width="14.140625" style="1427" customWidth="1"/>
    <col min="5890" max="5890" width="66.28515625" style="1427" bestFit="1" customWidth="1"/>
    <col min="5891" max="5891" width="10" style="1427" bestFit="1" customWidth="1"/>
    <col min="5892" max="5893" width="8.5703125" style="1427" bestFit="1" customWidth="1"/>
    <col min="5894" max="5894" width="17.42578125" style="1427" bestFit="1" customWidth="1"/>
    <col min="5895" max="5895" width="17.28515625" style="1427" bestFit="1" customWidth="1"/>
    <col min="5896" max="5897" width="10.7109375" style="1427" customWidth="1"/>
    <col min="5898" max="5899" width="10.7109375" style="1427" bestFit="1" customWidth="1"/>
    <col min="5900" max="5900" width="10.7109375" style="1427" customWidth="1"/>
    <col min="5901" max="5903" width="10.7109375" style="1427" bestFit="1" customWidth="1"/>
    <col min="5904" max="5905" width="10.7109375" style="1427" customWidth="1"/>
    <col min="5906" max="5907" width="10.7109375" style="1427" bestFit="1" customWidth="1"/>
    <col min="5908" max="6144" width="9.140625" style="1427"/>
    <col min="6145" max="6145" width="14.140625" style="1427" customWidth="1"/>
    <col min="6146" max="6146" width="66.28515625" style="1427" bestFit="1" customWidth="1"/>
    <col min="6147" max="6147" width="10" style="1427" bestFit="1" customWidth="1"/>
    <col min="6148" max="6149" width="8.5703125" style="1427" bestFit="1" customWidth="1"/>
    <col min="6150" max="6150" width="17.42578125" style="1427" bestFit="1" customWidth="1"/>
    <col min="6151" max="6151" width="17.28515625" style="1427" bestFit="1" customWidth="1"/>
    <col min="6152" max="6153" width="10.7109375" style="1427" customWidth="1"/>
    <col min="6154" max="6155" width="10.7109375" style="1427" bestFit="1" customWidth="1"/>
    <col min="6156" max="6156" width="10.7109375" style="1427" customWidth="1"/>
    <col min="6157" max="6159" width="10.7109375" style="1427" bestFit="1" customWidth="1"/>
    <col min="6160" max="6161" width="10.7109375" style="1427" customWidth="1"/>
    <col min="6162" max="6163" width="10.7109375" style="1427" bestFit="1" customWidth="1"/>
    <col min="6164" max="6400" width="9.140625" style="1427"/>
    <col min="6401" max="6401" width="14.140625" style="1427" customWidth="1"/>
    <col min="6402" max="6402" width="66.28515625" style="1427" bestFit="1" customWidth="1"/>
    <col min="6403" max="6403" width="10" style="1427" bestFit="1" customWidth="1"/>
    <col min="6404" max="6405" width="8.5703125" style="1427" bestFit="1" customWidth="1"/>
    <col min="6406" max="6406" width="17.42578125" style="1427" bestFit="1" customWidth="1"/>
    <col min="6407" max="6407" width="17.28515625" style="1427" bestFit="1" customWidth="1"/>
    <col min="6408" max="6409" width="10.7109375" style="1427" customWidth="1"/>
    <col min="6410" max="6411" width="10.7109375" style="1427" bestFit="1" customWidth="1"/>
    <col min="6412" max="6412" width="10.7109375" style="1427" customWidth="1"/>
    <col min="6413" max="6415" width="10.7109375" style="1427" bestFit="1" customWidth="1"/>
    <col min="6416" max="6417" width="10.7109375" style="1427" customWidth="1"/>
    <col min="6418" max="6419" width="10.7109375" style="1427" bestFit="1" customWidth="1"/>
    <col min="6420" max="6656" width="9.140625" style="1427"/>
    <col min="6657" max="6657" width="14.140625" style="1427" customWidth="1"/>
    <col min="6658" max="6658" width="66.28515625" style="1427" bestFit="1" customWidth="1"/>
    <col min="6659" max="6659" width="10" style="1427" bestFit="1" customWidth="1"/>
    <col min="6660" max="6661" width="8.5703125" style="1427" bestFit="1" customWidth="1"/>
    <col min="6662" max="6662" width="17.42578125" style="1427" bestFit="1" customWidth="1"/>
    <col min="6663" max="6663" width="17.28515625" style="1427" bestFit="1" customWidth="1"/>
    <col min="6664" max="6665" width="10.7109375" style="1427" customWidth="1"/>
    <col min="6666" max="6667" width="10.7109375" style="1427" bestFit="1" customWidth="1"/>
    <col min="6668" max="6668" width="10.7109375" style="1427" customWidth="1"/>
    <col min="6669" max="6671" width="10.7109375" style="1427" bestFit="1" customWidth="1"/>
    <col min="6672" max="6673" width="10.7109375" style="1427" customWidth="1"/>
    <col min="6674" max="6675" width="10.7109375" style="1427" bestFit="1" customWidth="1"/>
    <col min="6676" max="6912" width="9.140625" style="1427"/>
    <col min="6913" max="6913" width="14.140625" style="1427" customWidth="1"/>
    <col min="6914" max="6914" width="66.28515625" style="1427" bestFit="1" customWidth="1"/>
    <col min="6915" max="6915" width="10" style="1427" bestFit="1" customWidth="1"/>
    <col min="6916" max="6917" width="8.5703125" style="1427" bestFit="1" customWidth="1"/>
    <col min="6918" max="6918" width="17.42578125" style="1427" bestFit="1" customWidth="1"/>
    <col min="6919" max="6919" width="17.28515625" style="1427" bestFit="1" customWidth="1"/>
    <col min="6920" max="6921" width="10.7109375" style="1427" customWidth="1"/>
    <col min="6922" max="6923" width="10.7109375" style="1427" bestFit="1" customWidth="1"/>
    <col min="6924" max="6924" width="10.7109375" style="1427" customWidth="1"/>
    <col min="6925" max="6927" width="10.7109375" style="1427" bestFit="1" customWidth="1"/>
    <col min="6928" max="6929" width="10.7109375" style="1427" customWidth="1"/>
    <col min="6930" max="6931" width="10.7109375" style="1427" bestFit="1" customWidth="1"/>
    <col min="6932" max="7168" width="9.140625" style="1427"/>
    <col min="7169" max="7169" width="14.140625" style="1427" customWidth="1"/>
    <col min="7170" max="7170" width="66.28515625" style="1427" bestFit="1" customWidth="1"/>
    <col min="7171" max="7171" width="10" style="1427" bestFit="1" customWidth="1"/>
    <col min="7172" max="7173" width="8.5703125" style="1427" bestFit="1" customWidth="1"/>
    <col min="7174" max="7174" width="17.42578125" style="1427" bestFit="1" customWidth="1"/>
    <col min="7175" max="7175" width="17.28515625" style="1427" bestFit="1" customWidth="1"/>
    <col min="7176" max="7177" width="10.7109375" style="1427" customWidth="1"/>
    <col min="7178" max="7179" width="10.7109375" style="1427" bestFit="1" customWidth="1"/>
    <col min="7180" max="7180" width="10.7109375" style="1427" customWidth="1"/>
    <col min="7181" max="7183" width="10.7109375" style="1427" bestFit="1" customWidth="1"/>
    <col min="7184" max="7185" width="10.7109375" style="1427" customWidth="1"/>
    <col min="7186" max="7187" width="10.7109375" style="1427" bestFit="1" customWidth="1"/>
    <col min="7188" max="7424" width="9.140625" style="1427"/>
    <col min="7425" max="7425" width="14.140625" style="1427" customWidth="1"/>
    <col min="7426" max="7426" width="66.28515625" style="1427" bestFit="1" customWidth="1"/>
    <col min="7427" max="7427" width="10" style="1427" bestFit="1" customWidth="1"/>
    <col min="7428" max="7429" width="8.5703125" style="1427" bestFit="1" customWidth="1"/>
    <col min="7430" max="7430" width="17.42578125" style="1427" bestFit="1" customWidth="1"/>
    <col min="7431" max="7431" width="17.28515625" style="1427" bestFit="1" customWidth="1"/>
    <col min="7432" max="7433" width="10.7109375" style="1427" customWidth="1"/>
    <col min="7434" max="7435" width="10.7109375" style="1427" bestFit="1" customWidth="1"/>
    <col min="7436" max="7436" width="10.7109375" style="1427" customWidth="1"/>
    <col min="7437" max="7439" width="10.7109375" style="1427" bestFit="1" customWidth="1"/>
    <col min="7440" max="7441" width="10.7109375" style="1427" customWidth="1"/>
    <col min="7442" max="7443" width="10.7109375" style="1427" bestFit="1" customWidth="1"/>
    <col min="7444" max="7680" width="9.140625" style="1427"/>
    <col min="7681" max="7681" width="14.140625" style="1427" customWidth="1"/>
    <col min="7682" max="7682" width="66.28515625" style="1427" bestFit="1" customWidth="1"/>
    <col min="7683" max="7683" width="10" style="1427" bestFit="1" customWidth="1"/>
    <col min="7684" max="7685" width="8.5703125" style="1427" bestFit="1" customWidth="1"/>
    <col min="7686" max="7686" width="17.42578125" style="1427" bestFit="1" customWidth="1"/>
    <col min="7687" max="7687" width="17.28515625" style="1427" bestFit="1" customWidth="1"/>
    <col min="7688" max="7689" width="10.7109375" style="1427" customWidth="1"/>
    <col min="7690" max="7691" width="10.7109375" style="1427" bestFit="1" customWidth="1"/>
    <col min="7692" max="7692" width="10.7109375" style="1427" customWidth="1"/>
    <col min="7693" max="7695" width="10.7109375" style="1427" bestFit="1" customWidth="1"/>
    <col min="7696" max="7697" width="10.7109375" style="1427" customWidth="1"/>
    <col min="7698" max="7699" width="10.7109375" style="1427" bestFit="1" customWidth="1"/>
    <col min="7700" max="7936" width="9.140625" style="1427"/>
    <col min="7937" max="7937" width="14.140625" style="1427" customWidth="1"/>
    <col min="7938" max="7938" width="66.28515625" style="1427" bestFit="1" customWidth="1"/>
    <col min="7939" max="7939" width="10" style="1427" bestFit="1" customWidth="1"/>
    <col min="7940" max="7941" width="8.5703125" style="1427" bestFit="1" customWidth="1"/>
    <col min="7942" max="7942" width="17.42578125" style="1427" bestFit="1" customWidth="1"/>
    <col min="7943" max="7943" width="17.28515625" style="1427" bestFit="1" customWidth="1"/>
    <col min="7944" max="7945" width="10.7109375" style="1427" customWidth="1"/>
    <col min="7946" max="7947" width="10.7109375" style="1427" bestFit="1" customWidth="1"/>
    <col min="7948" max="7948" width="10.7109375" style="1427" customWidth="1"/>
    <col min="7949" max="7951" width="10.7109375" style="1427" bestFit="1" customWidth="1"/>
    <col min="7952" max="7953" width="10.7109375" style="1427" customWidth="1"/>
    <col min="7954" max="7955" width="10.7109375" style="1427" bestFit="1" customWidth="1"/>
    <col min="7956" max="8192" width="9.140625" style="1427"/>
    <col min="8193" max="8193" width="14.140625" style="1427" customWidth="1"/>
    <col min="8194" max="8194" width="66.28515625" style="1427" bestFit="1" customWidth="1"/>
    <col min="8195" max="8195" width="10" style="1427" bestFit="1" customWidth="1"/>
    <col min="8196" max="8197" width="8.5703125" style="1427" bestFit="1" customWidth="1"/>
    <col min="8198" max="8198" width="17.42578125" style="1427" bestFit="1" customWidth="1"/>
    <col min="8199" max="8199" width="17.28515625" style="1427" bestFit="1" customWidth="1"/>
    <col min="8200" max="8201" width="10.7109375" style="1427" customWidth="1"/>
    <col min="8202" max="8203" width="10.7109375" style="1427" bestFit="1" customWidth="1"/>
    <col min="8204" max="8204" width="10.7109375" style="1427" customWidth="1"/>
    <col min="8205" max="8207" width="10.7109375" style="1427" bestFit="1" customWidth="1"/>
    <col min="8208" max="8209" width="10.7109375" style="1427" customWidth="1"/>
    <col min="8210" max="8211" width="10.7109375" style="1427" bestFit="1" customWidth="1"/>
    <col min="8212" max="8448" width="9.140625" style="1427"/>
    <col min="8449" max="8449" width="14.140625" style="1427" customWidth="1"/>
    <col min="8450" max="8450" width="66.28515625" style="1427" bestFit="1" customWidth="1"/>
    <col min="8451" max="8451" width="10" style="1427" bestFit="1" customWidth="1"/>
    <col min="8452" max="8453" width="8.5703125" style="1427" bestFit="1" customWidth="1"/>
    <col min="8454" max="8454" width="17.42578125" style="1427" bestFit="1" customWidth="1"/>
    <col min="8455" max="8455" width="17.28515625" style="1427" bestFit="1" customWidth="1"/>
    <col min="8456" max="8457" width="10.7109375" style="1427" customWidth="1"/>
    <col min="8458" max="8459" width="10.7109375" style="1427" bestFit="1" customWidth="1"/>
    <col min="8460" max="8460" width="10.7109375" style="1427" customWidth="1"/>
    <col min="8461" max="8463" width="10.7109375" style="1427" bestFit="1" customWidth="1"/>
    <col min="8464" max="8465" width="10.7109375" style="1427" customWidth="1"/>
    <col min="8466" max="8467" width="10.7109375" style="1427" bestFit="1" customWidth="1"/>
    <col min="8468" max="8704" width="9.140625" style="1427"/>
    <col min="8705" max="8705" width="14.140625" style="1427" customWidth="1"/>
    <col min="8706" max="8706" width="66.28515625" style="1427" bestFit="1" customWidth="1"/>
    <col min="8707" max="8707" width="10" style="1427" bestFit="1" customWidth="1"/>
    <col min="8708" max="8709" width="8.5703125" style="1427" bestFit="1" customWidth="1"/>
    <col min="8710" max="8710" width="17.42578125" style="1427" bestFit="1" customWidth="1"/>
    <col min="8711" max="8711" width="17.28515625" style="1427" bestFit="1" customWidth="1"/>
    <col min="8712" max="8713" width="10.7109375" style="1427" customWidth="1"/>
    <col min="8714" max="8715" width="10.7109375" style="1427" bestFit="1" customWidth="1"/>
    <col min="8716" max="8716" width="10.7109375" style="1427" customWidth="1"/>
    <col min="8717" max="8719" width="10.7109375" style="1427" bestFit="1" customWidth="1"/>
    <col min="8720" max="8721" width="10.7109375" style="1427" customWidth="1"/>
    <col min="8722" max="8723" width="10.7109375" style="1427" bestFit="1" customWidth="1"/>
    <col min="8724" max="8960" width="9.140625" style="1427"/>
    <col min="8961" max="8961" width="14.140625" style="1427" customWidth="1"/>
    <col min="8962" max="8962" width="66.28515625" style="1427" bestFit="1" customWidth="1"/>
    <col min="8963" max="8963" width="10" style="1427" bestFit="1" customWidth="1"/>
    <col min="8964" max="8965" width="8.5703125" style="1427" bestFit="1" customWidth="1"/>
    <col min="8966" max="8966" width="17.42578125" style="1427" bestFit="1" customWidth="1"/>
    <col min="8967" max="8967" width="17.28515625" style="1427" bestFit="1" customWidth="1"/>
    <col min="8968" max="8969" width="10.7109375" style="1427" customWidth="1"/>
    <col min="8970" max="8971" width="10.7109375" style="1427" bestFit="1" customWidth="1"/>
    <col min="8972" max="8972" width="10.7109375" style="1427" customWidth="1"/>
    <col min="8973" max="8975" width="10.7109375" style="1427" bestFit="1" customWidth="1"/>
    <col min="8976" max="8977" width="10.7109375" style="1427" customWidth="1"/>
    <col min="8978" max="8979" width="10.7109375" style="1427" bestFit="1" customWidth="1"/>
    <col min="8980" max="9216" width="9.140625" style="1427"/>
    <col min="9217" max="9217" width="14.140625" style="1427" customWidth="1"/>
    <col min="9218" max="9218" width="66.28515625" style="1427" bestFit="1" customWidth="1"/>
    <col min="9219" max="9219" width="10" style="1427" bestFit="1" customWidth="1"/>
    <col min="9220" max="9221" width="8.5703125" style="1427" bestFit="1" customWidth="1"/>
    <col min="9222" max="9222" width="17.42578125" style="1427" bestFit="1" customWidth="1"/>
    <col min="9223" max="9223" width="17.28515625" style="1427" bestFit="1" customWidth="1"/>
    <col min="9224" max="9225" width="10.7109375" style="1427" customWidth="1"/>
    <col min="9226" max="9227" width="10.7109375" style="1427" bestFit="1" customWidth="1"/>
    <col min="9228" max="9228" width="10.7109375" style="1427" customWidth="1"/>
    <col min="9229" max="9231" width="10.7109375" style="1427" bestFit="1" customWidth="1"/>
    <col min="9232" max="9233" width="10.7109375" style="1427" customWidth="1"/>
    <col min="9234" max="9235" width="10.7109375" style="1427" bestFit="1" customWidth="1"/>
    <col min="9236" max="9472" width="9.140625" style="1427"/>
    <col min="9473" max="9473" width="14.140625" style="1427" customWidth="1"/>
    <col min="9474" max="9474" width="66.28515625" style="1427" bestFit="1" customWidth="1"/>
    <col min="9475" max="9475" width="10" style="1427" bestFit="1" customWidth="1"/>
    <col min="9476" max="9477" width="8.5703125" style="1427" bestFit="1" customWidth="1"/>
    <col min="9478" max="9478" width="17.42578125" style="1427" bestFit="1" customWidth="1"/>
    <col min="9479" max="9479" width="17.28515625" style="1427" bestFit="1" customWidth="1"/>
    <col min="9480" max="9481" width="10.7109375" style="1427" customWidth="1"/>
    <col min="9482" max="9483" width="10.7109375" style="1427" bestFit="1" customWidth="1"/>
    <col min="9484" max="9484" width="10.7109375" style="1427" customWidth="1"/>
    <col min="9485" max="9487" width="10.7109375" style="1427" bestFit="1" customWidth="1"/>
    <col min="9488" max="9489" width="10.7109375" style="1427" customWidth="1"/>
    <col min="9490" max="9491" width="10.7109375" style="1427" bestFit="1" customWidth="1"/>
    <col min="9492" max="9728" width="9.140625" style="1427"/>
    <col min="9729" max="9729" width="14.140625" style="1427" customWidth="1"/>
    <col min="9730" max="9730" width="66.28515625" style="1427" bestFit="1" customWidth="1"/>
    <col min="9731" max="9731" width="10" style="1427" bestFit="1" customWidth="1"/>
    <col min="9732" max="9733" width="8.5703125" style="1427" bestFit="1" customWidth="1"/>
    <col min="9734" max="9734" width="17.42578125" style="1427" bestFit="1" customWidth="1"/>
    <col min="9735" max="9735" width="17.28515625" style="1427" bestFit="1" customWidth="1"/>
    <col min="9736" max="9737" width="10.7109375" style="1427" customWidth="1"/>
    <col min="9738" max="9739" width="10.7109375" style="1427" bestFit="1" customWidth="1"/>
    <col min="9740" max="9740" width="10.7109375" style="1427" customWidth="1"/>
    <col min="9741" max="9743" width="10.7109375" style="1427" bestFit="1" customWidth="1"/>
    <col min="9744" max="9745" width="10.7109375" style="1427" customWidth="1"/>
    <col min="9746" max="9747" width="10.7109375" style="1427" bestFit="1" customWidth="1"/>
    <col min="9748" max="9984" width="9.140625" style="1427"/>
    <col min="9985" max="9985" width="14.140625" style="1427" customWidth="1"/>
    <col min="9986" max="9986" width="66.28515625" style="1427" bestFit="1" customWidth="1"/>
    <col min="9987" max="9987" width="10" style="1427" bestFit="1" customWidth="1"/>
    <col min="9988" max="9989" width="8.5703125" style="1427" bestFit="1" customWidth="1"/>
    <col min="9990" max="9990" width="17.42578125" style="1427" bestFit="1" customWidth="1"/>
    <col min="9991" max="9991" width="17.28515625" style="1427" bestFit="1" customWidth="1"/>
    <col min="9992" max="9993" width="10.7109375" style="1427" customWidth="1"/>
    <col min="9994" max="9995" width="10.7109375" style="1427" bestFit="1" customWidth="1"/>
    <col min="9996" max="9996" width="10.7109375" style="1427" customWidth="1"/>
    <col min="9997" max="9999" width="10.7109375" style="1427" bestFit="1" customWidth="1"/>
    <col min="10000" max="10001" width="10.7109375" style="1427" customWidth="1"/>
    <col min="10002" max="10003" width="10.7109375" style="1427" bestFit="1" customWidth="1"/>
    <col min="10004" max="10240" width="9.140625" style="1427"/>
    <col min="10241" max="10241" width="14.140625" style="1427" customWidth="1"/>
    <col min="10242" max="10242" width="66.28515625" style="1427" bestFit="1" customWidth="1"/>
    <col min="10243" max="10243" width="10" style="1427" bestFit="1" customWidth="1"/>
    <col min="10244" max="10245" width="8.5703125" style="1427" bestFit="1" customWidth="1"/>
    <col min="10246" max="10246" width="17.42578125" style="1427" bestFit="1" customWidth="1"/>
    <col min="10247" max="10247" width="17.28515625" style="1427" bestFit="1" customWidth="1"/>
    <col min="10248" max="10249" width="10.7109375" style="1427" customWidth="1"/>
    <col min="10250" max="10251" width="10.7109375" style="1427" bestFit="1" customWidth="1"/>
    <col min="10252" max="10252" width="10.7109375" style="1427" customWidth="1"/>
    <col min="10253" max="10255" width="10.7109375" style="1427" bestFit="1" customWidth="1"/>
    <col min="10256" max="10257" width="10.7109375" style="1427" customWidth="1"/>
    <col min="10258" max="10259" width="10.7109375" style="1427" bestFit="1" customWidth="1"/>
    <col min="10260" max="10496" width="9.140625" style="1427"/>
    <col min="10497" max="10497" width="14.140625" style="1427" customWidth="1"/>
    <col min="10498" max="10498" width="66.28515625" style="1427" bestFit="1" customWidth="1"/>
    <col min="10499" max="10499" width="10" style="1427" bestFit="1" customWidth="1"/>
    <col min="10500" max="10501" width="8.5703125" style="1427" bestFit="1" customWidth="1"/>
    <col min="10502" max="10502" width="17.42578125" style="1427" bestFit="1" customWidth="1"/>
    <col min="10503" max="10503" width="17.28515625" style="1427" bestFit="1" customWidth="1"/>
    <col min="10504" max="10505" width="10.7109375" style="1427" customWidth="1"/>
    <col min="10506" max="10507" width="10.7109375" style="1427" bestFit="1" customWidth="1"/>
    <col min="10508" max="10508" width="10.7109375" style="1427" customWidth="1"/>
    <col min="10509" max="10511" width="10.7109375" style="1427" bestFit="1" customWidth="1"/>
    <col min="10512" max="10513" width="10.7109375" style="1427" customWidth="1"/>
    <col min="10514" max="10515" width="10.7109375" style="1427" bestFit="1" customWidth="1"/>
    <col min="10516" max="10752" width="9.140625" style="1427"/>
    <col min="10753" max="10753" width="14.140625" style="1427" customWidth="1"/>
    <col min="10754" max="10754" width="66.28515625" style="1427" bestFit="1" customWidth="1"/>
    <col min="10755" max="10755" width="10" style="1427" bestFit="1" customWidth="1"/>
    <col min="10756" max="10757" width="8.5703125" style="1427" bestFit="1" customWidth="1"/>
    <col min="10758" max="10758" width="17.42578125" style="1427" bestFit="1" customWidth="1"/>
    <col min="10759" max="10759" width="17.28515625" style="1427" bestFit="1" customWidth="1"/>
    <col min="10760" max="10761" width="10.7109375" style="1427" customWidth="1"/>
    <col min="10762" max="10763" width="10.7109375" style="1427" bestFit="1" customWidth="1"/>
    <col min="10764" max="10764" width="10.7109375" style="1427" customWidth="1"/>
    <col min="10765" max="10767" width="10.7109375" style="1427" bestFit="1" customWidth="1"/>
    <col min="10768" max="10769" width="10.7109375" style="1427" customWidth="1"/>
    <col min="10770" max="10771" width="10.7109375" style="1427" bestFit="1" customWidth="1"/>
    <col min="10772" max="11008" width="9.140625" style="1427"/>
    <col min="11009" max="11009" width="14.140625" style="1427" customWidth="1"/>
    <col min="11010" max="11010" width="66.28515625" style="1427" bestFit="1" customWidth="1"/>
    <col min="11011" max="11011" width="10" style="1427" bestFit="1" customWidth="1"/>
    <col min="11012" max="11013" width="8.5703125" style="1427" bestFit="1" customWidth="1"/>
    <col min="11014" max="11014" width="17.42578125" style="1427" bestFit="1" customWidth="1"/>
    <col min="11015" max="11015" width="17.28515625" style="1427" bestFit="1" customWidth="1"/>
    <col min="11016" max="11017" width="10.7109375" style="1427" customWidth="1"/>
    <col min="11018" max="11019" width="10.7109375" style="1427" bestFit="1" customWidth="1"/>
    <col min="11020" max="11020" width="10.7109375" style="1427" customWidth="1"/>
    <col min="11021" max="11023" width="10.7109375" style="1427" bestFit="1" customWidth="1"/>
    <col min="11024" max="11025" width="10.7109375" style="1427" customWidth="1"/>
    <col min="11026" max="11027" width="10.7109375" style="1427" bestFit="1" customWidth="1"/>
    <col min="11028" max="11264" width="9.140625" style="1427"/>
    <col min="11265" max="11265" width="14.140625" style="1427" customWidth="1"/>
    <col min="11266" max="11266" width="66.28515625" style="1427" bestFit="1" customWidth="1"/>
    <col min="11267" max="11267" width="10" style="1427" bestFit="1" customWidth="1"/>
    <col min="11268" max="11269" width="8.5703125" style="1427" bestFit="1" customWidth="1"/>
    <col min="11270" max="11270" width="17.42578125" style="1427" bestFit="1" customWidth="1"/>
    <col min="11271" max="11271" width="17.28515625" style="1427" bestFit="1" customWidth="1"/>
    <col min="11272" max="11273" width="10.7109375" style="1427" customWidth="1"/>
    <col min="11274" max="11275" width="10.7109375" style="1427" bestFit="1" customWidth="1"/>
    <col min="11276" max="11276" width="10.7109375" style="1427" customWidth="1"/>
    <col min="11277" max="11279" width="10.7109375" style="1427" bestFit="1" customWidth="1"/>
    <col min="11280" max="11281" width="10.7109375" style="1427" customWidth="1"/>
    <col min="11282" max="11283" width="10.7109375" style="1427" bestFit="1" customWidth="1"/>
    <col min="11284" max="11520" width="9.140625" style="1427"/>
    <col min="11521" max="11521" width="14.140625" style="1427" customWidth="1"/>
    <col min="11522" max="11522" width="66.28515625" style="1427" bestFit="1" customWidth="1"/>
    <col min="11523" max="11523" width="10" style="1427" bestFit="1" customWidth="1"/>
    <col min="11524" max="11525" width="8.5703125" style="1427" bestFit="1" customWidth="1"/>
    <col min="11526" max="11526" width="17.42578125" style="1427" bestFit="1" customWidth="1"/>
    <col min="11527" max="11527" width="17.28515625" style="1427" bestFit="1" customWidth="1"/>
    <col min="11528" max="11529" width="10.7109375" style="1427" customWidth="1"/>
    <col min="11530" max="11531" width="10.7109375" style="1427" bestFit="1" customWidth="1"/>
    <col min="11532" max="11532" width="10.7109375" style="1427" customWidth="1"/>
    <col min="11533" max="11535" width="10.7109375" style="1427" bestFit="1" customWidth="1"/>
    <col min="11536" max="11537" width="10.7109375" style="1427" customWidth="1"/>
    <col min="11538" max="11539" width="10.7109375" style="1427" bestFit="1" customWidth="1"/>
    <col min="11540" max="11776" width="9.140625" style="1427"/>
    <col min="11777" max="11777" width="14.140625" style="1427" customWidth="1"/>
    <col min="11778" max="11778" width="66.28515625" style="1427" bestFit="1" customWidth="1"/>
    <col min="11779" max="11779" width="10" style="1427" bestFit="1" customWidth="1"/>
    <col min="11780" max="11781" width="8.5703125" style="1427" bestFit="1" customWidth="1"/>
    <col min="11782" max="11782" width="17.42578125" style="1427" bestFit="1" customWidth="1"/>
    <col min="11783" max="11783" width="17.28515625" style="1427" bestFit="1" customWidth="1"/>
    <col min="11784" max="11785" width="10.7109375" style="1427" customWidth="1"/>
    <col min="11786" max="11787" width="10.7109375" style="1427" bestFit="1" customWidth="1"/>
    <col min="11788" max="11788" width="10.7109375" style="1427" customWidth="1"/>
    <col min="11789" max="11791" width="10.7109375" style="1427" bestFit="1" customWidth="1"/>
    <col min="11792" max="11793" width="10.7109375" style="1427" customWidth="1"/>
    <col min="11794" max="11795" width="10.7109375" style="1427" bestFit="1" customWidth="1"/>
    <col min="11796" max="12032" width="9.140625" style="1427"/>
    <col min="12033" max="12033" width="14.140625" style="1427" customWidth="1"/>
    <col min="12034" max="12034" width="66.28515625" style="1427" bestFit="1" customWidth="1"/>
    <col min="12035" max="12035" width="10" style="1427" bestFit="1" customWidth="1"/>
    <col min="12036" max="12037" width="8.5703125" style="1427" bestFit="1" customWidth="1"/>
    <col min="12038" max="12038" width="17.42578125" style="1427" bestFit="1" customWidth="1"/>
    <col min="12039" max="12039" width="17.28515625" style="1427" bestFit="1" customWidth="1"/>
    <col min="12040" max="12041" width="10.7109375" style="1427" customWidth="1"/>
    <col min="12042" max="12043" width="10.7109375" style="1427" bestFit="1" customWidth="1"/>
    <col min="12044" max="12044" width="10.7109375" style="1427" customWidth="1"/>
    <col min="12045" max="12047" width="10.7109375" style="1427" bestFit="1" customWidth="1"/>
    <col min="12048" max="12049" width="10.7109375" style="1427" customWidth="1"/>
    <col min="12050" max="12051" width="10.7109375" style="1427" bestFit="1" customWidth="1"/>
    <col min="12052" max="12288" width="9.140625" style="1427"/>
    <col min="12289" max="12289" width="14.140625" style="1427" customWidth="1"/>
    <col min="12290" max="12290" width="66.28515625" style="1427" bestFit="1" customWidth="1"/>
    <col min="12291" max="12291" width="10" style="1427" bestFit="1" customWidth="1"/>
    <col min="12292" max="12293" width="8.5703125" style="1427" bestFit="1" customWidth="1"/>
    <col min="12294" max="12294" width="17.42578125" style="1427" bestFit="1" customWidth="1"/>
    <col min="12295" max="12295" width="17.28515625" style="1427" bestFit="1" customWidth="1"/>
    <col min="12296" max="12297" width="10.7109375" style="1427" customWidth="1"/>
    <col min="12298" max="12299" width="10.7109375" style="1427" bestFit="1" customWidth="1"/>
    <col min="12300" max="12300" width="10.7109375" style="1427" customWidth="1"/>
    <col min="12301" max="12303" width="10.7109375" style="1427" bestFit="1" customWidth="1"/>
    <col min="12304" max="12305" width="10.7109375" style="1427" customWidth="1"/>
    <col min="12306" max="12307" width="10.7109375" style="1427" bestFit="1" customWidth="1"/>
    <col min="12308" max="12544" width="9.140625" style="1427"/>
    <col min="12545" max="12545" width="14.140625" style="1427" customWidth="1"/>
    <col min="12546" max="12546" width="66.28515625" style="1427" bestFit="1" customWidth="1"/>
    <col min="12547" max="12547" width="10" style="1427" bestFit="1" customWidth="1"/>
    <col min="12548" max="12549" width="8.5703125" style="1427" bestFit="1" customWidth="1"/>
    <col min="12550" max="12550" width="17.42578125" style="1427" bestFit="1" customWidth="1"/>
    <col min="12551" max="12551" width="17.28515625" style="1427" bestFit="1" customWidth="1"/>
    <col min="12552" max="12553" width="10.7109375" style="1427" customWidth="1"/>
    <col min="12554" max="12555" width="10.7109375" style="1427" bestFit="1" customWidth="1"/>
    <col min="12556" max="12556" width="10.7109375" style="1427" customWidth="1"/>
    <col min="12557" max="12559" width="10.7109375" style="1427" bestFit="1" customWidth="1"/>
    <col min="12560" max="12561" width="10.7109375" style="1427" customWidth="1"/>
    <col min="12562" max="12563" width="10.7109375" style="1427" bestFit="1" customWidth="1"/>
    <col min="12564" max="12800" width="9.140625" style="1427"/>
    <col min="12801" max="12801" width="14.140625" style="1427" customWidth="1"/>
    <col min="12802" max="12802" width="66.28515625" style="1427" bestFit="1" customWidth="1"/>
    <col min="12803" max="12803" width="10" style="1427" bestFit="1" customWidth="1"/>
    <col min="12804" max="12805" width="8.5703125" style="1427" bestFit="1" customWidth="1"/>
    <col min="12806" max="12806" width="17.42578125" style="1427" bestFit="1" customWidth="1"/>
    <col min="12807" max="12807" width="17.28515625" style="1427" bestFit="1" customWidth="1"/>
    <col min="12808" max="12809" width="10.7109375" style="1427" customWidth="1"/>
    <col min="12810" max="12811" width="10.7109375" style="1427" bestFit="1" customWidth="1"/>
    <col min="12812" max="12812" width="10.7109375" style="1427" customWidth="1"/>
    <col min="12813" max="12815" width="10.7109375" style="1427" bestFit="1" customWidth="1"/>
    <col min="12816" max="12817" width="10.7109375" style="1427" customWidth="1"/>
    <col min="12818" max="12819" width="10.7109375" style="1427" bestFit="1" customWidth="1"/>
    <col min="12820" max="13056" width="9.140625" style="1427"/>
    <col min="13057" max="13057" width="14.140625" style="1427" customWidth="1"/>
    <col min="13058" max="13058" width="66.28515625" style="1427" bestFit="1" customWidth="1"/>
    <col min="13059" max="13059" width="10" style="1427" bestFit="1" customWidth="1"/>
    <col min="13060" max="13061" width="8.5703125" style="1427" bestFit="1" customWidth="1"/>
    <col min="13062" max="13062" width="17.42578125" style="1427" bestFit="1" customWidth="1"/>
    <col min="13063" max="13063" width="17.28515625" style="1427" bestFit="1" customWidth="1"/>
    <col min="13064" max="13065" width="10.7109375" style="1427" customWidth="1"/>
    <col min="13066" max="13067" width="10.7109375" style="1427" bestFit="1" customWidth="1"/>
    <col min="13068" max="13068" width="10.7109375" style="1427" customWidth="1"/>
    <col min="13069" max="13071" width="10.7109375" style="1427" bestFit="1" customWidth="1"/>
    <col min="13072" max="13073" width="10.7109375" style="1427" customWidth="1"/>
    <col min="13074" max="13075" width="10.7109375" style="1427" bestFit="1" customWidth="1"/>
    <col min="13076" max="13312" width="9.140625" style="1427"/>
    <col min="13313" max="13313" width="14.140625" style="1427" customWidth="1"/>
    <col min="13314" max="13314" width="66.28515625" style="1427" bestFit="1" customWidth="1"/>
    <col min="13315" max="13315" width="10" style="1427" bestFit="1" customWidth="1"/>
    <col min="13316" max="13317" width="8.5703125" style="1427" bestFit="1" customWidth="1"/>
    <col min="13318" max="13318" width="17.42578125" style="1427" bestFit="1" customWidth="1"/>
    <col min="13319" max="13319" width="17.28515625" style="1427" bestFit="1" customWidth="1"/>
    <col min="13320" max="13321" width="10.7109375" style="1427" customWidth="1"/>
    <col min="13322" max="13323" width="10.7109375" style="1427" bestFit="1" customWidth="1"/>
    <col min="13324" max="13324" width="10.7109375" style="1427" customWidth="1"/>
    <col min="13325" max="13327" width="10.7109375" style="1427" bestFit="1" customWidth="1"/>
    <col min="13328" max="13329" width="10.7109375" style="1427" customWidth="1"/>
    <col min="13330" max="13331" width="10.7109375" style="1427" bestFit="1" customWidth="1"/>
    <col min="13332" max="13568" width="9.140625" style="1427"/>
    <col min="13569" max="13569" width="14.140625" style="1427" customWidth="1"/>
    <col min="13570" max="13570" width="66.28515625" style="1427" bestFit="1" customWidth="1"/>
    <col min="13571" max="13571" width="10" style="1427" bestFit="1" customWidth="1"/>
    <col min="13572" max="13573" width="8.5703125" style="1427" bestFit="1" customWidth="1"/>
    <col min="13574" max="13574" width="17.42578125" style="1427" bestFit="1" customWidth="1"/>
    <col min="13575" max="13575" width="17.28515625" style="1427" bestFit="1" customWidth="1"/>
    <col min="13576" max="13577" width="10.7109375" style="1427" customWidth="1"/>
    <col min="13578" max="13579" width="10.7109375" style="1427" bestFit="1" customWidth="1"/>
    <col min="13580" max="13580" width="10.7109375" style="1427" customWidth="1"/>
    <col min="13581" max="13583" width="10.7109375" style="1427" bestFit="1" customWidth="1"/>
    <col min="13584" max="13585" width="10.7109375" style="1427" customWidth="1"/>
    <col min="13586" max="13587" width="10.7109375" style="1427" bestFit="1" customWidth="1"/>
    <col min="13588" max="13824" width="9.140625" style="1427"/>
    <col min="13825" max="13825" width="14.140625" style="1427" customWidth="1"/>
    <col min="13826" max="13826" width="66.28515625" style="1427" bestFit="1" customWidth="1"/>
    <col min="13827" max="13827" width="10" style="1427" bestFit="1" customWidth="1"/>
    <col min="13828" max="13829" width="8.5703125" style="1427" bestFit="1" customWidth="1"/>
    <col min="13830" max="13830" width="17.42578125" style="1427" bestFit="1" customWidth="1"/>
    <col min="13831" max="13831" width="17.28515625" style="1427" bestFit="1" customWidth="1"/>
    <col min="13832" max="13833" width="10.7109375" style="1427" customWidth="1"/>
    <col min="13834" max="13835" width="10.7109375" style="1427" bestFit="1" customWidth="1"/>
    <col min="13836" max="13836" width="10.7109375" style="1427" customWidth="1"/>
    <col min="13837" max="13839" width="10.7109375" style="1427" bestFit="1" customWidth="1"/>
    <col min="13840" max="13841" width="10.7109375" style="1427" customWidth="1"/>
    <col min="13842" max="13843" width="10.7109375" style="1427" bestFit="1" customWidth="1"/>
    <col min="13844" max="14080" width="9.140625" style="1427"/>
    <col min="14081" max="14081" width="14.140625" style="1427" customWidth="1"/>
    <col min="14082" max="14082" width="66.28515625" style="1427" bestFit="1" customWidth="1"/>
    <col min="14083" max="14083" width="10" style="1427" bestFit="1" customWidth="1"/>
    <col min="14084" max="14085" width="8.5703125" style="1427" bestFit="1" customWidth="1"/>
    <col min="14086" max="14086" width="17.42578125" style="1427" bestFit="1" customWidth="1"/>
    <col min="14087" max="14087" width="17.28515625" style="1427" bestFit="1" customWidth="1"/>
    <col min="14088" max="14089" width="10.7109375" style="1427" customWidth="1"/>
    <col min="14090" max="14091" width="10.7109375" style="1427" bestFit="1" customWidth="1"/>
    <col min="14092" max="14092" width="10.7109375" style="1427" customWidth="1"/>
    <col min="14093" max="14095" width="10.7109375" style="1427" bestFit="1" customWidth="1"/>
    <col min="14096" max="14097" width="10.7109375" style="1427" customWidth="1"/>
    <col min="14098" max="14099" width="10.7109375" style="1427" bestFit="1" customWidth="1"/>
    <col min="14100" max="14336" width="9.140625" style="1427"/>
    <col min="14337" max="14337" width="14.140625" style="1427" customWidth="1"/>
    <col min="14338" max="14338" width="66.28515625" style="1427" bestFit="1" customWidth="1"/>
    <col min="14339" max="14339" width="10" style="1427" bestFit="1" customWidth="1"/>
    <col min="14340" max="14341" width="8.5703125" style="1427" bestFit="1" customWidth="1"/>
    <col min="14342" max="14342" width="17.42578125" style="1427" bestFit="1" customWidth="1"/>
    <col min="14343" max="14343" width="17.28515625" style="1427" bestFit="1" customWidth="1"/>
    <col min="14344" max="14345" width="10.7109375" style="1427" customWidth="1"/>
    <col min="14346" max="14347" width="10.7109375" style="1427" bestFit="1" customWidth="1"/>
    <col min="14348" max="14348" width="10.7109375" style="1427" customWidth="1"/>
    <col min="14349" max="14351" width="10.7109375" style="1427" bestFit="1" customWidth="1"/>
    <col min="14352" max="14353" width="10.7109375" style="1427" customWidth="1"/>
    <col min="14354" max="14355" width="10.7109375" style="1427" bestFit="1" customWidth="1"/>
    <col min="14356" max="14592" width="9.140625" style="1427"/>
    <col min="14593" max="14593" width="14.140625" style="1427" customWidth="1"/>
    <col min="14594" max="14594" width="66.28515625" style="1427" bestFit="1" customWidth="1"/>
    <col min="14595" max="14595" width="10" style="1427" bestFit="1" customWidth="1"/>
    <col min="14596" max="14597" width="8.5703125" style="1427" bestFit="1" customWidth="1"/>
    <col min="14598" max="14598" width="17.42578125" style="1427" bestFit="1" customWidth="1"/>
    <col min="14599" max="14599" width="17.28515625" style="1427" bestFit="1" customWidth="1"/>
    <col min="14600" max="14601" width="10.7109375" style="1427" customWidth="1"/>
    <col min="14602" max="14603" width="10.7109375" style="1427" bestFit="1" customWidth="1"/>
    <col min="14604" max="14604" width="10.7109375" style="1427" customWidth="1"/>
    <col min="14605" max="14607" width="10.7109375" style="1427" bestFit="1" customWidth="1"/>
    <col min="14608" max="14609" width="10.7109375" style="1427" customWidth="1"/>
    <col min="14610" max="14611" width="10.7109375" style="1427" bestFit="1" customWidth="1"/>
    <col min="14612" max="14848" width="9.140625" style="1427"/>
    <col min="14849" max="14849" width="14.140625" style="1427" customWidth="1"/>
    <col min="14850" max="14850" width="66.28515625" style="1427" bestFit="1" customWidth="1"/>
    <col min="14851" max="14851" width="10" style="1427" bestFit="1" customWidth="1"/>
    <col min="14852" max="14853" width="8.5703125" style="1427" bestFit="1" customWidth="1"/>
    <col min="14854" max="14854" width="17.42578125" style="1427" bestFit="1" customWidth="1"/>
    <col min="14855" max="14855" width="17.28515625" style="1427" bestFit="1" customWidth="1"/>
    <col min="14856" max="14857" width="10.7109375" style="1427" customWidth="1"/>
    <col min="14858" max="14859" width="10.7109375" style="1427" bestFit="1" customWidth="1"/>
    <col min="14860" max="14860" width="10.7109375" style="1427" customWidth="1"/>
    <col min="14861" max="14863" width="10.7109375" style="1427" bestFit="1" customWidth="1"/>
    <col min="14864" max="14865" width="10.7109375" style="1427" customWidth="1"/>
    <col min="14866" max="14867" width="10.7109375" style="1427" bestFit="1" customWidth="1"/>
    <col min="14868" max="15104" width="9.140625" style="1427"/>
    <col min="15105" max="15105" width="14.140625" style="1427" customWidth="1"/>
    <col min="15106" max="15106" width="66.28515625" style="1427" bestFit="1" customWidth="1"/>
    <col min="15107" max="15107" width="10" style="1427" bestFit="1" customWidth="1"/>
    <col min="15108" max="15109" width="8.5703125" style="1427" bestFit="1" customWidth="1"/>
    <col min="15110" max="15110" width="17.42578125" style="1427" bestFit="1" customWidth="1"/>
    <col min="15111" max="15111" width="17.28515625" style="1427" bestFit="1" customWidth="1"/>
    <col min="15112" max="15113" width="10.7109375" style="1427" customWidth="1"/>
    <col min="15114" max="15115" width="10.7109375" style="1427" bestFit="1" customWidth="1"/>
    <col min="15116" max="15116" width="10.7109375" style="1427" customWidth="1"/>
    <col min="15117" max="15119" width="10.7109375" style="1427" bestFit="1" customWidth="1"/>
    <col min="15120" max="15121" width="10.7109375" style="1427" customWidth="1"/>
    <col min="15122" max="15123" width="10.7109375" style="1427" bestFit="1" customWidth="1"/>
    <col min="15124" max="15360" width="9.140625" style="1427"/>
    <col min="15361" max="15361" width="14.140625" style="1427" customWidth="1"/>
    <col min="15362" max="15362" width="66.28515625" style="1427" bestFit="1" customWidth="1"/>
    <col min="15363" max="15363" width="10" style="1427" bestFit="1" customWidth="1"/>
    <col min="15364" max="15365" width="8.5703125" style="1427" bestFit="1" customWidth="1"/>
    <col min="15366" max="15366" width="17.42578125" style="1427" bestFit="1" customWidth="1"/>
    <col min="15367" max="15367" width="17.28515625" style="1427" bestFit="1" customWidth="1"/>
    <col min="15368" max="15369" width="10.7109375" style="1427" customWidth="1"/>
    <col min="15370" max="15371" width="10.7109375" style="1427" bestFit="1" customWidth="1"/>
    <col min="15372" max="15372" width="10.7109375" style="1427" customWidth="1"/>
    <col min="15373" max="15375" width="10.7109375" style="1427" bestFit="1" customWidth="1"/>
    <col min="15376" max="15377" width="10.7109375" style="1427" customWidth="1"/>
    <col min="15378" max="15379" width="10.7109375" style="1427" bestFit="1" customWidth="1"/>
    <col min="15380" max="15616" width="9.140625" style="1427"/>
    <col min="15617" max="15617" width="14.140625" style="1427" customWidth="1"/>
    <col min="15618" max="15618" width="66.28515625" style="1427" bestFit="1" customWidth="1"/>
    <col min="15619" max="15619" width="10" style="1427" bestFit="1" customWidth="1"/>
    <col min="15620" max="15621" width="8.5703125" style="1427" bestFit="1" customWidth="1"/>
    <col min="15622" max="15622" width="17.42578125" style="1427" bestFit="1" customWidth="1"/>
    <col min="15623" max="15623" width="17.28515625" style="1427" bestFit="1" customWidth="1"/>
    <col min="15624" max="15625" width="10.7109375" style="1427" customWidth="1"/>
    <col min="15626" max="15627" width="10.7109375" style="1427" bestFit="1" customWidth="1"/>
    <col min="15628" max="15628" width="10.7109375" style="1427" customWidth="1"/>
    <col min="15629" max="15631" width="10.7109375" style="1427" bestFit="1" customWidth="1"/>
    <col min="15632" max="15633" width="10.7109375" style="1427" customWidth="1"/>
    <col min="15634" max="15635" width="10.7109375" style="1427" bestFit="1" customWidth="1"/>
    <col min="15636" max="15872" width="9.140625" style="1427"/>
    <col min="15873" max="15873" width="14.140625" style="1427" customWidth="1"/>
    <col min="15874" max="15874" width="66.28515625" style="1427" bestFit="1" customWidth="1"/>
    <col min="15875" max="15875" width="10" style="1427" bestFit="1" customWidth="1"/>
    <col min="15876" max="15877" width="8.5703125" style="1427" bestFit="1" customWidth="1"/>
    <col min="15878" max="15878" width="17.42578125" style="1427" bestFit="1" customWidth="1"/>
    <col min="15879" max="15879" width="17.28515625" style="1427" bestFit="1" customWidth="1"/>
    <col min="15880" max="15881" width="10.7109375" style="1427" customWidth="1"/>
    <col min="15882" max="15883" width="10.7109375" style="1427" bestFit="1" customWidth="1"/>
    <col min="15884" max="15884" width="10.7109375" style="1427" customWidth="1"/>
    <col min="15885" max="15887" width="10.7109375" style="1427" bestFit="1" customWidth="1"/>
    <col min="15888" max="15889" width="10.7109375" style="1427" customWidth="1"/>
    <col min="15890" max="15891" width="10.7109375" style="1427" bestFit="1" customWidth="1"/>
    <col min="15892" max="16128" width="9.140625" style="1427"/>
    <col min="16129" max="16129" width="14.140625" style="1427" customWidth="1"/>
    <col min="16130" max="16130" width="66.28515625" style="1427" bestFit="1" customWidth="1"/>
    <col min="16131" max="16131" width="10" style="1427" bestFit="1" customWidth="1"/>
    <col min="16132" max="16133" width="8.5703125" style="1427" bestFit="1" customWidth="1"/>
    <col min="16134" max="16134" width="17.42578125" style="1427" bestFit="1" customWidth="1"/>
    <col min="16135" max="16135" width="17.28515625" style="1427" bestFit="1" customWidth="1"/>
    <col min="16136" max="16137" width="10.7109375" style="1427" customWidth="1"/>
    <col min="16138" max="16139" width="10.7109375" style="1427" bestFit="1" customWidth="1"/>
    <col min="16140" max="16140" width="10.7109375" style="1427" customWidth="1"/>
    <col min="16141" max="16143" width="10.7109375" style="1427" bestFit="1" customWidth="1"/>
    <col min="16144" max="16145" width="10.7109375" style="1427" customWidth="1"/>
    <col min="16146" max="16147" width="10.7109375" style="1427" bestFit="1" customWidth="1"/>
    <col min="16148" max="16384" width="9.140625" style="1427"/>
  </cols>
  <sheetData>
    <row r="1" spans="1:135" s="1435"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1427"/>
      <c r="AC1" s="1427"/>
      <c r="AD1" s="1427"/>
      <c r="AE1" s="1427"/>
    </row>
    <row r="2" spans="1:135" s="1435" customFormat="1" ht="24.95" customHeight="1">
      <c r="B2" s="3054" t="str">
        <f>INDEX(dms_TradingNameFull_List,MATCH(dms_TradingName,dms_TradingName_List))</f>
        <v>AusNet Gas Services</v>
      </c>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7"/>
      <c r="AC2" s="1427"/>
      <c r="AD2" s="1427"/>
      <c r="AE2" s="1427"/>
    </row>
    <row r="3" spans="1:135" s="1435" customFormat="1" ht="24.95" customHeight="1">
      <c r="B3" s="3054" t="str">
        <f ca="1">IF(SUM(dms_SingleYear_Model)&gt;0,CRY,CONCATENATE(FRCP_y1," to ",dms_MultiYear_FinalYear_Result))</f>
        <v>2018 to 2022</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7"/>
      <c r="AC3" s="1427"/>
      <c r="AD3" s="1427"/>
      <c r="AE3" s="1427"/>
    </row>
    <row r="4" spans="1:135" s="1435" customFormat="1" ht="24" customHeight="1">
      <c r="B4" s="10" t="s">
        <v>1508</v>
      </c>
      <c r="C4" s="12"/>
      <c r="D4" s="12"/>
      <c r="E4" s="12"/>
      <c r="F4" s="12"/>
      <c r="G4" s="12"/>
      <c r="H4" s="12"/>
      <c r="I4" s="12"/>
      <c r="J4" s="12"/>
      <c r="K4" s="12"/>
      <c r="L4" s="12"/>
      <c r="M4" s="12"/>
      <c r="N4" s="12"/>
      <c r="O4" s="12"/>
      <c r="P4" s="12"/>
      <c r="Q4" s="12"/>
      <c r="R4" s="12"/>
      <c r="S4" s="12"/>
      <c r="T4" s="12"/>
      <c r="U4" s="12"/>
      <c r="V4" s="12"/>
      <c r="W4" s="12"/>
      <c r="X4" s="12"/>
      <c r="Y4" s="12"/>
      <c r="Z4" s="12"/>
      <c r="AA4" s="12"/>
      <c r="AB4" s="1427"/>
      <c r="AC4" s="1427"/>
      <c r="AD4" s="1427"/>
      <c r="AE4" s="1427"/>
    </row>
    <row r="5" spans="1:135">
      <c r="A5" s="409"/>
      <c r="B5" s="1429"/>
      <c r="C5" s="1429"/>
      <c r="D5" s="1429"/>
      <c r="E5" s="1429"/>
      <c r="F5" s="1429"/>
      <c r="G5" s="1429"/>
      <c r="H5" s="1429"/>
      <c r="I5" s="1429"/>
      <c r="J5" s="1429"/>
      <c r="K5" s="1429"/>
      <c r="L5" s="1429"/>
      <c r="M5" s="1429"/>
      <c r="N5" s="1429"/>
      <c r="O5" s="1429"/>
      <c r="P5" s="1429"/>
      <c r="Q5" s="1429"/>
      <c r="R5" s="1429"/>
      <c r="S5" s="1429"/>
      <c r="T5" s="1429"/>
      <c r="U5" s="1429"/>
      <c r="V5" s="1429"/>
      <c r="W5" s="1429"/>
      <c r="X5" s="1429"/>
      <c r="Y5" s="1429"/>
      <c r="Z5" s="1429"/>
      <c r="AA5" s="1429"/>
    </row>
    <row r="6" spans="1:135">
      <c r="A6" s="1429"/>
      <c r="B6" s="1429"/>
      <c r="C6" s="1429"/>
      <c r="D6" s="1429"/>
      <c r="E6" s="1429"/>
      <c r="F6" s="1429"/>
      <c r="G6" s="1429"/>
      <c r="H6" s="1429"/>
      <c r="I6" s="1429"/>
      <c r="J6" s="1429"/>
      <c r="K6" s="1429"/>
      <c r="L6" s="1429"/>
      <c r="M6" s="1429"/>
      <c r="N6" s="1429"/>
      <c r="O6" s="1429"/>
      <c r="P6" s="1429"/>
      <c r="Q6" s="1429"/>
      <c r="R6" s="1429"/>
      <c r="S6" s="1429"/>
      <c r="T6" s="1429"/>
      <c r="U6" s="1429"/>
      <c r="V6" s="1429"/>
      <c r="W6" s="1429"/>
      <c r="X6" s="1429"/>
      <c r="Y6" s="1429"/>
      <c r="Z6" s="1429"/>
      <c r="AA6" s="1429"/>
    </row>
    <row r="7" spans="1:135">
      <c r="A7" s="1429"/>
      <c r="B7" s="4097" t="s">
        <v>59</v>
      </c>
      <c r="C7" s="4097"/>
      <c r="D7" s="4097"/>
      <c r="E7" s="4097"/>
      <c r="F7" s="4097"/>
      <c r="G7" s="4097"/>
      <c r="H7" s="1429"/>
      <c r="I7" s="1429"/>
      <c r="J7" s="1429"/>
      <c r="K7" s="1429"/>
      <c r="L7" s="1429"/>
      <c r="M7" s="1429"/>
      <c r="N7" s="1429"/>
      <c r="O7" s="1429"/>
      <c r="P7" s="1429"/>
      <c r="Q7" s="1429"/>
      <c r="R7" s="1429"/>
      <c r="S7" s="1429"/>
      <c r="T7" s="1429"/>
      <c r="U7" s="1429"/>
      <c r="V7" s="1429"/>
      <c r="W7" s="1429"/>
      <c r="X7" s="1429"/>
      <c r="Y7" s="1429"/>
      <c r="Z7" s="1429"/>
      <c r="AA7" s="1429"/>
    </row>
    <row r="8" spans="1:135">
      <c r="A8" s="1429"/>
      <c r="B8" s="4061" t="s">
        <v>244</v>
      </c>
      <c r="C8" s="4061"/>
      <c r="D8" s="4061"/>
      <c r="E8" s="4061"/>
      <c r="F8" s="4061"/>
      <c r="G8" s="4061"/>
      <c r="H8" s="1429"/>
      <c r="I8" s="1429"/>
      <c r="J8" s="1429"/>
      <c r="K8" s="1429"/>
      <c r="L8" s="1429"/>
      <c r="M8" s="1429"/>
      <c r="N8" s="1429"/>
      <c r="O8" s="1429"/>
      <c r="P8" s="1429"/>
      <c r="Q8" s="1429"/>
      <c r="R8" s="1429"/>
      <c r="S8" s="1429"/>
      <c r="T8" s="1429"/>
      <c r="U8" s="1429"/>
      <c r="V8" s="1429"/>
      <c r="W8" s="1429"/>
      <c r="X8" s="1429"/>
      <c r="Y8" s="1429"/>
      <c r="Z8" s="1429"/>
      <c r="AA8" s="1429"/>
    </row>
    <row r="9" spans="1:135" ht="29.25" customHeight="1">
      <c r="A9" s="1429"/>
      <c r="B9" s="4061" t="s">
        <v>511</v>
      </c>
      <c r="C9" s="4061"/>
      <c r="D9" s="4061"/>
      <c r="E9" s="4061"/>
      <c r="F9" s="4061"/>
      <c r="G9" s="4061"/>
      <c r="H9" s="1429"/>
      <c r="I9" s="1429"/>
      <c r="J9" s="1429"/>
      <c r="K9" s="1429"/>
      <c r="L9" s="1429"/>
      <c r="M9" s="1429"/>
      <c r="N9" s="1429"/>
      <c r="O9" s="1429"/>
      <c r="P9" s="1429"/>
      <c r="Q9" s="1429"/>
      <c r="R9" s="1429"/>
      <c r="S9" s="1429"/>
      <c r="T9" s="1429"/>
      <c r="U9" s="1429"/>
      <c r="V9" s="1429"/>
      <c r="W9" s="1429"/>
      <c r="X9" s="1429"/>
      <c r="Y9" s="1429"/>
      <c r="Z9" s="1429"/>
      <c r="AA9" s="1429"/>
    </row>
    <row r="10" spans="1:135" ht="27" customHeight="1">
      <c r="A10" s="1429"/>
      <c r="B10" s="4144" t="s">
        <v>421</v>
      </c>
      <c r="C10" s="4145"/>
      <c r="D10" s="4145"/>
      <c r="E10" s="4145"/>
      <c r="F10" s="4145"/>
      <c r="G10" s="4145"/>
      <c r="H10" s="1429"/>
      <c r="I10" s="1429"/>
      <c r="J10" s="1429"/>
      <c r="K10" s="1429"/>
      <c r="L10" s="1429"/>
      <c r="M10" s="1429"/>
      <c r="N10" s="1429"/>
      <c r="O10" s="1429"/>
      <c r="P10" s="1429"/>
      <c r="Q10" s="1429"/>
      <c r="R10" s="1429"/>
      <c r="S10" s="1429"/>
      <c r="T10" s="1429"/>
      <c r="U10" s="1429"/>
      <c r="V10" s="1429"/>
      <c r="W10" s="1429"/>
      <c r="X10" s="1429"/>
      <c r="Y10" s="1429"/>
      <c r="Z10" s="1429"/>
      <c r="AA10" s="1429"/>
    </row>
    <row r="11" spans="1:135" ht="35.25" customHeight="1">
      <c r="A11" s="1429"/>
      <c r="C11" s="1429"/>
      <c r="D11" s="1429"/>
      <c r="E11" s="1429"/>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row>
    <row r="12" spans="1:135">
      <c r="A12" s="1429"/>
      <c r="B12" s="1059" t="s">
        <v>270</v>
      </c>
      <c r="C12" s="1429"/>
      <c r="D12" s="1429"/>
      <c r="E12" s="1429"/>
      <c r="F12" s="1429"/>
      <c r="G12" s="1429"/>
      <c r="H12" s="1429"/>
      <c r="I12" s="1429"/>
      <c r="J12" s="1429"/>
      <c r="K12" s="1429"/>
      <c r="L12" s="1429"/>
      <c r="M12" s="1429"/>
      <c r="N12" s="1429"/>
      <c r="O12" s="1429"/>
      <c r="P12" s="1429"/>
      <c r="Q12" s="1429"/>
      <c r="R12" s="1429"/>
      <c r="S12" s="1429"/>
      <c r="T12" s="1429"/>
      <c r="U12" s="1429"/>
      <c r="V12" s="1429"/>
      <c r="W12" s="1429"/>
      <c r="X12" s="1429"/>
      <c r="Y12" s="1429"/>
      <c r="Z12" s="1429"/>
      <c r="AA12" s="1429"/>
    </row>
    <row r="13" spans="1:135" ht="24.75" customHeight="1">
      <c r="A13" s="1429"/>
      <c r="B13" s="1060" t="s">
        <v>1510</v>
      </c>
      <c r="C13" s="1429"/>
      <c r="D13" s="1429"/>
      <c r="E13" s="1429"/>
      <c r="F13" s="1429"/>
      <c r="G13" s="1429"/>
      <c r="H13" s="1429"/>
      <c r="I13" s="1429"/>
      <c r="J13" s="1429"/>
      <c r="K13" s="1429"/>
      <c r="L13" s="1429"/>
      <c r="M13" s="1429"/>
      <c r="N13" s="1429"/>
      <c r="O13" s="1429"/>
      <c r="P13" s="1429"/>
      <c r="Q13" s="1429"/>
      <c r="R13" s="1429"/>
      <c r="S13" s="1429"/>
      <c r="T13" s="1429"/>
      <c r="U13" s="1429"/>
      <c r="V13" s="1429"/>
      <c r="W13" s="1429"/>
      <c r="X13" s="1429"/>
      <c r="Y13" s="1429"/>
      <c r="Z13" s="1429"/>
      <c r="AA13" s="1429"/>
    </row>
    <row r="14" spans="1:135" ht="32.25" customHeight="1">
      <c r="A14" s="1429"/>
      <c r="C14" s="1429"/>
      <c r="D14" s="1429"/>
      <c r="E14" s="1429"/>
      <c r="F14" s="1429"/>
      <c r="G14" s="1429"/>
      <c r="H14" s="1429"/>
      <c r="I14" s="1429"/>
      <c r="J14" s="1429"/>
      <c r="K14" s="1429"/>
      <c r="L14" s="1429"/>
      <c r="M14" s="1429"/>
      <c r="N14" s="1429"/>
      <c r="O14" s="1429"/>
      <c r="P14" s="1429"/>
      <c r="Q14" s="1429"/>
      <c r="R14" s="1429"/>
      <c r="S14" s="1429"/>
      <c r="T14" s="1429"/>
      <c r="U14" s="1429"/>
      <c r="V14" s="1429"/>
      <c r="W14" s="1429"/>
      <c r="X14" s="1429"/>
      <c r="Y14" s="1429"/>
      <c r="Z14" s="1429"/>
      <c r="AA14" s="1429"/>
    </row>
    <row r="15" spans="1:135" ht="13.5" thickBot="1">
      <c r="A15" s="1429"/>
    </row>
    <row r="16" spans="1:135" s="94" customFormat="1" ht="18.75" customHeight="1" thickBot="1">
      <c r="A16" s="308"/>
      <c r="B16" s="856" t="s">
        <v>1527</v>
      </c>
      <c r="C16" s="1976"/>
      <c r="D16" s="1680"/>
      <c r="E16" s="1680"/>
      <c r="F16" s="1680"/>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1"/>
      <c r="AC16" s="1427"/>
      <c r="AD16" s="1427"/>
      <c r="AE16" s="1427"/>
      <c r="AF16" s="1427"/>
      <c r="DF16" s="1427"/>
      <c r="DG16" s="1427"/>
      <c r="DH16" s="1427"/>
      <c r="DI16" s="1427"/>
      <c r="DJ16" s="1427"/>
      <c r="DK16" s="1427"/>
      <c r="DL16" s="1427"/>
      <c r="DM16" s="1427"/>
      <c r="DN16" s="1427"/>
      <c r="DO16" s="1427"/>
      <c r="DP16" s="1427"/>
      <c r="DQ16" s="1427"/>
      <c r="DR16" s="1427"/>
      <c r="DS16" s="1427"/>
      <c r="DT16" s="1427"/>
      <c r="DU16" s="1427"/>
      <c r="DV16" s="1427"/>
      <c r="DW16" s="1427"/>
      <c r="DX16" s="1427"/>
      <c r="DY16" s="1427"/>
      <c r="DZ16" s="1427"/>
      <c r="EA16" s="1427"/>
      <c r="EB16" s="1427"/>
      <c r="EC16" s="1427"/>
      <c r="ED16" s="1427"/>
      <c r="EE16" s="1427"/>
    </row>
    <row r="17" spans="1:135" ht="20.25" customHeight="1">
      <c r="A17" s="1429"/>
      <c r="B17" s="4148"/>
      <c r="C17" s="4149"/>
      <c r="D17" s="4146" t="s">
        <v>37</v>
      </c>
      <c r="E17" s="4147"/>
      <c r="F17" s="4147"/>
      <c r="G17" s="4147"/>
      <c r="H17" s="4147"/>
      <c r="I17" s="4080" t="s">
        <v>73</v>
      </c>
      <c r="J17" s="4080"/>
      <c r="K17" s="4080"/>
      <c r="L17" s="4080"/>
      <c r="M17" s="4080"/>
      <c r="N17" s="4154" t="s">
        <v>272</v>
      </c>
      <c r="O17" s="4154"/>
      <c r="P17" s="4154"/>
      <c r="Q17" s="4154"/>
      <c r="R17" s="4154"/>
      <c r="S17" s="4154"/>
      <c r="T17" s="4154"/>
      <c r="U17" s="4154"/>
      <c r="V17" s="4154"/>
      <c r="W17" s="4154"/>
      <c r="X17" s="4154"/>
      <c r="Y17" s="4154"/>
      <c r="Z17" s="4154"/>
      <c r="AA17" s="4154"/>
      <c r="AB17" s="4155"/>
    </row>
    <row r="18" spans="1:135" ht="20.25" customHeight="1">
      <c r="A18" s="1429"/>
      <c r="B18" s="4150"/>
      <c r="C18" s="4151"/>
      <c r="D18" s="4156" t="s">
        <v>366</v>
      </c>
      <c r="E18" s="4157"/>
      <c r="F18" s="4157"/>
      <c r="G18" s="4157"/>
      <c r="H18" s="4157"/>
      <c r="I18" s="4157"/>
      <c r="J18" s="4157"/>
      <c r="K18" s="4157"/>
      <c r="L18" s="4157"/>
      <c r="M18" s="4157"/>
      <c r="N18" s="4157"/>
      <c r="O18" s="4157"/>
      <c r="P18" s="4157"/>
      <c r="Q18" s="4157"/>
      <c r="R18" s="4157"/>
      <c r="S18" s="4157"/>
      <c r="T18" s="4157"/>
      <c r="U18" s="4157"/>
      <c r="V18" s="4157"/>
      <c r="W18" s="4157"/>
      <c r="X18" s="4157"/>
      <c r="Y18" s="4157"/>
      <c r="Z18" s="4157"/>
      <c r="AA18" s="4157"/>
      <c r="AB18" s="4158"/>
    </row>
    <row r="19" spans="1:135" ht="20.25" customHeight="1">
      <c r="A19" s="1429"/>
      <c r="B19" s="4150"/>
      <c r="C19" s="4151"/>
      <c r="D19" s="4156" t="s">
        <v>54</v>
      </c>
      <c r="E19" s="4157"/>
      <c r="F19" s="4162"/>
      <c r="G19" s="4159" t="s">
        <v>411</v>
      </c>
      <c r="H19" s="4160"/>
      <c r="I19" s="4160"/>
      <c r="J19" s="4160"/>
      <c r="K19" s="4160"/>
      <c r="L19" s="4160"/>
      <c r="M19" s="4160"/>
      <c r="N19" s="4160"/>
      <c r="O19" s="4160"/>
      <c r="P19" s="4160"/>
      <c r="Q19" s="4160"/>
      <c r="R19" s="4160"/>
      <c r="S19" s="4160"/>
      <c r="T19" s="4160"/>
      <c r="U19" s="4160"/>
      <c r="V19" s="4160"/>
      <c r="W19" s="4160"/>
      <c r="X19" s="4160"/>
      <c r="Y19" s="4160"/>
      <c r="Z19" s="4160"/>
      <c r="AA19" s="4160"/>
      <c r="AB19" s="4161"/>
    </row>
    <row r="20" spans="1:135" ht="20.25" customHeight="1" thickBot="1">
      <c r="A20" s="1429"/>
      <c r="B20" s="4152"/>
      <c r="C20" s="4153"/>
      <c r="D20" s="1028">
        <f>CRCP_y1</f>
        <v>2013</v>
      </c>
      <c r="E20" s="1028">
        <f>CRCP_y2</f>
        <v>2014</v>
      </c>
      <c r="F20" s="1028">
        <f>CRCP_y3</f>
        <v>2015</v>
      </c>
      <c r="G20" s="1028">
        <f>CRCP_y4</f>
        <v>2016</v>
      </c>
      <c r="H20" s="1028">
        <f>CRCP_y5</f>
        <v>2017</v>
      </c>
      <c r="I20" s="1027" t="str">
        <f>CONCATENATE(IF(dms_RPT="Calendar",H20+1,(LEFT(H20,4)+1&amp;"-"&amp;IF(MID(H20,6,2)&lt;"09","0"&amp;RIGHT(H20,1)+1,RIGHT(H20,2)+1))))</f>
        <v>2018</v>
      </c>
      <c r="J20" s="1027" t="str">
        <f t="shared" ref="J20:AB20" si="0">CONCATENATE(IF(dms_RPT="Calendar",I20+1,(LEFT(I20,4)+1&amp;"-"&amp;IF(MID(I20,6,2)&lt;"09","0"&amp;RIGHT(I20,1)+1,RIGHT(I20,2)+1))))</f>
        <v>2019</v>
      </c>
      <c r="K20" s="1027" t="str">
        <f t="shared" si="0"/>
        <v>2020</v>
      </c>
      <c r="L20" s="1027" t="str">
        <f t="shared" si="0"/>
        <v>2021</v>
      </c>
      <c r="M20" s="1027" t="str">
        <f t="shared" si="0"/>
        <v>2022</v>
      </c>
      <c r="N20" s="1028" t="str">
        <f t="shared" si="0"/>
        <v>2023</v>
      </c>
      <c r="O20" s="1028" t="str">
        <f t="shared" si="0"/>
        <v>2024</v>
      </c>
      <c r="P20" s="1028" t="str">
        <f t="shared" si="0"/>
        <v>2025</v>
      </c>
      <c r="Q20" s="1028" t="str">
        <f t="shared" si="0"/>
        <v>2026</v>
      </c>
      <c r="R20" s="1028" t="str">
        <f t="shared" si="0"/>
        <v>2027</v>
      </c>
      <c r="S20" s="1028" t="str">
        <f t="shared" si="0"/>
        <v>2028</v>
      </c>
      <c r="T20" s="1028" t="str">
        <f t="shared" si="0"/>
        <v>2029</v>
      </c>
      <c r="U20" s="1028" t="str">
        <f t="shared" si="0"/>
        <v>2030</v>
      </c>
      <c r="V20" s="1028" t="str">
        <f t="shared" si="0"/>
        <v>2031</v>
      </c>
      <c r="W20" s="1028" t="str">
        <f t="shared" si="0"/>
        <v>2032</v>
      </c>
      <c r="X20" s="1028" t="str">
        <f t="shared" si="0"/>
        <v>2033</v>
      </c>
      <c r="Y20" s="1028" t="str">
        <f t="shared" si="0"/>
        <v>2034</v>
      </c>
      <c r="Z20" s="1028" t="str">
        <f t="shared" si="0"/>
        <v>2035</v>
      </c>
      <c r="AA20" s="1028" t="str">
        <f t="shared" si="0"/>
        <v>2036</v>
      </c>
      <c r="AB20" s="1028" t="str">
        <f t="shared" si="0"/>
        <v>2037</v>
      </c>
    </row>
    <row r="21" spans="1:135" s="94" customFormat="1" ht="18.75" customHeight="1" thickBot="1">
      <c r="A21" s="308"/>
      <c r="B21" s="1607" t="s">
        <v>1528</v>
      </c>
      <c r="C21" s="1605"/>
      <c r="D21" s="1605"/>
      <c r="E21" s="1605"/>
      <c r="F21" s="1605"/>
      <c r="G21" s="1605"/>
      <c r="H21" s="1605"/>
      <c r="I21" s="1605"/>
      <c r="J21" s="1605"/>
      <c r="K21" s="1605"/>
      <c r="L21" s="1605"/>
      <c r="M21" s="1605"/>
      <c r="N21" s="1605"/>
      <c r="O21" s="1605"/>
      <c r="P21" s="1605"/>
      <c r="Q21" s="1605"/>
      <c r="R21" s="1605"/>
      <c r="S21" s="1605"/>
      <c r="T21" s="1605"/>
      <c r="U21" s="1605"/>
      <c r="V21" s="1605"/>
      <c r="W21" s="1605"/>
      <c r="X21" s="1605"/>
      <c r="Y21" s="1605"/>
      <c r="Z21" s="1605"/>
      <c r="AA21" s="1605"/>
      <c r="AB21" s="1606"/>
      <c r="AC21" s="1427"/>
      <c r="AD21" s="1427"/>
      <c r="AE21" s="1427"/>
      <c r="AF21" s="1427"/>
      <c r="DF21" s="1427"/>
      <c r="DG21" s="1427"/>
      <c r="DH21" s="1427"/>
      <c r="DI21" s="1427"/>
      <c r="DJ21" s="1427"/>
      <c r="DK21" s="1427"/>
      <c r="DL21" s="1427"/>
      <c r="DM21" s="1427"/>
      <c r="DN21" s="1427"/>
      <c r="DO21" s="1427"/>
      <c r="DP21" s="1427"/>
      <c r="DQ21" s="1427"/>
      <c r="DR21" s="1427"/>
      <c r="DS21" s="1427"/>
      <c r="DT21" s="1427"/>
      <c r="DU21" s="1427"/>
      <c r="DV21" s="1427"/>
      <c r="DW21" s="1427"/>
      <c r="DX21" s="1427"/>
      <c r="DY21" s="1427"/>
      <c r="DZ21" s="1427"/>
      <c r="EA21" s="1427"/>
      <c r="EB21" s="1427"/>
      <c r="EC21" s="1427"/>
      <c r="ED21" s="1427"/>
      <c r="EE21" s="1427"/>
    </row>
    <row r="22" spans="1:135" s="1960" customFormat="1" ht="25.5" customHeight="1">
      <c r="A22" s="1958"/>
      <c r="B22" s="1961" t="s">
        <v>1529</v>
      </c>
      <c r="C22" s="1975"/>
      <c r="D22" s="1962"/>
      <c r="E22" s="1962"/>
      <c r="F22" s="1962"/>
      <c r="G22" s="1962"/>
      <c r="H22" s="1962"/>
      <c r="I22" s="1962"/>
      <c r="J22" s="1962"/>
      <c r="K22" s="1962"/>
      <c r="L22" s="1962"/>
      <c r="M22" s="1962"/>
      <c r="N22" s="1962"/>
      <c r="O22" s="1962"/>
      <c r="P22" s="1962"/>
      <c r="Q22" s="1962"/>
      <c r="R22" s="1962"/>
      <c r="S22" s="1962"/>
      <c r="T22" s="1962"/>
      <c r="U22" s="1962"/>
      <c r="V22" s="1962"/>
      <c r="W22" s="1962"/>
      <c r="X22" s="1962"/>
      <c r="Y22" s="1962"/>
      <c r="Z22" s="1962"/>
      <c r="AA22" s="1962"/>
      <c r="AB22" s="1963"/>
      <c r="AC22" s="1959"/>
      <c r="AD22" s="1959"/>
      <c r="AE22" s="1959"/>
      <c r="AF22" s="1959"/>
      <c r="DF22" s="1959"/>
      <c r="DG22" s="1959"/>
      <c r="DH22" s="1959"/>
      <c r="DI22" s="1959"/>
      <c r="DJ22" s="1959"/>
      <c r="DK22" s="1959"/>
      <c r="DL22" s="1959"/>
      <c r="DM22" s="1959"/>
      <c r="DN22" s="1959"/>
      <c r="DO22" s="1959"/>
      <c r="DP22" s="1959"/>
      <c r="DQ22" s="1959"/>
      <c r="DR22" s="1959"/>
      <c r="DS22" s="1959"/>
      <c r="DT22" s="1959"/>
      <c r="DU22" s="1959"/>
      <c r="DV22" s="1959"/>
      <c r="DW22" s="1959"/>
      <c r="DX22" s="1959"/>
      <c r="DY22" s="1959"/>
      <c r="DZ22" s="1959"/>
      <c r="EA22" s="1959"/>
      <c r="EB22" s="1959"/>
      <c r="EC22" s="1959"/>
      <c r="ED22" s="1959"/>
      <c r="EE22" s="1959"/>
    </row>
    <row r="23" spans="1:135" s="94" customFormat="1">
      <c r="A23" s="308"/>
      <c r="B23" s="4163" t="s">
        <v>1502</v>
      </c>
      <c r="C23" s="3398" t="s">
        <v>756</v>
      </c>
      <c r="D23" s="823"/>
      <c r="E23" s="518">
        <f>D24</f>
        <v>0</v>
      </c>
      <c r="F23" s="518">
        <f t="shared" ref="F23:AB23" si="1">E24</f>
        <v>0</v>
      </c>
      <c r="G23" s="518">
        <f>E24</f>
        <v>0</v>
      </c>
      <c r="H23" s="1453">
        <f>F24</f>
        <v>0</v>
      </c>
      <c r="I23" s="517">
        <f t="shared" si="1"/>
        <v>0</v>
      </c>
      <c r="J23" s="518">
        <f t="shared" si="1"/>
        <v>160.62710263388732</v>
      </c>
      <c r="K23" s="518">
        <f t="shared" si="1"/>
        <v>281.09742960930282</v>
      </c>
      <c r="L23" s="518">
        <f t="shared" si="1"/>
        <v>371.45017484086441</v>
      </c>
      <c r="M23" s="519">
        <f t="shared" si="1"/>
        <v>439.21473376453559</v>
      </c>
      <c r="N23" s="571">
        <f t="shared" si="1"/>
        <v>490.03815295728901</v>
      </c>
      <c r="O23" s="518">
        <f t="shared" si="1"/>
        <v>528.60016467603907</v>
      </c>
      <c r="P23" s="518">
        <f t="shared" si="1"/>
        <v>557.52167346510157</v>
      </c>
      <c r="Q23" s="518">
        <f t="shared" si="1"/>
        <v>579.21280505689845</v>
      </c>
      <c r="R23" s="518">
        <f t="shared" si="1"/>
        <v>595.4811537507461</v>
      </c>
      <c r="S23" s="518">
        <f t="shared" si="1"/>
        <v>607.68241527113184</v>
      </c>
      <c r="T23" s="518">
        <f t="shared" si="1"/>
        <v>616.83336141142115</v>
      </c>
      <c r="U23" s="518">
        <f t="shared" si="1"/>
        <v>623.69657101663813</v>
      </c>
      <c r="V23" s="518">
        <f t="shared" si="1"/>
        <v>628.84397822055087</v>
      </c>
      <c r="W23" s="518">
        <f t="shared" si="1"/>
        <v>632.70453362348542</v>
      </c>
      <c r="X23" s="518">
        <f t="shared" si="1"/>
        <v>635.59995017568633</v>
      </c>
      <c r="Y23" s="518">
        <f t="shared" si="1"/>
        <v>637.77151258983702</v>
      </c>
      <c r="Z23" s="518">
        <f t="shared" si="1"/>
        <v>639.40018440045003</v>
      </c>
      <c r="AA23" s="518">
        <f t="shared" si="1"/>
        <v>640.62168825840979</v>
      </c>
      <c r="AB23" s="519">
        <f t="shared" si="1"/>
        <v>641.53781615187961</v>
      </c>
      <c r="AC23" s="1427"/>
      <c r="AD23" s="1427"/>
      <c r="AE23" s="1427"/>
      <c r="AF23" s="1427"/>
    </row>
    <row r="24" spans="1:135" s="94" customFormat="1">
      <c r="A24" s="308"/>
      <c r="B24" s="4164"/>
      <c r="C24" s="3398" t="s">
        <v>757</v>
      </c>
      <c r="D24" s="823"/>
      <c r="E24" s="780"/>
      <c r="F24" s="780"/>
      <c r="G24" s="780"/>
      <c r="H24" s="702">
        <v>0</v>
      </c>
      <c r="I24" s="514">
        <v>160.62710263388732</v>
      </c>
      <c r="J24" s="513">
        <v>281.09742960930282</v>
      </c>
      <c r="K24" s="513">
        <v>371.45017484086441</v>
      </c>
      <c r="L24" s="513">
        <v>439.21473376453559</v>
      </c>
      <c r="M24" s="515">
        <v>490.03815295728901</v>
      </c>
      <c r="N24" s="467">
        <v>528.60016467603907</v>
      </c>
      <c r="O24" s="467">
        <v>557.52167346510157</v>
      </c>
      <c r="P24" s="467">
        <v>579.21280505689845</v>
      </c>
      <c r="Q24" s="467">
        <v>595.4811537507461</v>
      </c>
      <c r="R24" s="467">
        <v>607.68241527113184</v>
      </c>
      <c r="S24" s="467">
        <v>616.83336141142115</v>
      </c>
      <c r="T24" s="467">
        <v>623.69657101663813</v>
      </c>
      <c r="U24" s="467">
        <v>628.84397822055087</v>
      </c>
      <c r="V24" s="467">
        <v>632.70453362348542</v>
      </c>
      <c r="W24" s="467">
        <v>635.59995017568633</v>
      </c>
      <c r="X24" s="467">
        <v>637.77151258983702</v>
      </c>
      <c r="Y24" s="467">
        <v>639.40018440045003</v>
      </c>
      <c r="Z24" s="467">
        <v>640.62168825840979</v>
      </c>
      <c r="AA24" s="513">
        <v>641.53781615187961</v>
      </c>
      <c r="AB24" s="515">
        <v>642.22491207198198</v>
      </c>
      <c r="AC24" s="1427"/>
      <c r="AD24" s="1427"/>
      <c r="AE24" s="1427"/>
      <c r="AF24" s="1427"/>
    </row>
    <row r="25" spans="1:135" s="94" customFormat="1">
      <c r="A25" s="308"/>
      <c r="B25" s="4164"/>
      <c r="C25" s="3398" t="s">
        <v>68</v>
      </c>
      <c r="D25" s="517">
        <f t="shared" ref="D25:AB25" si="2">IF(ISERROR(AVERAGE(D23:D24)),0,AVERAGE(D23:D24))</f>
        <v>0</v>
      </c>
      <c r="E25" s="518">
        <f t="shared" si="2"/>
        <v>0</v>
      </c>
      <c r="F25" s="518">
        <f t="shared" si="2"/>
        <v>0</v>
      </c>
      <c r="G25" s="518">
        <f t="shared" si="2"/>
        <v>0</v>
      </c>
      <c r="H25" s="1453">
        <f t="shared" si="2"/>
        <v>0</v>
      </c>
      <c r="I25" s="517">
        <f t="shared" si="2"/>
        <v>80.313551316943659</v>
      </c>
      <c r="J25" s="518">
        <f t="shared" si="2"/>
        <v>220.86226612159507</v>
      </c>
      <c r="K25" s="518">
        <f t="shared" si="2"/>
        <v>326.27380222508361</v>
      </c>
      <c r="L25" s="518">
        <f t="shared" si="2"/>
        <v>405.3324543027</v>
      </c>
      <c r="M25" s="519">
        <f t="shared" si="2"/>
        <v>464.62644336091228</v>
      </c>
      <c r="N25" s="571">
        <f t="shared" si="2"/>
        <v>509.31915881666407</v>
      </c>
      <c r="O25" s="518">
        <f t="shared" si="2"/>
        <v>543.06091907057032</v>
      </c>
      <c r="P25" s="518">
        <f t="shared" si="2"/>
        <v>568.36723926100001</v>
      </c>
      <c r="Q25" s="518">
        <f t="shared" si="2"/>
        <v>587.34697940382227</v>
      </c>
      <c r="R25" s="518">
        <f t="shared" si="2"/>
        <v>601.58178451093897</v>
      </c>
      <c r="S25" s="518">
        <f t="shared" si="2"/>
        <v>612.2578883412765</v>
      </c>
      <c r="T25" s="518">
        <f t="shared" si="2"/>
        <v>620.26496621402964</v>
      </c>
      <c r="U25" s="518">
        <f t="shared" si="2"/>
        <v>626.2702746185945</v>
      </c>
      <c r="V25" s="518">
        <f t="shared" si="2"/>
        <v>630.77425592201814</v>
      </c>
      <c r="W25" s="518">
        <f t="shared" si="2"/>
        <v>634.15224189958587</v>
      </c>
      <c r="X25" s="518">
        <f t="shared" si="2"/>
        <v>636.68573138276167</v>
      </c>
      <c r="Y25" s="518">
        <f t="shared" si="2"/>
        <v>638.58584849514352</v>
      </c>
      <c r="Z25" s="518">
        <f t="shared" si="2"/>
        <v>640.01093632942991</v>
      </c>
      <c r="AA25" s="518">
        <f t="shared" si="2"/>
        <v>641.0797522051447</v>
      </c>
      <c r="AB25" s="519">
        <f t="shared" si="2"/>
        <v>641.88136411193079</v>
      </c>
      <c r="AC25" s="1427"/>
      <c r="AD25" s="1427"/>
      <c r="AE25" s="1427"/>
      <c r="AF25" s="1427"/>
    </row>
    <row r="26" spans="1:135" s="94" customFormat="1">
      <c r="A26" s="308"/>
      <c r="B26" s="4164"/>
      <c r="C26" s="3398" t="s">
        <v>69</v>
      </c>
      <c r="D26" s="823"/>
      <c r="E26" s="780"/>
      <c r="F26" s="780"/>
      <c r="G26" s="780"/>
      <c r="H26" s="702">
        <f>+H24-H23+H27</f>
        <v>0</v>
      </c>
      <c r="I26" s="514">
        <f t="shared" ref="I26:AB26" si="3">+I24-I23+I27</f>
        <v>160.62710263388732</v>
      </c>
      <c r="J26" s="513">
        <f t="shared" si="3"/>
        <v>120.4703269754155</v>
      </c>
      <c r="K26" s="513">
        <f t="shared" si="3"/>
        <v>90.352745231561585</v>
      </c>
      <c r="L26" s="513">
        <f t="shared" si="3"/>
        <v>67.764558923671188</v>
      </c>
      <c r="M26" s="515">
        <f t="shared" si="3"/>
        <v>50.82341919275342</v>
      </c>
      <c r="N26" s="467">
        <f t="shared" si="3"/>
        <v>38.562011718750057</v>
      </c>
      <c r="O26" s="513">
        <f t="shared" si="3"/>
        <v>28.9215087890625</v>
      </c>
      <c r="P26" s="513">
        <f t="shared" si="3"/>
        <v>21.691131591796875</v>
      </c>
      <c r="Q26" s="513">
        <f t="shared" si="3"/>
        <v>16.268348693847656</v>
      </c>
      <c r="R26" s="513">
        <f t="shared" si="3"/>
        <v>12.201261520385742</v>
      </c>
      <c r="S26" s="513">
        <f t="shared" si="3"/>
        <v>9.1509461402893066</v>
      </c>
      <c r="T26" s="513">
        <f t="shared" si="3"/>
        <v>6.86320960521698</v>
      </c>
      <c r="U26" s="513">
        <f t="shared" si="3"/>
        <v>5.147407203912735</v>
      </c>
      <c r="V26" s="513">
        <f t="shared" si="3"/>
        <v>3.8605554029345512</v>
      </c>
      <c r="W26" s="513">
        <f t="shared" si="3"/>
        <v>2.8954165522009134</v>
      </c>
      <c r="X26" s="513">
        <f t="shared" si="3"/>
        <v>2.1715624141506851</v>
      </c>
      <c r="Y26" s="513">
        <f t="shared" si="3"/>
        <v>1.6286718106130138</v>
      </c>
      <c r="Z26" s="513">
        <f t="shared" si="3"/>
        <v>1.2215038579597604</v>
      </c>
      <c r="AA26" s="513">
        <f t="shared" si="3"/>
        <v>0.91612789346982026</v>
      </c>
      <c r="AB26" s="515">
        <f t="shared" si="3"/>
        <v>0.6870959201023652</v>
      </c>
      <c r="AC26" s="1427"/>
      <c r="AD26" s="1427"/>
      <c r="AE26" s="1427"/>
      <c r="AF26" s="1427"/>
    </row>
    <row r="27" spans="1:135" s="94" customFormat="1" ht="13.5" thickBot="1">
      <c r="A27" s="308"/>
      <c r="B27" s="4165"/>
      <c r="C27" s="1974" t="s">
        <v>58</v>
      </c>
      <c r="D27" s="885"/>
      <c r="E27" s="886"/>
      <c r="F27" s="886"/>
      <c r="G27" s="886"/>
      <c r="H27" s="1034">
        <v>0</v>
      </c>
      <c r="I27" s="885">
        <v>0</v>
      </c>
      <c r="J27" s="886">
        <v>0</v>
      </c>
      <c r="K27" s="886">
        <v>0</v>
      </c>
      <c r="L27" s="886">
        <v>0</v>
      </c>
      <c r="M27" s="887">
        <v>0</v>
      </c>
      <c r="N27" s="1790">
        <v>0</v>
      </c>
      <c r="O27" s="465">
        <v>0</v>
      </c>
      <c r="P27" s="465">
        <v>0</v>
      </c>
      <c r="Q27" s="465">
        <v>0</v>
      </c>
      <c r="R27" s="465">
        <v>0</v>
      </c>
      <c r="S27" s="465">
        <v>0</v>
      </c>
      <c r="T27" s="465">
        <v>0</v>
      </c>
      <c r="U27" s="465">
        <v>0</v>
      </c>
      <c r="V27" s="465">
        <v>0</v>
      </c>
      <c r="W27" s="465">
        <v>0</v>
      </c>
      <c r="X27" s="465">
        <v>0</v>
      </c>
      <c r="Y27" s="465">
        <v>0</v>
      </c>
      <c r="Z27" s="465">
        <v>0</v>
      </c>
      <c r="AA27" s="465">
        <v>0</v>
      </c>
      <c r="AB27" s="643">
        <v>0</v>
      </c>
      <c r="AC27" s="1427"/>
      <c r="AD27" s="1427"/>
      <c r="AE27" s="1427"/>
      <c r="AF27" s="1427"/>
    </row>
    <row r="28" spans="1:135" s="94" customFormat="1">
      <c r="A28" s="308"/>
      <c r="B28" s="4166" t="s">
        <v>63</v>
      </c>
      <c r="C28" s="1964" t="s">
        <v>756</v>
      </c>
      <c r="D28" s="533">
        <f>+D23</f>
        <v>0</v>
      </c>
      <c r="E28" s="534">
        <f t="shared" ref="E28:AB28" si="4">+E23</f>
        <v>0</v>
      </c>
      <c r="F28" s="534">
        <f t="shared" si="4"/>
        <v>0</v>
      </c>
      <c r="G28" s="534">
        <f t="shared" si="4"/>
        <v>0</v>
      </c>
      <c r="H28" s="1464">
        <f t="shared" si="4"/>
        <v>0</v>
      </c>
      <c r="I28" s="533">
        <f t="shared" si="4"/>
        <v>0</v>
      </c>
      <c r="J28" s="534">
        <f t="shared" si="4"/>
        <v>160.62710263388732</v>
      </c>
      <c r="K28" s="534">
        <f t="shared" si="4"/>
        <v>281.09742960930282</v>
      </c>
      <c r="L28" s="534">
        <f t="shared" si="4"/>
        <v>371.45017484086441</v>
      </c>
      <c r="M28" s="479">
        <f t="shared" si="4"/>
        <v>439.21473376453559</v>
      </c>
      <c r="N28" s="1286">
        <f t="shared" si="4"/>
        <v>490.03815295728901</v>
      </c>
      <c r="O28" s="534">
        <f t="shared" si="4"/>
        <v>528.60016467603907</v>
      </c>
      <c r="P28" s="534">
        <f t="shared" si="4"/>
        <v>557.52167346510157</v>
      </c>
      <c r="Q28" s="534">
        <f t="shared" si="4"/>
        <v>579.21280505689845</v>
      </c>
      <c r="R28" s="534">
        <f t="shared" si="4"/>
        <v>595.4811537507461</v>
      </c>
      <c r="S28" s="534">
        <f t="shared" si="4"/>
        <v>607.68241527113184</v>
      </c>
      <c r="T28" s="534">
        <f t="shared" si="4"/>
        <v>616.83336141142115</v>
      </c>
      <c r="U28" s="534">
        <f t="shared" si="4"/>
        <v>623.69657101663813</v>
      </c>
      <c r="V28" s="534">
        <f t="shared" si="4"/>
        <v>628.84397822055087</v>
      </c>
      <c r="W28" s="534">
        <f t="shared" si="4"/>
        <v>632.70453362348542</v>
      </c>
      <c r="X28" s="534">
        <f t="shared" si="4"/>
        <v>635.59995017568633</v>
      </c>
      <c r="Y28" s="534">
        <f t="shared" si="4"/>
        <v>637.77151258983702</v>
      </c>
      <c r="Z28" s="534">
        <f t="shared" si="4"/>
        <v>639.40018440045003</v>
      </c>
      <c r="AA28" s="534">
        <f t="shared" si="4"/>
        <v>640.62168825840979</v>
      </c>
      <c r="AB28" s="1966">
        <f t="shared" si="4"/>
        <v>641.53781615187961</v>
      </c>
      <c r="AC28" s="1427"/>
      <c r="AD28" s="1427"/>
      <c r="AE28" s="1427"/>
      <c r="AF28" s="1427"/>
    </row>
    <row r="29" spans="1:135" s="94" customFormat="1">
      <c r="A29" s="308"/>
      <c r="B29" s="4167"/>
      <c r="C29" s="1964" t="s">
        <v>757</v>
      </c>
      <c r="D29" s="533">
        <f t="shared" ref="D29:AB32" si="5">+D24</f>
        <v>0</v>
      </c>
      <c r="E29" s="534">
        <f t="shared" si="5"/>
        <v>0</v>
      </c>
      <c r="F29" s="534">
        <f t="shared" si="5"/>
        <v>0</v>
      </c>
      <c r="G29" s="534">
        <f t="shared" si="5"/>
        <v>0</v>
      </c>
      <c r="H29" s="1464">
        <f t="shared" si="5"/>
        <v>0</v>
      </c>
      <c r="I29" s="533">
        <f t="shared" si="5"/>
        <v>160.62710263388732</v>
      </c>
      <c r="J29" s="534">
        <f t="shared" si="5"/>
        <v>281.09742960930282</v>
      </c>
      <c r="K29" s="534">
        <f t="shared" si="5"/>
        <v>371.45017484086441</v>
      </c>
      <c r="L29" s="534">
        <f t="shared" si="5"/>
        <v>439.21473376453559</v>
      </c>
      <c r="M29" s="479">
        <f t="shared" si="5"/>
        <v>490.03815295728901</v>
      </c>
      <c r="N29" s="1286">
        <f t="shared" si="5"/>
        <v>528.60016467603907</v>
      </c>
      <c r="O29" s="534">
        <f t="shared" si="5"/>
        <v>557.52167346510157</v>
      </c>
      <c r="P29" s="534">
        <f t="shared" si="5"/>
        <v>579.21280505689845</v>
      </c>
      <c r="Q29" s="534">
        <f t="shared" si="5"/>
        <v>595.4811537507461</v>
      </c>
      <c r="R29" s="534">
        <f t="shared" si="5"/>
        <v>607.68241527113184</v>
      </c>
      <c r="S29" s="534">
        <f t="shared" si="5"/>
        <v>616.83336141142115</v>
      </c>
      <c r="T29" s="534">
        <f t="shared" si="5"/>
        <v>623.69657101663813</v>
      </c>
      <c r="U29" s="534">
        <f t="shared" si="5"/>
        <v>628.84397822055087</v>
      </c>
      <c r="V29" s="534">
        <f t="shared" si="5"/>
        <v>632.70453362348542</v>
      </c>
      <c r="W29" s="534">
        <f t="shared" si="5"/>
        <v>635.59995017568633</v>
      </c>
      <c r="X29" s="534">
        <f t="shared" si="5"/>
        <v>637.77151258983702</v>
      </c>
      <c r="Y29" s="534">
        <f t="shared" si="5"/>
        <v>639.40018440045003</v>
      </c>
      <c r="Z29" s="534">
        <f t="shared" si="5"/>
        <v>640.62168825840979</v>
      </c>
      <c r="AA29" s="534">
        <f t="shared" si="5"/>
        <v>641.53781615187961</v>
      </c>
      <c r="AB29" s="1966">
        <f t="shared" si="5"/>
        <v>642.22491207198198</v>
      </c>
      <c r="AC29" s="1427"/>
      <c r="AD29" s="1427"/>
      <c r="AE29" s="1427"/>
      <c r="AF29" s="1427"/>
    </row>
    <row r="30" spans="1:135" s="94" customFormat="1">
      <c r="A30" s="308"/>
      <c r="B30" s="4167"/>
      <c r="C30" s="1965" t="s">
        <v>68</v>
      </c>
      <c r="D30" s="533">
        <f t="shared" si="5"/>
        <v>0</v>
      </c>
      <c r="E30" s="534">
        <f t="shared" si="5"/>
        <v>0</v>
      </c>
      <c r="F30" s="534">
        <f t="shared" si="5"/>
        <v>0</v>
      </c>
      <c r="G30" s="534">
        <f t="shared" si="5"/>
        <v>0</v>
      </c>
      <c r="H30" s="1464">
        <f t="shared" si="5"/>
        <v>0</v>
      </c>
      <c r="I30" s="533">
        <f t="shared" si="5"/>
        <v>80.313551316943659</v>
      </c>
      <c r="J30" s="534">
        <f t="shared" si="5"/>
        <v>220.86226612159507</v>
      </c>
      <c r="K30" s="534">
        <f t="shared" si="5"/>
        <v>326.27380222508361</v>
      </c>
      <c r="L30" s="534">
        <f t="shared" si="5"/>
        <v>405.3324543027</v>
      </c>
      <c r="M30" s="479">
        <f t="shared" si="5"/>
        <v>464.62644336091228</v>
      </c>
      <c r="N30" s="1286">
        <f t="shared" si="5"/>
        <v>509.31915881666407</v>
      </c>
      <c r="O30" s="534">
        <f t="shared" si="5"/>
        <v>543.06091907057032</v>
      </c>
      <c r="P30" s="534">
        <f t="shared" si="5"/>
        <v>568.36723926100001</v>
      </c>
      <c r="Q30" s="534">
        <f t="shared" si="5"/>
        <v>587.34697940382227</v>
      </c>
      <c r="R30" s="534">
        <f t="shared" si="5"/>
        <v>601.58178451093897</v>
      </c>
      <c r="S30" s="534">
        <f t="shared" si="5"/>
        <v>612.2578883412765</v>
      </c>
      <c r="T30" s="534">
        <f t="shared" si="5"/>
        <v>620.26496621402964</v>
      </c>
      <c r="U30" s="534">
        <f t="shared" si="5"/>
        <v>626.2702746185945</v>
      </c>
      <c r="V30" s="534">
        <f t="shared" si="5"/>
        <v>630.77425592201814</v>
      </c>
      <c r="W30" s="534">
        <f t="shared" si="5"/>
        <v>634.15224189958587</v>
      </c>
      <c r="X30" s="534">
        <f t="shared" si="5"/>
        <v>636.68573138276167</v>
      </c>
      <c r="Y30" s="534">
        <f t="shared" si="5"/>
        <v>638.58584849514352</v>
      </c>
      <c r="Z30" s="534">
        <f t="shared" si="5"/>
        <v>640.01093632942991</v>
      </c>
      <c r="AA30" s="534">
        <f t="shared" si="5"/>
        <v>641.0797522051447</v>
      </c>
      <c r="AB30" s="1966">
        <f t="shared" si="5"/>
        <v>641.88136411193079</v>
      </c>
      <c r="AC30" s="1427"/>
      <c r="AD30" s="1427"/>
      <c r="AE30" s="1427"/>
      <c r="AF30" s="1427"/>
    </row>
    <row r="31" spans="1:135" s="94" customFormat="1">
      <c r="A31" s="308"/>
      <c r="B31" s="4167"/>
      <c r="C31" s="1965" t="s">
        <v>69</v>
      </c>
      <c r="D31" s="533">
        <f t="shared" si="5"/>
        <v>0</v>
      </c>
      <c r="E31" s="534">
        <f t="shared" si="5"/>
        <v>0</v>
      </c>
      <c r="F31" s="534">
        <f t="shared" si="5"/>
        <v>0</v>
      </c>
      <c r="G31" s="534">
        <f t="shared" si="5"/>
        <v>0</v>
      </c>
      <c r="H31" s="1464">
        <f t="shared" si="5"/>
        <v>0</v>
      </c>
      <c r="I31" s="533">
        <f t="shared" si="5"/>
        <v>160.62710263388732</v>
      </c>
      <c r="J31" s="534">
        <f t="shared" si="5"/>
        <v>120.4703269754155</v>
      </c>
      <c r="K31" s="534">
        <f t="shared" si="5"/>
        <v>90.352745231561585</v>
      </c>
      <c r="L31" s="534">
        <f t="shared" si="5"/>
        <v>67.764558923671188</v>
      </c>
      <c r="M31" s="479">
        <f t="shared" si="5"/>
        <v>50.82341919275342</v>
      </c>
      <c r="N31" s="1286">
        <f t="shared" si="5"/>
        <v>38.562011718750057</v>
      </c>
      <c r="O31" s="534">
        <f t="shared" si="5"/>
        <v>28.9215087890625</v>
      </c>
      <c r="P31" s="534">
        <f t="shared" si="5"/>
        <v>21.691131591796875</v>
      </c>
      <c r="Q31" s="534">
        <f t="shared" si="5"/>
        <v>16.268348693847656</v>
      </c>
      <c r="R31" s="534">
        <f t="shared" si="5"/>
        <v>12.201261520385742</v>
      </c>
      <c r="S31" s="534">
        <f t="shared" si="5"/>
        <v>9.1509461402893066</v>
      </c>
      <c r="T31" s="534">
        <f t="shared" si="5"/>
        <v>6.86320960521698</v>
      </c>
      <c r="U31" s="534">
        <f t="shared" si="5"/>
        <v>5.147407203912735</v>
      </c>
      <c r="V31" s="534">
        <f t="shared" si="5"/>
        <v>3.8605554029345512</v>
      </c>
      <c r="W31" s="534">
        <f t="shared" si="5"/>
        <v>2.8954165522009134</v>
      </c>
      <c r="X31" s="534">
        <f t="shared" si="5"/>
        <v>2.1715624141506851</v>
      </c>
      <c r="Y31" s="534">
        <f t="shared" si="5"/>
        <v>1.6286718106130138</v>
      </c>
      <c r="Z31" s="534">
        <f t="shared" si="5"/>
        <v>1.2215038579597604</v>
      </c>
      <c r="AA31" s="534">
        <f t="shared" si="5"/>
        <v>0.91612789346982026</v>
      </c>
      <c r="AB31" s="1966">
        <f t="shared" si="5"/>
        <v>0.6870959201023652</v>
      </c>
      <c r="AC31" s="1427"/>
      <c r="AD31" s="1427"/>
      <c r="AE31" s="1427"/>
      <c r="AF31" s="1427"/>
    </row>
    <row r="32" spans="1:135" s="94" customFormat="1" ht="13.5" thickBot="1">
      <c r="A32" s="308"/>
      <c r="B32" s="4168"/>
      <c r="C32" s="1967" t="s">
        <v>58</v>
      </c>
      <c r="D32" s="533">
        <f t="shared" si="5"/>
        <v>0</v>
      </c>
      <c r="E32" s="1969">
        <f t="shared" si="5"/>
        <v>0</v>
      </c>
      <c r="F32" s="1969">
        <f t="shared" si="5"/>
        <v>0</v>
      </c>
      <c r="G32" s="1969">
        <f t="shared" si="5"/>
        <v>0</v>
      </c>
      <c r="H32" s="1970">
        <f t="shared" si="5"/>
        <v>0</v>
      </c>
      <c r="I32" s="1968">
        <f t="shared" si="5"/>
        <v>0</v>
      </c>
      <c r="J32" s="1969">
        <f t="shared" si="5"/>
        <v>0</v>
      </c>
      <c r="K32" s="1969">
        <f t="shared" si="5"/>
        <v>0</v>
      </c>
      <c r="L32" s="1969">
        <f t="shared" si="5"/>
        <v>0</v>
      </c>
      <c r="M32" s="1971">
        <f t="shared" si="5"/>
        <v>0</v>
      </c>
      <c r="N32" s="1972">
        <f t="shared" si="5"/>
        <v>0</v>
      </c>
      <c r="O32" s="1969">
        <f t="shared" si="5"/>
        <v>0</v>
      </c>
      <c r="P32" s="1969">
        <f t="shared" si="5"/>
        <v>0</v>
      </c>
      <c r="Q32" s="1969">
        <f t="shared" si="5"/>
        <v>0</v>
      </c>
      <c r="R32" s="1969">
        <f t="shared" si="5"/>
        <v>0</v>
      </c>
      <c r="S32" s="1969">
        <f t="shared" si="5"/>
        <v>0</v>
      </c>
      <c r="T32" s="1969">
        <f t="shared" si="5"/>
        <v>0</v>
      </c>
      <c r="U32" s="1969">
        <f t="shared" si="5"/>
        <v>0</v>
      </c>
      <c r="V32" s="1969">
        <f t="shared" si="5"/>
        <v>0</v>
      </c>
      <c r="W32" s="1969">
        <f t="shared" si="5"/>
        <v>0</v>
      </c>
      <c r="X32" s="1969">
        <f t="shared" si="5"/>
        <v>0</v>
      </c>
      <c r="Y32" s="1969">
        <f t="shared" si="5"/>
        <v>0</v>
      </c>
      <c r="Z32" s="1969">
        <f t="shared" si="5"/>
        <v>0</v>
      </c>
      <c r="AA32" s="1969">
        <f t="shared" si="5"/>
        <v>0</v>
      </c>
      <c r="AB32" s="1973">
        <f t="shared" si="5"/>
        <v>0</v>
      </c>
      <c r="AC32" s="1427"/>
      <c r="AD32" s="1427"/>
      <c r="AE32" s="1427"/>
      <c r="AF32" s="1427"/>
    </row>
    <row r="33" spans="1:135" s="1960" customFormat="1" ht="25.5" customHeight="1">
      <c r="A33" s="1958"/>
      <c r="B33" s="1961" t="s">
        <v>1532</v>
      </c>
      <c r="C33" s="1975"/>
      <c r="D33" s="1962"/>
      <c r="E33" s="1962"/>
      <c r="F33" s="1962"/>
      <c r="G33" s="1962"/>
      <c r="H33" s="1962"/>
      <c r="I33" s="1962"/>
      <c r="J33" s="1962"/>
      <c r="K33" s="1962"/>
      <c r="L33" s="1962"/>
      <c r="M33" s="1962"/>
      <c r="N33" s="1962"/>
      <c r="O33" s="1962"/>
      <c r="P33" s="1962"/>
      <c r="Q33" s="1962"/>
      <c r="R33" s="1962"/>
      <c r="S33" s="1962"/>
      <c r="T33" s="1962"/>
      <c r="U33" s="1962"/>
      <c r="V33" s="1962"/>
      <c r="W33" s="1962"/>
      <c r="X33" s="1962"/>
      <c r="Y33" s="1962"/>
      <c r="Z33" s="1962"/>
      <c r="AA33" s="1962"/>
      <c r="AB33" s="1963"/>
      <c r="AC33" s="1959"/>
      <c r="AD33" s="1959"/>
      <c r="AE33" s="1959"/>
      <c r="AF33" s="1959"/>
      <c r="DF33" s="1959"/>
      <c r="DG33" s="1959"/>
      <c r="DH33" s="1959"/>
      <c r="DI33" s="1959"/>
      <c r="DJ33" s="1959"/>
      <c r="DK33" s="1959"/>
      <c r="DL33" s="1959"/>
      <c r="DM33" s="1959"/>
      <c r="DN33" s="1959"/>
      <c r="DO33" s="1959"/>
      <c r="DP33" s="1959"/>
      <c r="DQ33" s="1959"/>
      <c r="DR33" s="1959"/>
      <c r="DS33" s="1959"/>
      <c r="DT33" s="1959"/>
      <c r="DU33" s="1959"/>
      <c r="DV33" s="1959"/>
      <c r="DW33" s="1959"/>
      <c r="DX33" s="1959"/>
      <c r="DY33" s="1959"/>
      <c r="DZ33" s="1959"/>
      <c r="EA33" s="1959"/>
      <c r="EB33" s="1959"/>
      <c r="EC33" s="1959"/>
      <c r="ED33" s="1959"/>
      <c r="EE33" s="1959"/>
    </row>
    <row r="34" spans="1:135" s="94" customFormat="1">
      <c r="A34" s="308"/>
      <c r="B34" s="4163" t="s">
        <v>1502</v>
      </c>
      <c r="C34" s="1954" t="s">
        <v>756</v>
      </c>
      <c r="D34" s="1952"/>
      <c r="E34" s="1955">
        <f>D35</f>
        <v>0</v>
      </c>
      <c r="F34" s="1955">
        <f t="shared" ref="F34" si="6">E35</f>
        <v>0</v>
      </c>
      <c r="G34" s="1955">
        <f>E35</f>
        <v>0</v>
      </c>
      <c r="H34" s="1956">
        <f>F35</f>
        <v>0</v>
      </c>
      <c r="I34" s="517">
        <f t="shared" ref="I34:AB34" si="7">H35</f>
        <v>0</v>
      </c>
      <c r="J34" s="518">
        <f t="shared" si="7"/>
        <v>1.8728973661126815</v>
      </c>
      <c r="K34" s="518">
        <f t="shared" si="7"/>
        <v>3.2775703906971927</v>
      </c>
      <c r="L34" s="518">
        <f t="shared" si="7"/>
        <v>4.3310751591355796</v>
      </c>
      <c r="M34" s="519">
        <f t="shared" si="7"/>
        <v>5.1212037354643627</v>
      </c>
      <c r="N34" s="571">
        <f t="shared" si="7"/>
        <v>5.7138001677109571</v>
      </c>
      <c r="O34" s="518">
        <f t="shared" si="7"/>
        <v>5.7138001677109571</v>
      </c>
      <c r="P34" s="518">
        <f t="shared" si="7"/>
        <v>5.7138001677109571</v>
      </c>
      <c r="Q34" s="518">
        <f t="shared" si="7"/>
        <v>5.7138001677109571</v>
      </c>
      <c r="R34" s="518">
        <f t="shared" si="7"/>
        <v>5.7138001677109571</v>
      </c>
      <c r="S34" s="518">
        <f t="shared" si="7"/>
        <v>5.7138001677109571</v>
      </c>
      <c r="T34" s="518">
        <f t="shared" si="7"/>
        <v>5.7138001677109571</v>
      </c>
      <c r="U34" s="518">
        <f t="shared" si="7"/>
        <v>5.7138001677109571</v>
      </c>
      <c r="V34" s="518">
        <f t="shared" si="7"/>
        <v>5.7138001677109571</v>
      </c>
      <c r="W34" s="518">
        <f t="shared" si="7"/>
        <v>5.7138001677109571</v>
      </c>
      <c r="X34" s="518">
        <f t="shared" si="7"/>
        <v>5.7138001677109571</v>
      </c>
      <c r="Y34" s="518">
        <f t="shared" si="7"/>
        <v>5.7138001677109571</v>
      </c>
      <c r="Z34" s="518">
        <f t="shared" si="7"/>
        <v>5.7138001677109571</v>
      </c>
      <c r="AA34" s="518">
        <f t="shared" si="7"/>
        <v>5.7138001677109571</v>
      </c>
      <c r="AB34" s="519">
        <f t="shared" si="7"/>
        <v>5.7138001677109571</v>
      </c>
      <c r="AC34" s="1427"/>
      <c r="AD34" s="1427"/>
      <c r="AE34" s="1427"/>
      <c r="AF34" s="1427"/>
    </row>
    <row r="35" spans="1:135" s="94" customFormat="1">
      <c r="A35" s="308"/>
      <c r="B35" s="4164"/>
      <c r="C35" s="825" t="s">
        <v>757</v>
      </c>
      <c r="D35" s="823"/>
      <c r="E35" s="780"/>
      <c r="F35" s="780"/>
      <c r="G35" s="780"/>
      <c r="H35" s="515">
        <v>0</v>
      </c>
      <c r="I35" s="514">
        <v>1.8728973661126815</v>
      </c>
      <c r="J35" s="513">
        <v>3.2775703906971927</v>
      </c>
      <c r="K35" s="513">
        <v>4.3310751591355796</v>
      </c>
      <c r="L35" s="513">
        <v>5.1212037354643627</v>
      </c>
      <c r="M35" s="515">
        <v>5.7138001677109571</v>
      </c>
      <c r="N35" s="467">
        <f>+N34</f>
        <v>5.7138001677109571</v>
      </c>
      <c r="O35" s="513">
        <f t="shared" ref="O35:AB35" si="8">+O34</f>
        <v>5.7138001677109571</v>
      </c>
      <c r="P35" s="513">
        <f t="shared" si="8"/>
        <v>5.7138001677109571</v>
      </c>
      <c r="Q35" s="513">
        <f t="shared" si="8"/>
        <v>5.7138001677109571</v>
      </c>
      <c r="R35" s="513">
        <f t="shared" si="8"/>
        <v>5.7138001677109571</v>
      </c>
      <c r="S35" s="513">
        <f t="shared" si="8"/>
        <v>5.7138001677109571</v>
      </c>
      <c r="T35" s="513">
        <f t="shared" si="8"/>
        <v>5.7138001677109571</v>
      </c>
      <c r="U35" s="513">
        <f t="shared" si="8"/>
        <v>5.7138001677109571</v>
      </c>
      <c r="V35" s="513">
        <f t="shared" si="8"/>
        <v>5.7138001677109571</v>
      </c>
      <c r="W35" s="513">
        <f t="shared" si="8"/>
        <v>5.7138001677109571</v>
      </c>
      <c r="X35" s="513">
        <f t="shared" si="8"/>
        <v>5.7138001677109571</v>
      </c>
      <c r="Y35" s="513">
        <f t="shared" si="8"/>
        <v>5.7138001677109571</v>
      </c>
      <c r="Z35" s="513">
        <f t="shared" si="8"/>
        <v>5.7138001677109571</v>
      </c>
      <c r="AA35" s="513">
        <f t="shared" si="8"/>
        <v>5.7138001677109571</v>
      </c>
      <c r="AB35" s="515">
        <f t="shared" si="8"/>
        <v>5.7138001677109571</v>
      </c>
      <c r="AC35" s="1427"/>
      <c r="AD35" s="1427"/>
      <c r="AE35" s="1427"/>
      <c r="AF35" s="1427"/>
    </row>
    <row r="36" spans="1:135" s="94" customFormat="1">
      <c r="A36" s="308"/>
      <c r="B36" s="4164"/>
      <c r="C36" s="825" t="s">
        <v>68</v>
      </c>
      <c r="D36" s="517">
        <f t="shared" ref="D36:AB36" si="9">IF(ISERROR(AVERAGE(D34:D35)),0,AVERAGE(D34:D35))</f>
        <v>0</v>
      </c>
      <c r="E36" s="518">
        <f t="shared" si="9"/>
        <v>0</v>
      </c>
      <c r="F36" s="518">
        <f t="shared" si="9"/>
        <v>0</v>
      </c>
      <c r="G36" s="518">
        <f t="shared" si="9"/>
        <v>0</v>
      </c>
      <c r="H36" s="519">
        <f t="shared" si="9"/>
        <v>0</v>
      </c>
      <c r="I36" s="517">
        <f t="shared" si="9"/>
        <v>0.93644868305634077</v>
      </c>
      <c r="J36" s="518">
        <f t="shared" si="9"/>
        <v>2.5752338784049371</v>
      </c>
      <c r="K36" s="518">
        <f t="shared" si="9"/>
        <v>3.8043227749163862</v>
      </c>
      <c r="L36" s="518">
        <f t="shared" si="9"/>
        <v>4.7261394472999712</v>
      </c>
      <c r="M36" s="519">
        <f t="shared" si="9"/>
        <v>5.4175019515876599</v>
      </c>
      <c r="N36" s="571">
        <f t="shared" si="9"/>
        <v>5.7138001677109571</v>
      </c>
      <c r="O36" s="518">
        <f t="shared" si="9"/>
        <v>5.7138001677109571</v>
      </c>
      <c r="P36" s="518">
        <f t="shared" si="9"/>
        <v>5.7138001677109571</v>
      </c>
      <c r="Q36" s="518">
        <f t="shared" si="9"/>
        <v>5.7138001677109571</v>
      </c>
      <c r="R36" s="518">
        <f t="shared" si="9"/>
        <v>5.7138001677109571</v>
      </c>
      <c r="S36" s="518">
        <f t="shared" si="9"/>
        <v>5.7138001677109571</v>
      </c>
      <c r="T36" s="518">
        <f t="shared" si="9"/>
        <v>5.7138001677109571</v>
      </c>
      <c r="U36" s="518">
        <f t="shared" si="9"/>
        <v>5.7138001677109571</v>
      </c>
      <c r="V36" s="518">
        <f t="shared" si="9"/>
        <v>5.7138001677109571</v>
      </c>
      <c r="W36" s="518">
        <f t="shared" si="9"/>
        <v>5.7138001677109571</v>
      </c>
      <c r="X36" s="518">
        <f t="shared" si="9"/>
        <v>5.7138001677109571</v>
      </c>
      <c r="Y36" s="518">
        <f t="shared" si="9"/>
        <v>5.7138001677109571</v>
      </c>
      <c r="Z36" s="518">
        <f t="shared" si="9"/>
        <v>5.7138001677109571</v>
      </c>
      <c r="AA36" s="518">
        <f t="shared" si="9"/>
        <v>5.7138001677109571</v>
      </c>
      <c r="AB36" s="519">
        <f t="shared" si="9"/>
        <v>5.7138001677109571</v>
      </c>
      <c r="AC36" s="1427"/>
      <c r="AD36" s="1427"/>
      <c r="AE36" s="1427"/>
      <c r="AF36" s="1427"/>
    </row>
    <row r="37" spans="1:135" s="94" customFormat="1">
      <c r="A37" s="308"/>
      <c r="B37" s="4164"/>
      <c r="C37" s="825" t="s">
        <v>69</v>
      </c>
      <c r="D37" s="823"/>
      <c r="E37" s="780"/>
      <c r="F37" s="780"/>
      <c r="G37" s="780"/>
      <c r="H37" s="702">
        <f>+H35-H34+H38</f>
        <v>0</v>
      </c>
      <c r="I37" s="514">
        <f t="shared" ref="I37:AB37" si="10">+I35-I34+I38</f>
        <v>1.8728973661126815</v>
      </c>
      <c r="J37" s="513">
        <f t="shared" si="10"/>
        <v>1.4046730245845112</v>
      </c>
      <c r="K37" s="513">
        <f t="shared" si="10"/>
        <v>1.0535047684383869</v>
      </c>
      <c r="L37" s="513">
        <f t="shared" si="10"/>
        <v>0.79012857632878308</v>
      </c>
      <c r="M37" s="515">
        <f t="shared" si="10"/>
        <v>0.59259643224659442</v>
      </c>
      <c r="N37" s="467">
        <f t="shared" si="10"/>
        <v>0</v>
      </c>
      <c r="O37" s="513">
        <f t="shared" si="10"/>
        <v>0</v>
      </c>
      <c r="P37" s="513">
        <f t="shared" si="10"/>
        <v>0</v>
      </c>
      <c r="Q37" s="513">
        <f t="shared" si="10"/>
        <v>0</v>
      </c>
      <c r="R37" s="513">
        <f t="shared" si="10"/>
        <v>0</v>
      </c>
      <c r="S37" s="513">
        <f t="shared" si="10"/>
        <v>0</v>
      </c>
      <c r="T37" s="513">
        <f t="shared" si="10"/>
        <v>0</v>
      </c>
      <c r="U37" s="513">
        <f t="shared" si="10"/>
        <v>0</v>
      </c>
      <c r="V37" s="513">
        <f t="shared" si="10"/>
        <v>0</v>
      </c>
      <c r="W37" s="513">
        <f t="shared" si="10"/>
        <v>0</v>
      </c>
      <c r="X37" s="513">
        <f t="shared" si="10"/>
        <v>0</v>
      </c>
      <c r="Y37" s="513">
        <f t="shared" si="10"/>
        <v>0</v>
      </c>
      <c r="Z37" s="513">
        <f t="shared" si="10"/>
        <v>0</v>
      </c>
      <c r="AA37" s="513">
        <f t="shared" si="10"/>
        <v>0</v>
      </c>
      <c r="AB37" s="515">
        <f t="shared" si="10"/>
        <v>0</v>
      </c>
      <c r="AC37" s="1427"/>
      <c r="AD37" s="1427"/>
      <c r="AE37" s="1427"/>
      <c r="AF37" s="1427"/>
    </row>
    <row r="38" spans="1:135" s="94" customFormat="1" ht="13.5" thickBot="1">
      <c r="A38" s="308"/>
      <c r="B38" s="4165"/>
      <c r="C38" s="1957" t="s">
        <v>58</v>
      </c>
      <c r="D38" s="1932"/>
      <c r="E38" s="886"/>
      <c r="F38" s="886"/>
      <c r="G38" s="886"/>
      <c r="H38" s="3423">
        <v>0</v>
      </c>
      <c r="I38" s="642">
        <v>0</v>
      </c>
      <c r="J38" s="465">
        <v>0</v>
      </c>
      <c r="K38" s="465">
        <v>0</v>
      </c>
      <c r="L38" s="465">
        <v>0</v>
      </c>
      <c r="M38" s="643">
        <v>0</v>
      </c>
      <c r="N38" s="1790">
        <v>0</v>
      </c>
      <c r="O38" s="465">
        <v>0</v>
      </c>
      <c r="P38" s="465">
        <v>0</v>
      </c>
      <c r="Q38" s="465">
        <v>0</v>
      </c>
      <c r="R38" s="465">
        <v>0</v>
      </c>
      <c r="S38" s="465">
        <v>0</v>
      </c>
      <c r="T38" s="465">
        <v>0</v>
      </c>
      <c r="U38" s="465">
        <v>0</v>
      </c>
      <c r="V38" s="465">
        <v>0</v>
      </c>
      <c r="W38" s="465">
        <v>0</v>
      </c>
      <c r="X38" s="465">
        <v>0</v>
      </c>
      <c r="Y38" s="465">
        <v>0</v>
      </c>
      <c r="Z38" s="465">
        <v>0</v>
      </c>
      <c r="AA38" s="465">
        <v>0</v>
      </c>
      <c r="AB38" s="643">
        <v>0</v>
      </c>
      <c r="AC38" s="1427"/>
      <c r="AD38" s="1427"/>
      <c r="AE38" s="1427"/>
      <c r="AF38" s="1427"/>
    </row>
    <row r="39" spans="1:135" s="94" customFormat="1">
      <c r="A39" s="308"/>
      <c r="B39" s="4166" t="s">
        <v>63</v>
      </c>
      <c r="C39" s="1964" t="s">
        <v>756</v>
      </c>
      <c r="D39" s="533">
        <f>+D34</f>
        <v>0</v>
      </c>
      <c r="E39" s="534">
        <f t="shared" ref="E39:AB39" si="11">+E34</f>
        <v>0</v>
      </c>
      <c r="F39" s="534">
        <f t="shared" si="11"/>
        <v>0</v>
      </c>
      <c r="G39" s="534">
        <f t="shared" si="11"/>
        <v>0</v>
      </c>
      <c r="H39" s="1464">
        <f t="shared" si="11"/>
        <v>0</v>
      </c>
      <c r="I39" s="533">
        <f t="shared" si="11"/>
        <v>0</v>
      </c>
      <c r="J39" s="534">
        <f t="shared" si="11"/>
        <v>1.8728973661126815</v>
      </c>
      <c r="K39" s="534">
        <f t="shared" si="11"/>
        <v>3.2775703906971927</v>
      </c>
      <c r="L39" s="534">
        <f t="shared" si="11"/>
        <v>4.3310751591355796</v>
      </c>
      <c r="M39" s="479">
        <f t="shared" si="11"/>
        <v>5.1212037354643627</v>
      </c>
      <c r="N39" s="1286">
        <f t="shared" si="11"/>
        <v>5.7138001677109571</v>
      </c>
      <c r="O39" s="534">
        <f t="shared" si="11"/>
        <v>5.7138001677109571</v>
      </c>
      <c r="P39" s="534">
        <f t="shared" si="11"/>
        <v>5.7138001677109571</v>
      </c>
      <c r="Q39" s="534">
        <f t="shared" si="11"/>
        <v>5.7138001677109571</v>
      </c>
      <c r="R39" s="534">
        <f t="shared" si="11"/>
        <v>5.7138001677109571</v>
      </c>
      <c r="S39" s="534">
        <f t="shared" si="11"/>
        <v>5.7138001677109571</v>
      </c>
      <c r="T39" s="534">
        <f t="shared" si="11"/>
        <v>5.7138001677109571</v>
      </c>
      <c r="U39" s="534">
        <f t="shared" si="11"/>
        <v>5.7138001677109571</v>
      </c>
      <c r="V39" s="534">
        <f t="shared" si="11"/>
        <v>5.7138001677109571</v>
      </c>
      <c r="W39" s="534">
        <f t="shared" si="11"/>
        <v>5.7138001677109571</v>
      </c>
      <c r="X39" s="534">
        <f t="shared" si="11"/>
        <v>5.7138001677109571</v>
      </c>
      <c r="Y39" s="534">
        <f t="shared" si="11"/>
        <v>5.7138001677109571</v>
      </c>
      <c r="Z39" s="534">
        <f t="shared" si="11"/>
        <v>5.7138001677109571</v>
      </c>
      <c r="AA39" s="534">
        <f t="shared" si="11"/>
        <v>5.7138001677109571</v>
      </c>
      <c r="AB39" s="1966">
        <f t="shared" si="11"/>
        <v>5.7138001677109571</v>
      </c>
      <c r="AC39" s="1427"/>
      <c r="AD39" s="1427"/>
      <c r="AE39" s="1427"/>
      <c r="AF39" s="1427"/>
    </row>
    <row r="40" spans="1:135" s="94" customFormat="1">
      <c r="A40" s="308"/>
      <c r="B40" s="4167"/>
      <c r="C40" s="1964" t="s">
        <v>757</v>
      </c>
      <c r="D40" s="533">
        <f t="shared" ref="D40:AB43" si="12">+D35</f>
        <v>0</v>
      </c>
      <c r="E40" s="534">
        <f t="shared" si="12"/>
        <v>0</v>
      </c>
      <c r="F40" s="534">
        <f t="shared" si="12"/>
        <v>0</v>
      </c>
      <c r="G40" s="534">
        <f t="shared" si="12"/>
        <v>0</v>
      </c>
      <c r="H40" s="1464">
        <f t="shared" si="12"/>
        <v>0</v>
      </c>
      <c r="I40" s="533">
        <f t="shared" si="12"/>
        <v>1.8728973661126815</v>
      </c>
      <c r="J40" s="534">
        <f t="shared" si="12"/>
        <v>3.2775703906971927</v>
      </c>
      <c r="K40" s="534">
        <f t="shared" si="12"/>
        <v>4.3310751591355796</v>
      </c>
      <c r="L40" s="534">
        <f t="shared" si="12"/>
        <v>5.1212037354643627</v>
      </c>
      <c r="M40" s="479">
        <f t="shared" si="12"/>
        <v>5.7138001677109571</v>
      </c>
      <c r="N40" s="1286">
        <f t="shared" si="12"/>
        <v>5.7138001677109571</v>
      </c>
      <c r="O40" s="534">
        <f t="shared" si="12"/>
        <v>5.7138001677109571</v>
      </c>
      <c r="P40" s="534">
        <f t="shared" si="12"/>
        <v>5.7138001677109571</v>
      </c>
      <c r="Q40" s="534">
        <f t="shared" si="12"/>
        <v>5.7138001677109571</v>
      </c>
      <c r="R40" s="534">
        <f t="shared" si="12"/>
        <v>5.7138001677109571</v>
      </c>
      <c r="S40" s="534">
        <f t="shared" si="12"/>
        <v>5.7138001677109571</v>
      </c>
      <c r="T40" s="534">
        <f t="shared" si="12"/>
        <v>5.7138001677109571</v>
      </c>
      <c r="U40" s="534">
        <f t="shared" si="12"/>
        <v>5.7138001677109571</v>
      </c>
      <c r="V40" s="534">
        <f t="shared" si="12"/>
        <v>5.7138001677109571</v>
      </c>
      <c r="W40" s="534">
        <f t="shared" si="12"/>
        <v>5.7138001677109571</v>
      </c>
      <c r="X40" s="534">
        <f t="shared" si="12"/>
        <v>5.7138001677109571</v>
      </c>
      <c r="Y40" s="534">
        <f t="shared" si="12"/>
        <v>5.7138001677109571</v>
      </c>
      <c r="Z40" s="534">
        <f t="shared" si="12"/>
        <v>5.7138001677109571</v>
      </c>
      <c r="AA40" s="534">
        <f t="shared" si="12"/>
        <v>5.7138001677109571</v>
      </c>
      <c r="AB40" s="1966">
        <f t="shared" si="12"/>
        <v>5.7138001677109571</v>
      </c>
      <c r="AC40" s="1427"/>
      <c r="AD40" s="1427"/>
      <c r="AE40" s="1427"/>
      <c r="AF40" s="1427"/>
    </row>
    <row r="41" spans="1:135" s="94" customFormat="1">
      <c r="A41" s="308"/>
      <c r="B41" s="4167"/>
      <c r="C41" s="1965" t="s">
        <v>68</v>
      </c>
      <c r="D41" s="533">
        <f t="shared" si="12"/>
        <v>0</v>
      </c>
      <c r="E41" s="534">
        <f t="shared" si="12"/>
        <v>0</v>
      </c>
      <c r="F41" s="534">
        <f t="shared" si="12"/>
        <v>0</v>
      </c>
      <c r="G41" s="534">
        <f t="shared" si="12"/>
        <v>0</v>
      </c>
      <c r="H41" s="1464">
        <f t="shared" si="12"/>
        <v>0</v>
      </c>
      <c r="I41" s="533">
        <f t="shared" si="12"/>
        <v>0.93644868305634077</v>
      </c>
      <c r="J41" s="534">
        <f t="shared" si="12"/>
        <v>2.5752338784049371</v>
      </c>
      <c r="K41" s="534">
        <f t="shared" si="12"/>
        <v>3.8043227749163862</v>
      </c>
      <c r="L41" s="534">
        <f t="shared" si="12"/>
        <v>4.7261394472999712</v>
      </c>
      <c r="M41" s="479">
        <f t="shared" si="12"/>
        <v>5.4175019515876599</v>
      </c>
      <c r="N41" s="1286">
        <f t="shared" si="12"/>
        <v>5.7138001677109571</v>
      </c>
      <c r="O41" s="534">
        <f t="shared" si="12"/>
        <v>5.7138001677109571</v>
      </c>
      <c r="P41" s="534">
        <f t="shared" si="12"/>
        <v>5.7138001677109571</v>
      </c>
      <c r="Q41" s="534">
        <f t="shared" si="12"/>
        <v>5.7138001677109571</v>
      </c>
      <c r="R41" s="534">
        <f t="shared" si="12"/>
        <v>5.7138001677109571</v>
      </c>
      <c r="S41" s="534">
        <f t="shared" si="12"/>
        <v>5.7138001677109571</v>
      </c>
      <c r="T41" s="534">
        <f t="shared" si="12"/>
        <v>5.7138001677109571</v>
      </c>
      <c r="U41" s="534">
        <f t="shared" si="12"/>
        <v>5.7138001677109571</v>
      </c>
      <c r="V41" s="534">
        <f t="shared" si="12"/>
        <v>5.7138001677109571</v>
      </c>
      <c r="W41" s="534">
        <f t="shared" si="12"/>
        <v>5.7138001677109571</v>
      </c>
      <c r="X41" s="534">
        <f t="shared" si="12"/>
        <v>5.7138001677109571</v>
      </c>
      <c r="Y41" s="534">
        <f t="shared" si="12"/>
        <v>5.7138001677109571</v>
      </c>
      <c r="Z41" s="534">
        <f t="shared" si="12"/>
        <v>5.7138001677109571</v>
      </c>
      <c r="AA41" s="534">
        <f t="shared" si="12"/>
        <v>5.7138001677109571</v>
      </c>
      <c r="AB41" s="1966">
        <f t="shared" si="12"/>
        <v>5.7138001677109571</v>
      </c>
      <c r="AC41" s="1427"/>
      <c r="AD41" s="1427"/>
      <c r="AE41" s="1427"/>
      <c r="AF41" s="1427"/>
    </row>
    <row r="42" spans="1:135" s="94" customFormat="1">
      <c r="A42" s="308"/>
      <c r="B42" s="4167"/>
      <c r="C42" s="1965" t="s">
        <v>69</v>
      </c>
      <c r="D42" s="533">
        <f t="shared" si="12"/>
        <v>0</v>
      </c>
      <c r="E42" s="534">
        <f t="shared" si="12"/>
        <v>0</v>
      </c>
      <c r="F42" s="534">
        <f t="shared" si="12"/>
        <v>0</v>
      </c>
      <c r="G42" s="534">
        <f t="shared" si="12"/>
        <v>0</v>
      </c>
      <c r="H42" s="1464">
        <f t="shared" si="12"/>
        <v>0</v>
      </c>
      <c r="I42" s="533">
        <f t="shared" si="12"/>
        <v>1.8728973661126815</v>
      </c>
      <c r="J42" s="534">
        <f t="shared" si="12"/>
        <v>1.4046730245845112</v>
      </c>
      <c r="K42" s="534">
        <f t="shared" si="12"/>
        <v>1.0535047684383869</v>
      </c>
      <c r="L42" s="534">
        <f t="shared" si="12"/>
        <v>0.79012857632878308</v>
      </c>
      <c r="M42" s="479">
        <f t="shared" si="12"/>
        <v>0.59259643224659442</v>
      </c>
      <c r="N42" s="1286">
        <f t="shared" si="12"/>
        <v>0</v>
      </c>
      <c r="O42" s="534">
        <f t="shared" si="12"/>
        <v>0</v>
      </c>
      <c r="P42" s="534">
        <f t="shared" si="12"/>
        <v>0</v>
      </c>
      <c r="Q42" s="534">
        <f t="shared" si="12"/>
        <v>0</v>
      </c>
      <c r="R42" s="534">
        <f t="shared" si="12"/>
        <v>0</v>
      </c>
      <c r="S42" s="534">
        <f t="shared" si="12"/>
        <v>0</v>
      </c>
      <c r="T42" s="534">
        <f t="shared" si="12"/>
        <v>0</v>
      </c>
      <c r="U42" s="534">
        <f t="shared" si="12"/>
        <v>0</v>
      </c>
      <c r="V42" s="534">
        <f t="shared" si="12"/>
        <v>0</v>
      </c>
      <c r="W42" s="534">
        <f t="shared" si="12"/>
        <v>0</v>
      </c>
      <c r="X42" s="534">
        <f t="shared" si="12"/>
        <v>0</v>
      </c>
      <c r="Y42" s="534">
        <f t="shared" si="12"/>
        <v>0</v>
      </c>
      <c r="Z42" s="534">
        <f t="shared" si="12"/>
        <v>0</v>
      </c>
      <c r="AA42" s="534">
        <f t="shared" si="12"/>
        <v>0</v>
      </c>
      <c r="AB42" s="1966">
        <f t="shared" si="12"/>
        <v>0</v>
      </c>
      <c r="AC42" s="1427"/>
      <c r="AD42" s="1427"/>
      <c r="AE42" s="1427"/>
      <c r="AF42" s="1427"/>
    </row>
    <row r="43" spans="1:135" s="94" customFormat="1" ht="13.5" thickBot="1">
      <c r="A43" s="308"/>
      <c r="B43" s="4168"/>
      <c r="C43" s="1967" t="s">
        <v>58</v>
      </c>
      <c r="D43" s="533">
        <f t="shared" si="12"/>
        <v>0</v>
      </c>
      <c r="E43" s="1969">
        <f t="shared" si="12"/>
        <v>0</v>
      </c>
      <c r="F43" s="1969">
        <f t="shared" si="12"/>
        <v>0</v>
      </c>
      <c r="G43" s="1969">
        <f t="shared" si="12"/>
        <v>0</v>
      </c>
      <c r="H43" s="1970">
        <f t="shared" si="12"/>
        <v>0</v>
      </c>
      <c r="I43" s="1968">
        <f t="shared" si="12"/>
        <v>0</v>
      </c>
      <c r="J43" s="1969">
        <f t="shared" si="12"/>
        <v>0</v>
      </c>
      <c r="K43" s="1969">
        <f t="shared" si="12"/>
        <v>0</v>
      </c>
      <c r="L43" s="1969">
        <f t="shared" si="12"/>
        <v>0</v>
      </c>
      <c r="M43" s="1971">
        <f t="shared" si="12"/>
        <v>0</v>
      </c>
      <c r="N43" s="1972">
        <f t="shared" si="12"/>
        <v>0</v>
      </c>
      <c r="O43" s="1969">
        <f t="shared" si="12"/>
        <v>0</v>
      </c>
      <c r="P43" s="1969">
        <f t="shared" si="12"/>
        <v>0</v>
      </c>
      <c r="Q43" s="1969">
        <f t="shared" si="12"/>
        <v>0</v>
      </c>
      <c r="R43" s="1969">
        <f t="shared" si="12"/>
        <v>0</v>
      </c>
      <c r="S43" s="1969">
        <f t="shared" si="12"/>
        <v>0</v>
      </c>
      <c r="T43" s="1969">
        <f t="shared" si="12"/>
        <v>0</v>
      </c>
      <c r="U43" s="1969">
        <f t="shared" si="12"/>
        <v>0</v>
      </c>
      <c r="V43" s="1969">
        <f t="shared" si="12"/>
        <v>0</v>
      </c>
      <c r="W43" s="1969">
        <f t="shared" si="12"/>
        <v>0</v>
      </c>
      <c r="X43" s="1969">
        <f t="shared" si="12"/>
        <v>0</v>
      </c>
      <c r="Y43" s="1969">
        <f t="shared" si="12"/>
        <v>0</v>
      </c>
      <c r="Z43" s="1969">
        <f t="shared" si="12"/>
        <v>0</v>
      </c>
      <c r="AA43" s="1969">
        <f t="shared" si="12"/>
        <v>0</v>
      </c>
      <c r="AB43" s="1973">
        <f t="shared" si="12"/>
        <v>0</v>
      </c>
      <c r="AC43" s="1427"/>
      <c r="AD43" s="1427"/>
      <c r="AE43" s="1427"/>
      <c r="AF43" s="1427"/>
    </row>
    <row r="44" spans="1:135" ht="47.25" customHeight="1" thickBot="1">
      <c r="D44" s="529"/>
      <c r="E44" s="529"/>
      <c r="F44" s="529"/>
      <c r="G44" s="529"/>
      <c r="H44" s="529"/>
      <c r="I44" s="529"/>
      <c r="J44" s="529"/>
      <c r="K44" s="529"/>
      <c r="L44" s="529"/>
      <c r="M44" s="529"/>
      <c r="N44" s="529"/>
      <c r="O44" s="529"/>
      <c r="P44" s="529"/>
      <c r="Q44" s="529"/>
      <c r="R44" s="529"/>
      <c r="S44" s="529"/>
      <c r="T44" s="529"/>
      <c r="U44" s="529"/>
      <c r="V44" s="529"/>
      <c r="W44" s="529"/>
      <c r="X44" s="529"/>
      <c r="Y44" s="529"/>
      <c r="Z44" s="529"/>
      <c r="AA44" s="529"/>
      <c r="AB44" s="529"/>
    </row>
    <row r="45" spans="1:135" s="94" customFormat="1" ht="18.75" customHeight="1" thickBot="1">
      <c r="A45" s="308"/>
      <c r="B45" s="1607" t="s">
        <v>1533</v>
      </c>
      <c r="C45" s="1605"/>
      <c r="D45" s="1605"/>
      <c r="E45" s="1605"/>
      <c r="F45" s="1605"/>
      <c r="G45" s="1605"/>
      <c r="H45" s="1605"/>
      <c r="I45" s="1605"/>
      <c r="J45" s="1605"/>
      <c r="K45" s="1605"/>
      <c r="L45" s="1605"/>
      <c r="M45" s="1605"/>
      <c r="N45" s="1605"/>
      <c r="O45" s="1605"/>
      <c r="P45" s="1605"/>
      <c r="Q45" s="1605"/>
      <c r="R45" s="1605"/>
      <c r="S45" s="1605"/>
      <c r="T45" s="1605"/>
      <c r="U45" s="1605"/>
      <c r="V45" s="1605"/>
      <c r="W45" s="1605"/>
      <c r="X45" s="1605"/>
      <c r="Y45" s="1605"/>
      <c r="Z45" s="1605"/>
      <c r="AA45" s="1605"/>
      <c r="AB45" s="1606"/>
      <c r="AC45" s="1427"/>
      <c r="AD45" s="1427"/>
      <c r="AE45" s="1427"/>
      <c r="AF45" s="1427"/>
      <c r="DF45" s="1427"/>
      <c r="DG45" s="1427"/>
      <c r="DH45" s="1427"/>
      <c r="DI45" s="1427"/>
      <c r="DJ45" s="1427"/>
      <c r="DK45" s="1427"/>
      <c r="DL45" s="1427"/>
      <c r="DM45" s="1427"/>
      <c r="DN45" s="1427"/>
      <c r="DO45" s="1427"/>
      <c r="DP45" s="1427"/>
      <c r="DQ45" s="1427"/>
      <c r="DR45" s="1427"/>
      <c r="DS45" s="1427"/>
      <c r="DT45" s="1427"/>
      <c r="DU45" s="1427"/>
      <c r="DV45" s="1427"/>
      <c r="DW45" s="1427"/>
      <c r="DX45" s="1427"/>
      <c r="DY45" s="1427"/>
      <c r="DZ45" s="1427"/>
      <c r="EA45" s="1427"/>
      <c r="EB45" s="1427"/>
      <c r="EC45" s="1427"/>
      <c r="ED45" s="1427"/>
      <c r="EE45" s="1427"/>
    </row>
    <row r="46" spans="1:135" s="94" customFormat="1">
      <c r="A46" s="308"/>
      <c r="B46" s="3749" t="s">
        <v>756</v>
      </c>
      <c r="C46" s="3750"/>
      <c r="D46" s="881"/>
      <c r="E46" s="518">
        <f>D47</f>
        <v>0</v>
      </c>
      <c r="F46" s="518">
        <f t="shared" ref="F46:AB46" si="13">E47</f>
        <v>0</v>
      </c>
      <c r="G46" s="518">
        <f>E47</f>
        <v>0</v>
      </c>
      <c r="H46" s="518">
        <f>F47</f>
        <v>0</v>
      </c>
      <c r="I46" s="518">
        <f t="shared" si="13"/>
        <v>0</v>
      </c>
      <c r="J46" s="518">
        <f t="shared" si="13"/>
        <v>0</v>
      </c>
      <c r="K46" s="518">
        <f t="shared" si="13"/>
        <v>0</v>
      </c>
      <c r="L46" s="518">
        <f t="shared" si="13"/>
        <v>0</v>
      </c>
      <c r="M46" s="519">
        <f t="shared" si="13"/>
        <v>0</v>
      </c>
      <c r="N46" s="571">
        <f t="shared" si="13"/>
        <v>0</v>
      </c>
      <c r="O46" s="518">
        <f t="shared" si="13"/>
        <v>0</v>
      </c>
      <c r="P46" s="518">
        <f t="shared" si="13"/>
        <v>0</v>
      </c>
      <c r="Q46" s="518">
        <f t="shared" si="13"/>
        <v>0</v>
      </c>
      <c r="R46" s="518">
        <f t="shared" si="13"/>
        <v>0</v>
      </c>
      <c r="S46" s="518">
        <f t="shared" si="13"/>
        <v>0</v>
      </c>
      <c r="T46" s="518">
        <f t="shared" si="13"/>
        <v>0</v>
      </c>
      <c r="U46" s="518">
        <f t="shared" si="13"/>
        <v>0</v>
      </c>
      <c r="V46" s="518">
        <f t="shared" si="13"/>
        <v>0</v>
      </c>
      <c r="W46" s="518">
        <f t="shared" si="13"/>
        <v>0</v>
      </c>
      <c r="X46" s="518">
        <f t="shared" si="13"/>
        <v>0</v>
      </c>
      <c r="Y46" s="518">
        <f t="shared" si="13"/>
        <v>0</v>
      </c>
      <c r="Z46" s="518">
        <f t="shared" si="13"/>
        <v>0</v>
      </c>
      <c r="AA46" s="518">
        <f t="shared" si="13"/>
        <v>0</v>
      </c>
      <c r="AB46" s="519">
        <f t="shared" si="13"/>
        <v>0</v>
      </c>
      <c r="AC46" s="1427"/>
      <c r="AD46" s="1427"/>
      <c r="AE46" s="1427"/>
      <c r="AF46" s="1427"/>
    </row>
    <row r="47" spans="1:135" s="94" customFormat="1">
      <c r="A47" s="308"/>
      <c r="B47" s="4171" t="s">
        <v>757</v>
      </c>
      <c r="C47" s="4172"/>
      <c r="D47" s="823"/>
      <c r="E47" s="780"/>
      <c r="F47" s="780"/>
      <c r="G47" s="780"/>
      <c r="H47" s="780"/>
      <c r="I47" s="823"/>
      <c r="J47" s="780"/>
      <c r="K47" s="780"/>
      <c r="L47" s="780"/>
      <c r="M47" s="884"/>
      <c r="N47" s="880"/>
      <c r="O47" s="780"/>
      <c r="P47" s="780"/>
      <c r="Q47" s="780"/>
      <c r="R47" s="780"/>
      <c r="S47" s="780"/>
      <c r="T47" s="780"/>
      <c r="U47" s="780"/>
      <c r="V47" s="780"/>
      <c r="W47" s="780"/>
      <c r="X47" s="780"/>
      <c r="Y47" s="780"/>
      <c r="Z47" s="780"/>
      <c r="AA47" s="780"/>
      <c r="AB47" s="884"/>
      <c r="AC47" s="1427"/>
      <c r="AD47" s="1427"/>
      <c r="AE47" s="1427"/>
      <c r="AF47" s="1427"/>
    </row>
    <row r="48" spans="1:135" s="94" customFormat="1">
      <c r="A48" s="308"/>
      <c r="B48" s="4171" t="s">
        <v>68</v>
      </c>
      <c r="C48" s="4172"/>
      <c r="D48" s="517">
        <f t="shared" ref="D48:AB48" si="14">IF(ISERROR(AVERAGE(D46:D47)),0,AVERAGE(D46:D47))</f>
        <v>0</v>
      </c>
      <c r="E48" s="518">
        <f t="shared" si="14"/>
        <v>0</v>
      </c>
      <c r="F48" s="518">
        <f t="shared" si="14"/>
        <v>0</v>
      </c>
      <c r="G48" s="518">
        <f t="shared" si="14"/>
        <v>0</v>
      </c>
      <c r="H48" s="518">
        <f t="shared" si="14"/>
        <v>0</v>
      </c>
      <c r="I48" s="517">
        <f t="shared" si="14"/>
        <v>0</v>
      </c>
      <c r="J48" s="518">
        <f t="shared" si="14"/>
        <v>0</v>
      </c>
      <c r="K48" s="518">
        <f t="shared" si="14"/>
        <v>0</v>
      </c>
      <c r="L48" s="518">
        <f t="shared" si="14"/>
        <v>0</v>
      </c>
      <c r="M48" s="519">
        <f t="shared" si="14"/>
        <v>0</v>
      </c>
      <c r="N48" s="571">
        <f t="shared" si="14"/>
        <v>0</v>
      </c>
      <c r="O48" s="518">
        <f t="shared" si="14"/>
        <v>0</v>
      </c>
      <c r="P48" s="518">
        <f t="shared" si="14"/>
        <v>0</v>
      </c>
      <c r="Q48" s="518">
        <f t="shared" si="14"/>
        <v>0</v>
      </c>
      <c r="R48" s="518">
        <f t="shared" si="14"/>
        <v>0</v>
      </c>
      <c r="S48" s="518">
        <f t="shared" si="14"/>
        <v>0</v>
      </c>
      <c r="T48" s="518">
        <f t="shared" si="14"/>
        <v>0</v>
      </c>
      <c r="U48" s="518">
        <f t="shared" si="14"/>
        <v>0</v>
      </c>
      <c r="V48" s="518">
        <f t="shared" si="14"/>
        <v>0</v>
      </c>
      <c r="W48" s="518">
        <f t="shared" si="14"/>
        <v>0</v>
      </c>
      <c r="X48" s="518">
        <f t="shared" si="14"/>
        <v>0</v>
      </c>
      <c r="Y48" s="518">
        <f t="shared" si="14"/>
        <v>0</v>
      </c>
      <c r="Z48" s="518">
        <f t="shared" si="14"/>
        <v>0</v>
      </c>
      <c r="AA48" s="518">
        <f t="shared" si="14"/>
        <v>0</v>
      </c>
      <c r="AB48" s="519">
        <f t="shared" si="14"/>
        <v>0</v>
      </c>
      <c r="AC48" s="1427"/>
      <c r="AD48" s="1427"/>
      <c r="AE48" s="1427"/>
      <c r="AF48" s="1427"/>
    </row>
    <row r="49" spans="1:32" s="94" customFormat="1">
      <c r="A49" s="308"/>
      <c r="B49" s="4171" t="s">
        <v>69</v>
      </c>
      <c r="C49" s="4172"/>
      <c r="D49" s="823"/>
      <c r="E49" s="780"/>
      <c r="F49" s="780"/>
      <c r="G49" s="780"/>
      <c r="H49" s="780"/>
      <c r="I49" s="823"/>
      <c r="J49" s="780"/>
      <c r="K49" s="780"/>
      <c r="L49" s="780"/>
      <c r="M49" s="884"/>
      <c r="N49" s="880"/>
      <c r="O49" s="780"/>
      <c r="P49" s="780"/>
      <c r="Q49" s="780"/>
      <c r="R49" s="780"/>
      <c r="S49" s="780"/>
      <c r="T49" s="780"/>
      <c r="U49" s="780"/>
      <c r="V49" s="780"/>
      <c r="W49" s="780"/>
      <c r="X49" s="780"/>
      <c r="Y49" s="780"/>
      <c r="Z49" s="780"/>
      <c r="AA49" s="780"/>
      <c r="AB49" s="884"/>
      <c r="AC49" s="1427"/>
      <c r="AD49" s="1427"/>
      <c r="AE49" s="1427"/>
      <c r="AF49" s="1427"/>
    </row>
    <row r="50" spans="1:32" s="94" customFormat="1" ht="13.5" thickBot="1">
      <c r="A50" s="308"/>
      <c r="B50" s="4169" t="s">
        <v>58</v>
      </c>
      <c r="C50" s="4170"/>
      <c r="D50" s="885"/>
      <c r="E50" s="886"/>
      <c r="F50" s="886"/>
      <c r="G50" s="886"/>
      <c r="H50" s="886"/>
      <c r="I50" s="885"/>
      <c r="J50" s="886"/>
      <c r="K50" s="886"/>
      <c r="L50" s="886"/>
      <c r="M50" s="887"/>
      <c r="N50" s="889"/>
      <c r="O50" s="886"/>
      <c r="P50" s="886"/>
      <c r="Q50" s="886"/>
      <c r="R50" s="886"/>
      <c r="S50" s="886"/>
      <c r="T50" s="886"/>
      <c r="U50" s="886"/>
      <c r="V50" s="886"/>
      <c r="W50" s="886"/>
      <c r="X50" s="886"/>
      <c r="Y50" s="886"/>
      <c r="Z50" s="886"/>
      <c r="AA50" s="886"/>
      <c r="AB50" s="887"/>
      <c r="AC50" s="1427"/>
      <c r="AD50" s="1427"/>
      <c r="AE50" s="1427"/>
      <c r="AF50" s="1427"/>
    </row>
    <row r="51" spans="1:32" ht="44.25" customHeight="1" thickBot="1">
      <c r="A51" s="1429"/>
      <c r="B51" s="1858"/>
      <c r="C51" s="3395" t="s">
        <v>125</v>
      </c>
      <c r="D51" s="1413"/>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5"/>
    </row>
  </sheetData>
  <mergeCells count="20">
    <mergeCell ref="B23:B27"/>
    <mergeCell ref="B7:G7"/>
    <mergeCell ref="B8:G8"/>
    <mergeCell ref="B9:G9"/>
    <mergeCell ref="B10:G10"/>
    <mergeCell ref="B17:C20"/>
    <mergeCell ref="D17:H17"/>
    <mergeCell ref="I17:M17"/>
    <mergeCell ref="N17:AB17"/>
    <mergeCell ref="D18:AB18"/>
    <mergeCell ref="D19:F19"/>
    <mergeCell ref="G19:AB19"/>
    <mergeCell ref="B49:C49"/>
    <mergeCell ref="B50:C50"/>
    <mergeCell ref="B28:B32"/>
    <mergeCell ref="B34:B38"/>
    <mergeCell ref="B39:B43"/>
    <mergeCell ref="B46:C46"/>
    <mergeCell ref="B47:C47"/>
    <mergeCell ref="B48:C48"/>
  </mergeCells>
  <pageMargins left="0.75" right="0.75" top="1" bottom="1" header="0.5" footer="0.5"/>
  <pageSetup paperSize="9" orientation="portrait" r:id="rId1"/>
  <headerFooter alignWithMargins="0"/>
  <customProperties>
    <customPr name="_pios_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autoPageBreaks="0"/>
  </sheetPr>
  <dimension ref="A1:EE58"/>
  <sheetViews>
    <sheetView showGridLines="0" topLeftCell="A10" zoomScale="70" zoomScaleNormal="70" workbookViewId="0">
      <selection activeCell="C29" sqref="C29"/>
    </sheetView>
  </sheetViews>
  <sheetFormatPr defaultRowHeight="12.75"/>
  <cols>
    <col min="1" max="1" width="16.28515625" style="1427" bestFit="1" customWidth="1"/>
    <col min="2" max="2" width="41.7109375" style="150" customWidth="1"/>
    <col min="3" max="3" width="38" style="1427" customWidth="1"/>
    <col min="4" max="4" width="33.85546875" style="1427" bestFit="1" customWidth="1"/>
    <col min="5" max="28" width="15.7109375" style="1427" customWidth="1"/>
    <col min="29" max="29" width="13.85546875" style="1427" customWidth="1"/>
    <col min="30" max="254" width="9.140625" style="1427"/>
    <col min="255" max="255" width="16.28515625" style="1427" bestFit="1" customWidth="1"/>
    <col min="256" max="256" width="63.28515625" style="1427" customWidth="1"/>
    <col min="257" max="257" width="22" style="1427" customWidth="1"/>
    <col min="258" max="260" width="8" style="1427" bestFit="1" customWidth="1"/>
    <col min="261" max="261" width="13.85546875" style="1427" customWidth="1"/>
    <col min="262" max="262" width="17.28515625" style="1427" bestFit="1" customWidth="1"/>
    <col min="263" max="274" width="10.7109375" style="1427" bestFit="1" customWidth="1"/>
    <col min="275" max="510" width="9.140625" style="1427"/>
    <col min="511" max="511" width="16.28515625" style="1427" bestFit="1" customWidth="1"/>
    <col min="512" max="512" width="63.28515625" style="1427" customWidth="1"/>
    <col min="513" max="513" width="22" style="1427" customWidth="1"/>
    <col min="514" max="516" width="8" style="1427" bestFit="1" customWidth="1"/>
    <col min="517" max="517" width="13.85546875" style="1427" customWidth="1"/>
    <col min="518" max="518" width="17.28515625" style="1427" bestFit="1" customWidth="1"/>
    <col min="519" max="530" width="10.7109375" style="1427" bestFit="1" customWidth="1"/>
    <col min="531" max="766" width="9.140625" style="1427"/>
    <col min="767" max="767" width="16.28515625" style="1427" bestFit="1" customWidth="1"/>
    <col min="768" max="768" width="63.28515625" style="1427" customWidth="1"/>
    <col min="769" max="769" width="22" style="1427" customWidth="1"/>
    <col min="770" max="772" width="8" style="1427" bestFit="1" customWidth="1"/>
    <col min="773" max="773" width="13.85546875" style="1427" customWidth="1"/>
    <col min="774" max="774" width="17.28515625" style="1427" bestFit="1" customWidth="1"/>
    <col min="775" max="786" width="10.7109375" style="1427" bestFit="1" customWidth="1"/>
    <col min="787" max="1022" width="9.140625" style="1427"/>
    <col min="1023" max="1023" width="16.28515625" style="1427" bestFit="1" customWidth="1"/>
    <col min="1024" max="1024" width="63.28515625" style="1427" customWidth="1"/>
    <col min="1025" max="1025" width="22" style="1427" customWidth="1"/>
    <col min="1026" max="1028" width="8" style="1427" bestFit="1" customWidth="1"/>
    <col min="1029" max="1029" width="13.85546875" style="1427" customWidth="1"/>
    <col min="1030" max="1030" width="17.28515625" style="1427" bestFit="1" customWidth="1"/>
    <col min="1031" max="1042" width="10.7109375" style="1427" bestFit="1" customWidth="1"/>
    <col min="1043" max="1278" width="9.140625" style="1427"/>
    <col min="1279" max="1279" width="16.28515625" style="1427" bestFit="1" customWidth="1"/>
    <col min="1280" max="1280" width="63.28515625" style="1427" customWidth="1"/>
    <col min="1281" max="1281" width="22" style="1427" customWidth="1"/>
    <col min="1282" max="1284" width="8" style="1427" bestFit="1" customWidth="1"/>
    <col min="1285" max="1285" width="13.85546875" style="1427" customWidth="1"/>
    <col min="1286" max="1286" width="17.28515625" style="1427" bestFit="1" customWidth="1"/>
    <col min="1287" max="1298" width="10.7109375" style="1427" bestFit="1" customWidth="1"/>
    <col min="1299" max="1534" width="9.140625" style="1427"/>
    <col min="1535" max="1535" width="16.28515625" style="1427" bestFit="1" customWidth="1"/>
    <col min="1536" max="1536" width="63.28515625" style="1427" customWidth="1"/>
    <col min="1537" max="1537" width="22" style="1427" customWidth="1"/>
    <col min="1538" max="1540" width="8" style="1427" bestFit="1" customWidth="1"/>
    <col min="1541" max="1541" width="13.85546875" style="1427" customWidth="1"/>
    <col min="1542" max="1542" width="17.28515625" style="1427" bestFit="1" customWidth="1"/>
    <col min="1543" max="1554" width="10.7109375" style="1427" bestFit="1" customWidth="1"/>
    <col min="1555" max="1790" width="9.140625" style="1427"/>
    <col min="1791" max="1791" width="16.28515625" style="1427" bestFit="1" customWidth="1"/>
    <col min="1792" max="1792" width="63.28515625" style="1427" customWidth="1"/>
    <col min="1793" max="1793" width="22" style="1427" customWidth="1"/>
    <col min="1794" max="1796" width="8" style="1427" bestFit="1" customWidth="1"/>
    <col min="1797" max="1797" width="13.85546875" style="1427" customWidth="1"/>
    <col min="1798" max="1798" width="17.28515625" style="1427" bestFit="1" customWidth="1"/>
    <col min="1799" max="1810" width="10.7109375" style="1427" bestFit="1" customWidth="1"/>
    <col min="1811" max="2046" width="9.140625" style="1427"/>
    <col min="2047" max="2047" width="16.28515625" style="1427" bestFit="1" customWidth="1"/>
    <col min="2048" max="2048" width="63.28515625" style="1427" customWidth="1"/>
    <col min="2049" max="2049" width="22" style="1427" customWidth="1"/>
    <col min="2050" max="2052" width="8" style="1427" bestFit="1" customWidth="1"/>
    <col min="2053" max="2053" width="13.85546875" style="1427" customWidth="1"/>
    <col min="2054" max="2054" width="17.28515625" style="1427" bestFit="1" customWidth="1"/>
    <col min="2055" max="2066" width="10.7109375" style="1427" bestFit="1" customWidth="1"/>
    <col min="2067" max="2302" width="9.140625" style="1427"/>
    <col min="2303" max="2303" width="16.28515625" style="1427" bestFit="1" customWidth="1"/>
    <col min="2304" max="2304" width="63.28515625" style="1427" customWidth="1"/>
    <col min="2305" max="2305" width="22" style="1427" customWidth="1"/>
    <col min="2306" max="2308" width="8" style="1427" bestFit="1" customWidth="1"/>
    <col min="2309" max="2309" width="13.85546875" style="1427" customWidth="1"/>
    <col min="2310" max="2310" width="17.28515625" style="1427" bestFit="1" customWidth="1"/>
    <col min="2311" max="2322" width="10.7109375" style="1427" bestFit="1" customWidth="1"/>
    <col min="2323" max="2558" width="9.140625" style="1427"/>
    <col min="2559" max="2559" width="16.28515625" style="1427" bestFit="1" customWidth="1"/>
    <col min="2560" max="2560" width="63.28515625" style="1427" customWidth="1"/>
    <col min="2561" max="2561" width="22" style="1427" customWidth="1"/>
    <col min="2562" max="2564" width="8" style="1427" bestFit="1" customWidth="1"/>
    <col min="2565" max="2565" width="13.85546875" style="1427" customWidth="1"/>
    <col min="2566" max="2566" width="17.28515625" style="1427" bestFit="1" customWidth="1"/>
    <col min="2567" max="2578" width="10.7109375" style="1427" bestFit="1" customWidth="1"/>
    <col min="2579" max="2814" width="9.140625" style="1427"/>
    <col min="2815" max="2815" width="16.28515625" style="1427" bestFit="1" customWidth="1"/>
    <col min="2816" max="2816" width="63.28515625" style="1427" customWidth="1"/>
    <col min="2817" max="2817" width="22" style="1427" customWidth="1"/>
    <col min="2818" max="2820" width="8" style="1427" bestFit="1" customWidth="1"/>
    <col min="2821" max="2821" width="13.85546875" style="1427" customWidth="1"/>
    <col min="2822" max="2822" width="17.28515625" style="1427" bestFit="1" customWidth="1"/>
    <col min="2823" max="2834" width="10.7109375" style="1427" bestFit="1" customWidth="1"/>
    <col min="2835" max="3070" width="9.140625" style="1427"/>
    <col min="3071" max="3071" width="16.28515625" style="1427" bestFit="1" customWidth="1"/>
    <col min="3072" max="3072" width="63.28515625" style="1427" customWidth="1"/>
    <col min="3073" max="3073" width="22" style="1427" customWidth="1"/>
    <col min="3074" max="3076" width="8" style="1427" bestFit="1" customWidth="1"/>
    <col min="3077" max="3077" width="13.85546875" style="1427" customWidth="1"/>
    <col min="3078" max="3078" width="17.28515625" style="1427" bestFit="1" customWidth="1"/>
    <col min="3079" max="3090" width="10.7109375" style="1427" bestFit="1" customWidth="1"/>
    <col min="3091" max="3326" width="9.140625" style="1427"/>
    <col min="3327" max="3327" width="16.28515625" style="1427" bestFit="1" customWidth="1"/>
    <col min="3328" max="3328" width="63.28515625" style="1427" customWidth="1"/>
    <col min="3329" max="3329" width="22" style="1427" customWidth="1"/>
    <col min="3330" max="3332" width="8" style="1427" bestFit="1" customWidth="1"/>
    <col min="3333" max="3333" width="13.85546875" style="1427" customWidth="1"/>
    <col min="3334" max="3334" width="17.28515625" style="1427" bestFit="1" customWidth="1"/>
    <col min="3335" max="3346" width="10.7109375" style="1427" bestFit="1" customWidth="1"/>
    <col min="3347" max="3582" width="9.140625" style="1427"/>
    <col min="3583" max="3583" width="16.28515625" style="1427" bestFit="1" customWidth="1"/>
    <col min="3584" max="3584" width="63.28515625" style="1427" customWidth="1"/>
    <col min="3585" max="3585" width="22" style="1427" customWidth="1"/>
    <col min="3586" max="3588" width="8" style="1427" bestFit="1" customWidth="1"/>
    <col min="3589" max="3589" width="13.85546875" style="1427" customWidth="1"/>
    <col min="3590" max="3590" width="17.28515625" style="1427" bestFit="1" customWidth="1"/>
    <col min="3591" max="3602" width="10.7109375" style="1427" bestFit="1" customWidth="1"/>
    <col min="3603" max="3838" width="9.140625" style="1427"/>
    <col min="3839" max="3839" width="16.28515625" style="1427" bestFit="1" customWidth="1"/>
    <col min="3840" max="3840" width="63.28515625" style="1427" customWidth="1"/>
    <col min="3841" max="3841" width="22" style="1427" customWidth="1"/>
    <col min="3842" max="3844" width="8" style="1427" bestFit="1" customWidth="1"/>
    <col min="3845" max="3845" width="13.85546875" style="1427" customWidth="1"/>
    <col min="3846" max="3846" width="17.28515625" style="1427" bestFit="1" customWidth="1"/>
    <col min="3847" max="3858" width="10.7109375" style="1427" bestFit="1" customWidth="1"/>
    <col min="3859" max="4094" width="9.140625" style="1427"/>
    <col min="4095" max="4095" width="16.28515625" style="1427" bestFit="1" customWidth="1"/>
    <col min="4096" max="4096" width="63.28515625" style="1427" customWidth="1"/>
    <col min="4097" max="4097" width="22" style="1427" customWidth="1"/>
    <col min="4098" max="4100" width="8" style="1427" bestFit="1" customWidth="1"/>
    <col min="4101" max="4101" width="13.85546875" style="1427" customWidth="1"/>
    <col min="4102" max="4102" width="17.28515625" style="1427" bestFit="1" customWidth="1"/>
    <col min="4103" max="4114" width="10.7109375" style="1427" bestFit="1" customWidth="1"/>
    <col min="4115" max="4350" width="9.140625" style="1427"/>
    <col min="4351" max="4351" width="16.28515625" style="1427" bestFit="1" customWidth="1"/>
    <col min="4352" max="4352" width="63.28515625" style="1427" customWidth="1"/>
    <col min="4353" max="4353" width="22" style="1427" customWidth="1"/>
    <col min="4354" max="4356" width="8" style="1427" bestFit="1" customWidth="1"/>
    <col min="4357" max="4357" width="13.85546875" style="1427" customWidth="1"/>
    <col min="4358" max="4358" width="17.28515625" style="1427" bestFit="1" customWidth="1"/>
    <col min="4359" max="4370" width="10.7109375" style="1427" bestFit="1" customWidth="1"/>
    <col min="4371" max="4606" width="9.140625" style="1427"/>
    <col min="4607" max="4607" width="16.28515625" style="1427" bestFit="1" customWidth="1"/>
    <col min="4608" max="4608" width="63.28515625" style="1427" customWidth="1"/>
    <col min="4609" max="4609" width="22" style="1427" customWidth="1"/>
    <col min="4610" max="4612" width="8" style="1427" bestFit="1" customWidth="1"/>
    <col min="4613" max="4613" width="13.85546875" style="1427" customWidth="1"/>
    <col min="4614" max="4614" width="17.28515625" style="1427" bestFit="1" customWidth="1"/>
    <col min="4615" max="4626" width="10.7109375" style="1427" bestFit="1" customWidth="1"/>
    <col min="4627" max="4862" width="9.140625" style="1427"/>
    <col min="4863" max="4863" width="16.28515625" style="1427" bestFit="1" customWidth="1"/>
    <col min="4864" max="4864" width="63.28515625" style="1427" customWidth="1"/>
    <col min="4865" max="4865" width="22" style="1427" customWidth="1"/>
    <col min="4866" max="4868" width="8" style="1427" bestFit="1" customWidth="1"/>
    <col min="4869" max="4869" width="13.85546875" style="1427" customWidth="1"/>
    <col min="4870" max="4870" width="17.28515625" style="1427" bestFit="1" customWidth="1"/>
    <col min="4871" max="4882" width="10.7109375" style="1427" bestFit="1" customWidth="1"/>
    <col min="4883" max="5118" width="9.140625" style="1427"/>
    <col min="5119" max="5119" width="16.28515625" style="1427" bestFit="1" customWidth="1"/>
    <col min="5120" max="5120" width="63.28515625" style="1427" customWidth="1"/>
    <col min="5121" max="5121" width="22" style="1427" customWidth="1"/>
    <col min="5122" max="5124" width="8" style="1427" bestFit="1" customWidth="1"/>
    <col min="5125" max="5125" width="13.85546875" style="1427" customWidth="1"/>
    <col min="5126" max="5126" width="17.28515625" style="1427" bestFit="1" customWidth="1"/>
    <col min="5127" max="5138" width="10.7109375" style="1427" bestFit="1" customWidth="1"/>
    <col min="5139" max="5374" width="9.140625" style="1427"/>
    <col min="5375" max="5375" width="16.28515625" style="1427" bestFit="1" customWidth="1"/>
    <col min="5376" max="5376" width="63.28515625" style="1427" customWidth="1"/>
    <col min="5377" max="5377" width="22" style="1427" customWidth="1"/>
    <col min="5378" max="5380" width="8" style="1427" bestFit="1" customWidth="1"/>
    <col min="5381" max="5381" width="13.85546875" style="1427" customWidth="1"/>
    <col min="5382" max="5382" width="17.28515625" style="1427" bestFit="1" customWidth="1"/>
    <col min="5383" max="5394" width="10.7109375" style="1427" bestFit="1" customWidth="1"/>
    <col min="5395" max="5630" width="9.140625" style="1427"/>
    <col min="5631" max="5631" width="16.28515625" style="1427" bestFit="1" customWidth="1"/>
    <col min="5632" max="5632" width="63.28515625" style="1427" customWidth="1"/>
    <col min="5633" max="5633" width="22" style="1427" customWidth="1"/>
    <col min="5634" max="5636" width="8" style="1427" bestFit="1" customWidth="1"/>
    <col min="5637" max="5637" width="13.85546875" style="1427" customWidth="1"/>
    <col min="5638" max="5638" width="17.28515625" style="1427" bestFit="1" customWidth="1"/>
    <col min="5639" max="5650" width="10.7109375" style="1427" bestFit="1" customWidth="1"/>
    <col min="5651" max="5886" width="9.140625" style="1427"/>
    <col min="5887" max="5887" width="16.28515625" style="1427" bestFit="1" customWidth="1"/>
    <col min="5888" max="5888" width="63.28515625" style="1427" customWidth="1"/>
    <col min="5889" max="5889" width="22" style="1427" customWidth="1"/>
    <col min="5890" max="5892" width="8" style="1427" bestFit="1" customWidth="1"/>
    <col min="5893" max="5893" width="13.85546875" style="1427" customWidth="1"/>
    <col min="5894" max="5894" width="17.28515625" style="1427" bestFit="1" customWidth="1"/>
    <col min="5895" max="5906" width="10.7109375" style="1427" bestFit="1" customWidth="1"/>
    <col min="5907" max="6142" width="9.140625" style="1427"/>
    <col min="6143" max="6143" width="16.28515625" style="1427" bestFit="1" customWidth="1"/>
    <col min="6144" max="6144" width="63.28515625" style="1427" customWidth="1"/>
    <col min="6145" max="6145" width="22" style="1427" customWidth="1"/>
    <col min="6146" max="6148" width="8" style="1427" bestFit="1" customWidth="1"/>
    <col min="6149" max="6149" width="13.85546875" style="1427" customWidth="1"/>
    <col min="6150" max="6150" width="17.28515625" style="1427" bestFit="1" customWidth="1"/>
    <col min="6151" max="6162" width="10.7109375" style="1427" bestFit="1" customWidth="1"/>
    <col min="6163" max="6398" width="9.140625" style="1427"/>
    <col min="6399" max="6399" width="16.28515625" style="1427" bestFit="1" customWidth="1"/>
    <col min="6400" max="6400" width="63.28515625" style="1427" customWidth="1"/>
    <col min="6401" max="6401" width="22" style="1427" customWidth="1"/>
    <col min="6402" max="6404" width="8" style="1427" bestFit="1" customWidth="1"/>
    <col min="6405" max="6405" width="13.85546875" style="1427" customWidth="1"/>
    <col min="6406" max="6406" width="17.28515625" style="1427" bestFit="1" customWidth="1"/>
    <col min="6407" max="6418" width="10.7109375" style="1427" bestFit="1" customWidth="1"/>
    <col min="6419" max="6654" width="9.140625" style="1427"/>
    <col min="6655" max="6655" width="16.28515625" style="1427" bestFit="1" customWidth="1"/>
    <col min="6656" max="6656" width="63.28515625" style="1427" customWidth="1"/>
    <col min="6657" max="6657" width="22" style="1427" customWidth="1"/>
    <col min="6658" max="6660" width="8" style="1427" bestFit="1" customWidth="1"/>
    <col min="6661" max="6661" width="13.85546875" style="1427" customWidth="1"/>
    <col min="6662" max="6662" width="17.28515625" style="1427" bestFit="1" customWidth="1"/>
    <col min="6663" max="6674" width="10.7109375" style="1427" bestFit="1" customWidth="1"/>
    <col min="6675" max="6910" width="9.140625" style="1427"/>
    <col min="6911" max="6911" width="16.28515625" style="1427" bestFit="1" customWidth="1"/>
    <col min="6912" max="6912" width="63.28515625" style="1427" customWidth="1"/>
    <col min="6913" max="6913" width="22" style="1427" customWidth="1"/>
    <col min="6914" max="6916" width="8" style="1427" bestFit="1" customWidth="1"/>
    <col min="6917" max="6917" width="13.85546875" style="1427" customWidth="1"/>
    <col min="6918" max="6918" width="17.28515625" style="1427" bestFit="1" customWidth="1"/>
    <col min="6919" max="6930" width="10.7109375" style="1427" bestFit="1" customWidth="1"/>
    <col min="6931" max="7166" width="9.140625" style="1427"/>
    <col min="7167" max="7167" width="16.28515625" style="1427" bestFit="1" customWidth="1"/>
    <col min="7168" max="7168" width="63.28515625" style="1427" customWidth="1"/>
    <col min="7169" max="7169" width="22" style="1427" customWidth="1"/>
    <col min="7170" max="7172" width="8" style="1427" bestFit="1" customWidth="1"/>
    <col min="7173" max="7173" width="13.85546875" style="1427" customWidth="1"/>
    <col min="7174" max="7174" width="17.28515625" style="1427" bestFit="1" customWidth="1"/>
    <col min="7175" max="7186" width="10.7109375" style="1427" bestFit="1" customWidth="1"/>
    <col min="7187" max="7422" width="9.140625" style="1427"/>
    <col min="7423" max="7423" width="16.28515625" style="1427" bestFit="1" customWidth="1"/>
    <col min="7424" max="7424" width="63.28515625" style="1427" customWidth="1"/>
    <col min="7425" max="7425" width="22" style="1427" customWidth="1"/>
    <col min="7426" max="7428" width="8" style="1427" bestFit="1" customWidth="1"/>
    <col min="7429" max="7429" width="13.85546875" style="1427" customWidth="1"/>
    <col min="7430" max="7430" width="17.28515625" style="1427" bestFit="1" customWidth="1"/>
    <col min="7431" max="7442" width="10.7109375" style="1427" bestFit="1" customWidth="1"/>
    <col min="7443" max="7678" width="9.140625" style="1427"/>
    <col min="7679" max="7679" width="16.28515625" style="1427" bestFit="1" customWidth="1"/>
    <col min="7680" max="7680" width="63.28515625" style="1427" customWidth="1"/>
    <col min="7681" max="7681" width="22" style="1427" customWidth="1"/>
    <col min="7682" max="7684" width="8" style="1427" bestFit="1" customWidth="1"/>
    <col min="7685" max="7685" width="13.85546875" style="1427" customWidth="1"/>
    <col min="7686" max="7686" width="17.28515625" style="1427" bestFit="1" customWidth="1"/>
    <col min="7687" max="7698" width="10.7109375" style="1427" bestFit="1" customWidth="1"/>
    <col min="7699" max="7934" width="9.140625" style="1427"/>
    <col min="7935" max="7935" width="16.28515625" style="1427" bestFit="1" customWidth="1"/>
    <col min="7936" max="7936" width="63.28515625" style="1427" customWidth="1"/>
    <col min="7937" max="7937" width="22" style="1427" customWidth="1"/>
    <col min="7938" max="7940" width="8" style="1427" bestFit="1" customWidth="1"/>
    <col min="7941" max="7941" width="13.85546875" style="1427" customWidth="1"/>
    <col min="7942" max="7942" width="17.28515625" style="1427" bestFit="1" customWidth="1"/>
    <col min="7943" max="7954" width="10.7109375" style="1427" bestFit="1" customWidth="1"/>
    <col min="7955" max="8190" width="9.140625" style="1427"/>
    <col min="8191" max="8191" width="16.28515625" style="1427" bestFit="1" customWidth="1"/>
    <col min="8192" max="8192" width="63.28515625" style="1427" customWidth="1"/>
    <col min="8193" max="8193" width="22" style="1427" customWidth="1"/>
    <col min="8194" max="8196" width="8" style="1427" bestFit="1" customWidth="1"/>
    <col min="8197" max="8197" width="13.85546875" style="1427" customWidth="1"/>
    <col min="8198" max="8198" width="17.28515625" style="1427" bestFit="1" customWidth="1"/>
    <col min="8199" max="8210" width="10.7109375" style="1427" bestFit="1" customWidth="1"/>
    <col min="8211" max="8446" width="9.140625" style="1427"/>
    <col min="8447" max="8447" width="16.28515625" style="1427" bestFit="1" customWidth="1"/>
    <col min="8448" max="8448" width="63.28515625" style="1427" customWidth="1"/>
    <col min="8449" max="8449" width="22" style="1427" customWidth="1"/>
    <col min="8450" max="8452" width="8" style="1427" bestFit="1" customWidth="1"/>
    <col min="8453" max="8453" width="13.85546875" style="1427" customWidth="1"/>
    <col min="8454" max="8454" width="17.28515625" style="1427" bestFit="1" customWidth="1"/>
    <col min="8455" max="8466" width="10.7109375" style="1427" bestFit="1" customWidth="1"/>
    <col min="8467" max="8702" width="9.140625" style="1427"/>
    <col min="8703" max="8703" width="16.28515625" style="1427" bestFit="1" customWidth="1"/>
    <col min="8704" max="8704" width="63.28515625" style="1427" customWidth="1"/>
    <col min="8705" max="8705" width="22" style="1427" customWidth="1"/>
    <col min="8706" max="8708" width="8" style="1427" bestFit="1" customWidth="1"/>
    <col min="8709" max="8709" width="13.85546875" style="1427" customWidth="1"/>
    <col min="8710" max="8710" width="17.28515625" style="1427" bestFit="1" customWidth="1"/>
    <col min="8711" max="8722" width="10.7109375" style="1427" bestFit="1" customWidth="1"/>
    <col min="8723" max="8958" width="9.140625" style="1427"/>
    <col min="8959" max="8959" width="16.28515625" style="1427" bestFit="1" customWidth="1"/>
    <col min="8960" max="8960" width="63.28515625" style="1427" customWidth="1"/>
    <col min="8961" max="8961" width="22" style="1427" customWidth="1"/>
    <col min="8962" max="8964" width="8" style="1427" bestFit="1" customWidth="1"/>
    <col min="8965" max="8965" width="13.85546875" style="1427" customWidth="1"/>
    <col min="8966" max="8966" width="17.28515625" style="1427" bestFit="1" customWidth="1"/>
    <col min="8967" max="8978" width="10.7109375" style="1427" bestFit="1" customWidth="1"/>
    <col min="8979" max="9214" width="9.140625" style="1427"/>
    <col min="9215" max="9215" width="16.28515625" style="1427" bestFit="1" customWidth="1"/>
    <col min="9216" max="9216" width="63.28515625" style="1427" customWidth="1"/>
    <col min="9217" max="9217" width="22" style="1427" customWidth="1"/>
    <col min="9218" max="9220" width="8" style="1427" bestFit="1" customWidth="1"/>
    <col min="9221" max="9221" width="13.85546875" style="1427" customWidth="1"/>
    <col min="9222" max="9222" width="17.28515625" style="1427" bestFit="1" customWidth="1"/>
    <col min="9223" max="9234" width="10.7109375" style="1427" bestFit="1" customWidth="1"/>
    <col min="9235" max="9470" width="9.140625" style="1427"/>
    <col min="9471" max="9471" width="16.28515625" style="1427" bestFit="1" customWidth="1"/>
    <col min="9472" max="9472" width="63.28515625" style="1427" customWidth="1"/>
    <col min="9473" max="9473" width="22" style="1427" customWidth="1"/>
    <col min="9474" max="9476" width="8" style="1427" bestFit="1" customWidth="1"/>
    <col min="9477" max="9477" width="13.85546875" style="1427" customWidth="1"/>
    <col min="9478" max="9478" width="17.28515625" style="1427" bestFit="1" customWidth="1"/>
    <col min="9479" max="9490" width="10.7109375" style="1427" bestFit="1" customWidth="1"/>
    <col min="9491" max="9726" width="9.140625" style="1427"/>
    <col min="9727" max="9727" width="16.28515625" style="1427" bestFit="1" customWidth="1"/>
    <col min="9728" max="9728" width="63.28515625" style="1427" customWidth="1"/>
    <col min="9729" max="9729" width="22" style="1427" customWidth="1"/>
    <col min="9730" max="9732" width="8" style="1427" bestFit="1" customWidth="1"/>
    <col min="9733" max="9733" width="13.85546875" style="1427" customWidth="1"/>
    <col min="9734" max="9734" width="17.28515625" style="1427" bestFit="1" customWidth="1"/>
    <col min="9735" max="9746" width="10.7109375" style="1427" bestFit="1" customWidth="1"/>
    <col min="9747" max="9982" width="9.140625" style="1427"/>
    <col min="9983" max="9983" width="16.28515625" style="1427" bestFit="1" customWidth="1"/>
    <col min="9984" max="9984" width="63.28515625" style="1427" customWidth="1"/>
    <col min="9985" max="9985" width="22" style="1427" customWidth="1"/>
    <col min="9986" max="9988" width="8" style="1427" bestFit="1" customWidth="1"/>
    <col min="9989" max="9989" width="13.85546875" style="1427" customWidth="1"/>
    <col min="9990" max="9990" width="17.28515625" style="1427" bestFit="1" customWidth="1"/>
    <col min="9991" max="10002" width="10.7109375" style="1427" bestFit="1" customWidth="1"/>
    <col min="10003" max="10238" width="9.140625" style="1427"/>
    <col min="10239" max="10239" width="16.28515625" style="1427" bestFit="1" customWidth="1"/>
    <col min="10240" max="10240" width="63.28515625" style="1427" customWidth="1"/>
    <col min="10241" max="10241" width="22" style="1427" customWidth="1"/>
    <col min="10242" max="10244" width="8" style="1427" bestFit="1" customWidth="1"/>
    <col min="10245" max="10245" width="13.85546875" style="1427" customWidth="1"/>
    <col min="10246" max="10246" width="17.28515625" style="1427" bestFit="1" customWidth="1"/>
    <col min="10247" max="10258" width="10.7109375" style="1427" bestFit="1" customWidth="1"/>
    <col min="10259" max="10494" width="9.140625" style="1427"/>
    <col min="10495" max="10495" width="16.28515625" style="1427" bestFit="1" customWidth="1"/>
    <col min="10496" max="10496" width="63.28515625" style="1427" customWidth="1"/>
    <col min="10497" max="10497" width="22" style="1427" customWidth="1"/>
    <col min="10498" max="10500" width="8" style="1427" bestFit="1" customWidth="1"/>
    <col min="10501" max="10501" width="13.85546875" style="1427" customWidth="1"/>
    <col min="10502" max="10502" width="17.28515625" style="1427" bestFit="1" customWidth="1"/>
    <col min="10503" max="10514" width="10.7109375" style="1427" bestFit="1" customWidth="1"/>
    <col min="10515" max="10750" width="9.140625" style="1427"/>
    <col min="10751" max="10751" width="16.28515625" style="1427" bestFit="1" customWidth="1"/>
    <col min="10752" max="10752" width="63.28515625" style="1427" customWidth="1"/>
    <col min="10753" max="10753" width="22" style="1427" customWidth="1"/>
    <col min="10754" max="10756" width="8" style="1427" bestFit="1" customWidth="1"/>
    <col min="10757" max="10757" width="13.85546875" style="1427" customWidth="1"/>
    <col min="10758" max="10758" width="17.28515625" style="1427" bestFit="1" customWidth="1"/>
    <col min="10759" max="10770" width="10.7109375" style="1427" bestFit="1" customWidth="1"/>
    <col min="10771" max="11006" width="9.140625" style="1427"/>
    <col min="11007" max="11007" width="16.28515625" style="1427" bestFit="1" customWidth="1"/>
    <col min="11008" max="11008" width="63.28515625" style="1427" customWidth="1"/>
    <col min="11009" max="11009" width="22" style="1427" customWidth="1"/>
    <col min="11010" max="11012" width="8" style="1427" bestFit="1" customWidth="1"/>
    <col min="11013" max="11013" width="13.85546875" style="1427" customWidth="1"/>
    <col min="11014" max="11014" width="17.28515625" style="1427" bestFit="1" customWidth="1"/>
    <col min="11015" max="11026" width="10.7109375" style="1427" bestFit="1" customWidth="1"/>
    <col min="11027" max="11262" width="9.140625" style="1427"/>
    <col min="11263" max="11263" width="16.28515625" style="1427" bestFit="1" customWidth="1"/>
    <col min="11264" max="11264" width="63.28515625" style="1427" customWidth="1"/>
    <col min="11265" max="11265" width="22" style="1427" customWidth="1"/>
    <col min="11266" max="11268" width="8" style="1427" bestFit="1" customWidth="1"/>
    <col min="11269" max="11269" width="13.85546875" style="1427" customWidth="1"/>
    <col min="11270" max="11270" width="17.28515625" style="1427" bestFit="1" customWidth="1"/>
    <col min="11271" max="11282" width="10.7109375" style="1427" bestFit="1" customWidth="1"/>
    <col min="11283" max="11518" width="9.140625" style="1427"/>
    <col min="11519" max="11519" width="16.28515625" style="1427" bestFit="1" customWidth="1"/>
    <col min="11520" max="11520" width="63.28515625" style="1427" customWidth="1"/>
    <col min="11521" max="11521" width="22" style="1427" customWidth="1"/>
    <col min="11522" max="11524" width="8" style="1427" bestFit="1" customWidth="1"/>
    <col min="11525" max="11525" width="13.85546875" style="1427" customWidth="1"/>
    <col min="11526" max="11526" width="17.28515625" style="1427" bestFit="1" customWidth="1"/>
    <col min="11527" max="11538" width="10.7109375" style="1427" bestFit="1" customWidth="1"/>
    <col min="11539" max="11774" width="9.140625" style="1427"/>
    <col min="11775" max="11775" width="16.28515625" style="1427" bestFit="1" customWidth="1"/>
    <col min="11776" max="11776" width="63.28515625" style="1427" customWidth="1"/>
    <col min="11777" max="11777" width="22" style="1427" customWidth="1"/>
    <col min="11778" max="11780" width="8" style="1427" bestFit="1" customWidth="1"/>
    <col min="11781" max="11781" width="13.85546875" style="1427" customWidth="1"/>
    <col min="11782" max="11782" width="17.28515625" style="1427" bestFit="1" customWidth="1"/>
    <col min="11783" max="11794" width="10.7109375" style="1427" bestFit="1" customWidth="1"/>
    <col min="11795" max="12030" width="9.140625" style="1427"/>
    <col min="12031" max="12031" width="16.28515625" style="1427" bestFit="1" customWidth="1"/>
    <col min="12032" max="12032" width="63.28515625" style="1427" customWidth="1"/>
    <col min="12033" max="12033" width="22" style="1427" customWidth="1"/>
    <col min="12034" max="12036" width="8" style="1427" bestFit="1" customWidth="1"/>
    <col min="12037" max="12037" width="13.85546875" style="1427" customWidth="1"/>
    <col min="12038" max="12038" width="17.28515625" style="1427" bestFit="1" customWidth="1"/>
    <col min="12039" max="12050" width="10.7109375" style="1427" bestFit="1" customWidth="1"/>
    <col min="12051" max="12286" width="9.140625" style="1427"/>
    <col min="12287" max="12287" width="16.28515625" style="1427" bestFit="1" customWidth="1"/>
    <col min="12288" max="12288" width="63.28515625" style="1427" customWidth="1"/>
    <col min="12289" max="12289" width="22" style="1427" customWidth="1"/>
    <col min="12290" max="12292" width="8" style="1427" bestFit="1" customWidth="1"/>
    <col min="12293" max="12293" width="13.85546875" style="1427" customWidth="1"/>
    <col min="12294" max="12294" width="17.28515625" style="1427" bestFit="1" customWidth="1"/>
    <col min="12295" max="12306" width="10.7109375" style="1427" bestFit="1" customWidth="1"/>
    <col min="12307" max="12542" width="9.140625" style="1427"/>
    <col min="12543" max="12543" width="16.28515625" style="1427" bestFit="1" customWidth="1"/>
    <col min="12544" max="12544" width="63.28515625" style="1427" customWidth="1"/>
    <col min="12545" max="12545" width="22" style="1427" customWidth="1"/>
    <col min="12546" max="12548" width="8" style="1427" bestFit="1" customWidth="1"/>
    <col min="12549" max="12549" width="13.85546875" style="1427" customWidth="1"/>
    <col min="12550" max="12550" width="17.28515625" style="1427" bestFit="1" customWidth="1"/>
    <col min="12551" max="12562" width="10.7109375" style="1427" bestFit="1" customWidth="1"/>
    <col min="12563" max="12798" width="9.140625" style="1427"/>
    <col min="12799" max="12799" width="16.28515625" style="1427" bestFit="1" customWidth="1"/>
    <col min="12800" max="12800" width="63.28515625" style="1427" customWidth="1"/>
    <col min="12801" max="12801" width="22" style="1427" customWidth="1"/>
    <col min="12802" max="12804" width="8" style="1427" bestFit="1" customWidth="1"/>
    <col min="12805" max="12805" width="13.85546875" style="1427" customWidth="1"/>
    <col min="12806" max="12806" width="17.28515625" style="1427" bestFit="1" customWidth="1"/>
    <col min="12807" max="12818" width="10.7109375" style="1427" bestFit="1" customWidth="1"/>
    <col min="12819" max="13054" width="9.140625" style="1427"/>
    <col min="13055" max="13055" width="16.28515625" style="1427" bestFit="1" customWidth="1"/>
    <col min="13056" max="13056" width="63.28515625" style="1427" customWidth="1"/>
    <col min="13057" max="13057" width="22" style="1427" customWidth="1"/>
    <col min="13058" max="13060" width="8" style="1427" bestFit="1" customWidth="1"/>
    <col min="13061" max="13061" width="13.85546875" style="1427" customWidth="1"/>
    <col min="13062" max="13062" width="17.28515625" style="1427" bestFit="1" customWidth="1"/>
    <col min="13063" max="13074" width="10.7109375" style="1427" bestFit="1" customWidth="1"/>
    <col min="13075" max="13310" width="9.140625" style="1427"/>
    <col min="13311" max="13311" width="16.28515625" style="1427" bestFit="1" customWidth="1"/>
    <col min="13312" max="13312" width="63.28515625" style="1427" customWidth="1"/>
    <col min="13313" max="13313" width="22" style="1427" customWidth="1"/>
    <col min="13314" max="13316" width="8" style="1427" bestFit="1" customWidth="1"/>
    <col min="13317" max="13317" width="13.85546875" style="1427" customWidth="1"/>
    <col min="13318" max="13318" width="17.28515625" style="1427" bestFit="1" customWidth="1"/>
    <col min="13319" max="13330" width="10.7109375" style="1427" bestFit="1" customWidth="1"/>
    <col min="13331" max="13566" width="9.140625" style="1427"/>
    <col min="13567" max="13567" width="16.28515625" style="1427" bestFit="1" customWidth="1"/>
    <col min="13568" max="13568" width="63.28515625" style="1427" customWidth="1"/>
    <col min="13569" max="13569" width="22" style="1427" customWidth="1"/>
    <col min="13570" max="13572" width="8" style="1427" bestFit="1" customWidth="1"/>
    <col min="13573" max="13573" width="13.85546875" style="1427" customWidth="1"/>
    <col min="13574" max="13574" width="17.28515625" style="1427" bestFit="1" customWidth="1"/>
    <col min="13575" max="13586" width="10.7109375" style="1427" bestFit="1" customWidth="1"/>
    <col min="13587" max="13822" width="9.140625" style="1427"/>
    <col min="13823" max="13823" width="16.28515625" style="1427" bestFit="1" customWidth="1"/>
    <col min="13824" max="13824" width="63.28515625" style="1427" customWidth="1"/>
    <col min="13825" max="13825" width="22" style="1427" customWidth="1"/>
    <col min="13826" max="13828" width="8" style="1427" bestFit="1" customWidth="1"/>
    <col min="13829" max="13829" width="13.85546875" style="1427" customWidth="1"/>
    <col min="13830" max="13830" width="17.28515625" style="1427" bestFit="1" customWidth="1"/>
    <col min="13831" max="13842" width="10.7109375" style="1427" bestFit="1" customWidth="1"/>
    <col min="13843" max="14078" width="9.140625" style="1427"/>
    <col min="14079" max="14079" width="16.28515625" style="1427" bestFit="1" customWidth="1"/>
    <col min="14080" max="14080" width="63.28515625" style="1427" customWidth="1"/>
    <col min="14081" max="14081" width="22" style="1427" customWidth="1"/>
    <col min="14082" max="14084" width="8" style="1427" bestFit="1" customWidth="1"/>
    <col min="14085" max="14085" width="13.85546875" style="1427" customWidth="1"/>
    <col min="14086" max="14086" width="17.28515625" style="1427" bestFit="1" customWidth="1"/>
    <col min="14087" max="14098" width="10.7109375" style="1427" bestFit="1" customWidth="1"/>
    <col min="14099" max="14334" width="9.140625" style="1427"/>
    <col min="14335" max="14335" width="16.28515625" style="1427" bestFit="1" customWidth="1"/>
    <col min="14336" max="14336" width="63.28515625" style="1427" customWidth="1"/>
    <col min="14337" max="14337" width="22" style="1427" customWidth="1"/>
    <col min="14338" max="14340" width="8" style="1427" bestFit="1" customWidth="1"/>
    <col min="14341" max="14341" width="13.85546875" style="1427" customWidth="1"/>
    <col min="14342" max="14342" width="17.28515625" style="1427" bestFit="1" customWidth="1"/>
    <col min="14343" max="14354" width="10.7109375" style="1427" bestFit="1" customWidth="1"/>
    <col min="14355" max="14590" width="9.140625" style="1427"/>
    <col min="14591" max="14591" width="16.28515625" style="1427" bestFit="1" customWidth="1"/>
    <col min="14592" max="14592" width="63.28515625" style="1427" customWidth="1"/>
    <col min="14593" max="14593" width="22" style="1427" customWidth="1"/>
    <col min="14594" max="14596" width="8" style="1427" bestFit="1" customWidth="1"/>
    <col min="14597" max="14597" width="13.85546875" style="1427" customWidth="1"/>
    <col min="14598" max="14598" width="17.28515625" style="1427" bestFit="1" customWidth="1"/>
    <col min="14599" max="14610" width="10.7109375" style="1427" bestFit="1" customWidth="1"/>
    <col min="14611" max="14846" width="9.140625" style="1427"/>
    <col min="14847" max="14847" width="16.28515625" style="1427" bestFit="1" customWidth="1"/>
    <col min="14848" max="14848" width="63.28515625" style="1427" customWidth="1"/>
    <col min="14849" max="14849" width="22" style="1427" customWidth="1"/>
    <col min="14850" max="14852" width="8" style="1427" bestFit="1" customWidth="1"/>
    <col min="14853" max="14853" width="13.85546875" style="1427" customWidth="1"/>
    <col min="14854" max="14854" width="17.28515625" style="1427" bestFit="1" customWidth="1"/>
    <col min="14855" max="14866" width="10.7109375" style="1427" bestFit="1" customWidth="1"/>
    <col min="14867" max="15102" width="9.140625" style="1427"/>
    <col min="15103" max="15103" width="16.28515625" style="1427" bestFit="1" customWidth="1"/>
    <col min="15104" max="15104" width="63.28515625" style="1427" customWidth="1"/>
    <col min="15105" max="15105" width="22" style="1427" customWidth="1"/>
    <col min="15106" max="15108" width="8" style="1427" bestFit="1" customWidth="1"/>
    <col min="15109" max="15109" width="13.85546875" style="1427" customWidth="1"/>
    <col min="15110" max="15110" width="17.28515625" style="1427" bestFit="1" customWidth="1"/>
    <col min="15111" max="15122" width="10.7109375" style="1427" bestFit="1" customWidth="1"/>
    <col min="15123" max="15358" width="9.140625" style="1427"/>
    <col min="15359" max="15359" width="16.28515625" style="1427" bestFit="1" customWidth="1"/>
    <col min="15360" max="15360" width="63.28515625" style="1427" customWidth="1"/>
    <col min="15361" max="15361" width="22" style="1427" customWidth="1"/>
    <col min="15362" max="15364" width="8" style="1427" bestFit="1" customWidth="1"/>
    <col min="15365" max="15365" width="13.85546875" style="1427" customWidth="1"/>
    <col min="15366" max="15366" width="17.28515625" style="1427" bestFit="1" customWidth="1"/>
    <col min="15367" max="15378" width="10.7109375" style="1427" bestFit="1" customWidth="1"/>
    <col min="15379" max="15614" width="9.140625" style="1427"/>
    <col min="15615" max="15615" width="16.28515625" style="1427" bestFit="1" customWidth="1"/>
    <col min="15616" max="15616" width="63.28515625" style="1427" customWidth="1"/>
    <col min="15617" max="15617" width="22" style="1427" customWidth="1"/>
    <col min="15618" max="15620" width="8" style="1427" bestFit="1" customWidth="1"/>
    <col min="15621" max="15621" width="13.85546875" style="1427" customWidth="1"/>
    <col min="15622" max="15622" width="17.28515625" style="1427" bestFit="1" customWidth="1"/>
    <col min="15623" max="15634" width="10.7109375" style="1427" bestFit="1" customWidth="1"/>
    <col min="15635" max="15870" width="9.140625" style="1427"/>
    <col min="15871" max="15871" width="16.28515625" style="1427" bestFit="1" customWidth="1"/>
    <col min="15872" max="15872" width="63.28515625" style="1427" customWidth="1"/>
    <col min="15873" max="15873" width="22" style="1427" customWidth="1"/>
    <col min="15874" max="15876" width="8" style="1427" bestFit="1" customWidth="1"/>
    <col min="15877" max="15877" width="13.85546875" style="1427" customWidth="1"/>
    <col min="15878" max="15878" width="17.28515625" style="1427" bestFit="1" customWidth="1"/>
    <col min="15879" max="15890" width="10.7109375" style="1427" bestFit="1" customWidth="1"/>
    <col min="15891" max="16126" width="9.140625" style="1427"/>
    <col min="16127" max="16127" width="16.28515625" style="1427" bestFit="1" customWidth="1"/>
    <col min="16128" max="16128" width="63.28515625" style="1427" customWidth="1"/>
    <col min="16129" max="16129" width="22" style="1427" customWidth="1"/>
    <col min="16130" max="16132" width="8" style="1427" bestFit="1" customWidth="1"/>
    <col min="16133" max="16133" width="13.85546875" style="1427" customWidth="1"/>
    <col min="16134" max="16134" width="17.28515625" style="1427" bestFit="1" customWidth="1"/>
    <col min="16135" max="16146" width="10.7109375" style="1427" bestFit="1" customWidth="1"/>
    <col min="16147" max="16384" width="9.140625" style="1427"/>
  </cols>
  <sheetData>
    <row r="1" spans="1:31" s="1435"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1427"/>
      <c r="AD1" s="1427"/>
      <c r="AE1" s="1427"/>
    </row>
    <row r="2" spans="1:31" s="1435" customFormat="1" ht="24.95" customHeight="1">
      <c r="B2" s="3054" t="str">
        <f>INDEX(dms_TradingNameFull_List,MATCH(dms_TradingName,dms_TradingName_List))</f>
        <v>AusNet Gas Services</v>
      </c>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7"/>
      <c r="AD2" s="1427"/>
      <c r="AE2" s="1427"/>
    </row>
    <row r="3" spans="1:31" s="1435" customFormat="1" ht="24.95" customHeight="1">
      <c r="B3" s="3054" t="str">
        <f ca="1">IF(SUM(dms_SingleYear_Model)&gt;0,CRY,CONCATENATE(FRCP_y1," to ",dms_MultiYear_FinalYear_Result))</f>
        <v>2018 to 2022</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7"/>
      <c r="AD3" s="1427"/>
      <c r="AE3" s="1427"/>
    </row>
    <row r="4" spans="1:31" s="1435" customFormat="1" ht="24" customHeight="1">
      <c r="B4" s="10" t="s">
        <v>1509</v>
      </c>
      <c r="C4" s="12"/>
      <c r="D4" s="12"/>
      <c r="E4" s="12"/>
      <c r="F4" s="12"/>
      <c r="G4" s="12"/>
      <c r="H4" s="12"/>
      <c r="I4" s="12"/>
      <c r="J4" s="12"/>
      <c r="K4" s="12"/>
      <c r="L4" s="12"/>
      <c r="M4" s="12"/>
      <c r="N4" s="12"/>
      <c r="O4" s="12"/>
      <c r="P4" s="12"/>
      <c r="Q4" s="12"/>
      <c r="R4" s="12"/>
      <c r="S4" s="12"/>
      <c r="T4" s="12"/>
      <c r="U4" s="12"/>
      <c r="V4" s="12"/>
      <c r="W4" s="12"/>
      <c r="X4" s="12"/>
      <c r="Y4" s="12"/>
      <c r="Z4" s="12"/>
      <c r="AA4" s="12"/>
      <c r="AB4" s="12"/>
      <c r="AC4" s="1427"/>
      <c r="AD4" s="1427"/>
      <c r="AE4" s="1427"/>
    </row>
    <row r="5" spans="1:31">
      <c r="A5" s="409"/>
      <c r="B5" s="1076"/>
      <c r="C5" s="1429"/>
      <c r="D5" s="1429"/>
      <c r="E5" s="1429"/>
      <c r="F5" s="1429"/>
      <c r="G5" s="1429"/>
      <c r="H5" s="1429"/>
      <c r="I5" s="1429"/>
      <c r="J5" s="1429"/>
      <c r="K5" s="1429"/>
      <c r="L5" s="1429"/>
      <c r="M5" s="1429"/>
      <c r="N5" s="1429"/>
      <c r="O5" s="1429"/>
      <c r="P5" s="1429"/>
      <c r="Q5" s="1429"/>
      <c r="R5" s="1429"/>
      <c r="S5" s="1429"/>
      <c r="T5" s="1429"/>
      <c r="U5" s="1429"/>
      <c r="V5" s="1429"/>
      <c r="W5" s="1429"/>
      <c r="X5" s="1429"/>
      <c r="Y5" s="1429"/>
      <c r="Z5" s="1429"/>
      <c r="AA5" s="1429"/>
      <c r="AB5" s="1429"/>
    </row>
    <row r="6" spans="1:31">
      <c r="A6" s="1429"/>
      <c r="B6" s="1429"/>
      <c r="C6" s="1429"/>
      <c r="D6" s="1429"/>
      <c r="E6" s="1429"/>
      <c r="F6" s="1429"/>
      <c r="G6" s="1429"/>
      <c r="H6" s="1429"/>
      <c r="I6" s="1429"/>
      <c r="J6" s="1429"/>
      <c r="K6" s="1429"/>
      <c r="L6" s="1429"/>
      <c r="M6" s="1429"/>
      <c r="N6" s="1429"/>
      <c r="O6" s="1429"/>
      <c r="P6" s="1429"/>
      <c r="Q6" s="1429"/>
      <c r="R6" s="1429"/>
      <c r="S6" s="1429"/>
      <c r="T6" s="1429"/>
      <c r="U6" s="1429"/>
      <c r="V6" s="1429"/>
      <c r="W6" s="1429"/>
      <c r="X6" s="1429"/>
      <c r="Y6" s="1429"/>
      <c r="Z6" s="1429"/>
      <c r="AA6" s="1429"/>
      <c r="AB6" s="1429"/>
    </row>
    <row r="7" spans="1:31">
      <c r="A7" s="1429"/>
      <c r="B7" s="4180" t="s">
        <v>59</v>
      </c>
      <c r="C7" s="4180"/>
      <c r="D7" s="4180"/>
      <c r="E7" s="4180"/>
      <c r="F7" s="4180"/>
      <c r="G7" s="4180"/>
      <c r="H7" s="4180"/>
      <c r="I7" s="1429"/>
      <c r="J7" s="1429"/>
      <c r="K7" s="1429"/>
      <c r="L7" s="1429"/>
      <c r="M7" s="1429"/>
      <c r="N7" s="1429"/>
      <c r="O7" s="1429"/>
      <c r="P7" s="1429"/>
      <c r="Q7" s="1429"/>
      <c r="R7" s="1429"/>
      <c r="S7" s="1429"/>
      <c r="T7" s="1429"/>
      <c r="U7" s="1429"/>
      <c r="V7" s="1429"/>
      <c r="W7" s="1429"/>
      <c r="X7" s="1429"/>
      <c r="Y7" s="1429"/>
      <c r="Z7" s="1429"/>
      <c r="AA7" s="1429"/>
      <c r="AB7" s="1429"/>
    </row>
    <row r="8" spans="1:31" ht="12.75" customHeight="1">
      <c r="A8" s="1429"/>
      <c r="B8" s="4181" t="s">
        <v>244</v>
      </c>
      <c r="C8" s="4181"/>
      <c r="D8" s="4181"/>
      <c r="E8" s="4181"/>
      <c r="F8" s="4181"/>
      <c r="G8" s="4181"/>
      <c r="H8" s="4181"/>
      <c r="I8" s="1429"/>
      <c r="J8" s="1429"/>
      <c r="K8" s="1429"/>
      <c r="L8" s="1429"/>
      <c r="M8" s="1429"/>
      <c r="N8" s="1429"/>
      <c r="O8" s="1429"/>
      <c r="P8" s="1429"/>
      <c r="Q8" s="1429"/>
      <c r="R8" s="1429"/>
      <c r="S8" s="1429"/>
      <c r="T8" s="1429"/>
      <c r="U8" s="1429"/>
      <c r="V8" s="1429"/>
      <c r="W8" s="1429"/>
      <c r="X8" s="1429"/>
      <c r="Y8" s="1429"/>
      <c r="Z8" s="1429"/>
      <c r="AA8" s="1429"/>
      <c r="AB8" s="1429"/>
    </row>
    <row r="9" spans="1:31" ht="12.75" customHeight="1">
      <c r="A9" s="1429"/>
      <c r="B9" s="3616" t="s">
        <v>512</v>
      </c>
      <c r="C9" s="3616"/>
      <c r="D9" s="3396"/>
      <c r="E9" s="3396"/>
      <c r="F9" s="3396"/>
      <c r="G9" s="3396"/>
      <c r="H9" s="3396"/>
      <c r="I9" s="308"/>
      <c r="J9" s="308"/>
      <c r="K9" s="308"/>
      <c r="L9" s="308"/>
      <c r="M9" s="308"/>
      <c r="N9" s="308"/>
      <c r="O9" s="308"/>
      <c r="P9" s="1429"/>
      <c r="Q9" s="1429"/>
      <c r="R9" s="1429"/>
      <c r="S9" s="308"/>
      <c r="T9" s="308"/>
      <c r="U9" s="1429"/>
      <c r="V9" s="1429"/>
      <c r="W9" s="1429"/>
      <c r="X9" s="308"/>
      <c r="Y9" s="308"/>
      <c r="Z9" s="1429"/>
      <c r="AA9" s="1429"/>
      <c r="AB9" s="1429"/>
    </row>
    <row r="10" spans="1:31" ht="20.25" customHeight="1">
      <c r="A10" s="1429"/>
      <c r="B10" s="4182" t="s">
        <v>420</v>
      </c>
      <c r="C10" s="4183"/>
      <c r="D10" s="4183"/>
      <c r="E10" s="4183"/>
      <c r="F10" s="4183"/>
      <c r="G10" s="4183"/>
      <c r="H10" s="4183"/>
      <c r="I10" s="1429"/>
      <c r="J10" s="1429"/>
      <c r="K10" s="1429"/>
      <c r="L10" s="1429"/>
      <c r="M10" s="1429"/>
      <c r="N10" s="1429"/>
      <c r="O10" s="1429"/>
      <c r="P10" s="1429"/>
      <c r="Q10" s="1429"/>
      <c r="R10" s="1429"/>
      <c r="S10" s="1429"/>
      <c r="T10" s="1429"/>
      <c r="U10" s="1429"/>
      <c r="V10" s="1429"/>
      <c r="W10" s="1429"/>
      <c r="X10" s="1429"/>
      <c r="Y10" s="1429"/>
      <c r="Z10" s="1429"/>
      <c r="AA10" s="1429"/>
      <c r="AB10" s="1429"/>
    </row>
    <row r="11" spans="1:31" ht="33.75" customHeight="1" thickBot="1">
      <c r="A11" s="1429"/>
      <c r="B11" s="151"/>
      <c r="C11" s="1429"/>
      <c r="D11" s="1429"/>
      <c r="E11" s="1429"/>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c r="AB11" s="1429"/>
    </row>
    <row r="12" spans="1:31">
      <c r="A12" s="1429"/>
      <c r="B12" s="1073" t="s">
        <v>270</v>
      </c>
      <c r="C12" s="1429"/>
      <c r="D12" s="1429"/>
      <c r="E12" s="1429"/>
      <c r="F12" s="1429"/>
      <c r="G12" s="1429"/>
      <c r="H12" s="1429"/>
      <c r="I12" s="1429"/>
      <c r="J12" s="1429"/>
      <c r="K12" s="1429"/>
      <c r="L12" s="1429"/>
      <c r="M12" s="1429"/>
      <c r="N12" s="1429"/>
      <c r="O12" s="1429"/>
      <c r="P12" s="1429"/>
      <c r="Q12" s="1429"/>
      <c r="R12" s="1429"/>
      <c r="S12" s="1429"/>
      <c r="T12" s="1429"/>
      <c r="U12" s="1429"/>
      <c r="V12" s="1429"/>
      <c r="W12" s="1429"/>
      <c r="X12" s="1429"/>
      <c r="Y12" s="1429"/>
      <c r="Z12" s="1429"/>
      <c r="AA12" s="1429"/>
      <c r="AB12" s="1429"/>
    </row>
    <row r="13" spans="1:31" ht="27" customHeight="1">
      <c r="A13" s="1429"/>
      <c r="B13" s="1060" t="s">
        <v>1510</v>
      </c>
      <c r="C13" s="1429"/>
      <c r="D13" s="1429"/>
      <c r="E13" s="1429"/>
      <c r="F13" s="1429"/>
      <c r="G13" s="1429"/>
      <c r="H13" s="1429"/>
      <c r="I13" s="1429"/>
      <c r="J13" s="1429"/>
      <c r="K13" s="1429"/>
      <c r="L13" s="1429"/>
      <c r="M13" s="1429"/>
      <c r="N13" s="1429"/>
      <c r="O13" s="1429"/>
      <c r="P13" s="1429"/>
      <c r="Q13" s="1429"/>
      <c r="R13" s="1429"/>
      <c r="S13" s="1429"/>
      <c r="T13" s="1429"/>
      <c r="U13" s="1429"/>
      <c r="V13" s="1429"/>
      <c r="W13" s="1429"/>
      <c r="X13" s="1429"/>
      <c r="Y13" s="1429"/>
      <c r="Z13" s="1429"/>
      <c r="AA13" s="1429"/>
      <c r="AB13" s="1429"/>
    </row>
    <row r="14" spans="1:31">
      <c r="A14" s="1429"/>
      <c r="B14" s="1429"/>
      <c r="C14" s="1429"/>
      <c r="D14" s="1429"/>
      <c r="E14" s="1429"/>
      <c r="F14" s="1429"/>
      <c r="G14" s="1429"/>
      <c r="H14" s="1429"/>
      <c r="I14" s="1429"/>
      <c r="J14" s="1429"/>
      <c r="K14" s="1429"/>
      <c r="L14" s="1429"/>
      <c r="M14" s="1429"/>
      <c r="N14" s="1429"/>
      <c r="O14" s="1429"/>
      <c r="P14" s="1429"/>
      <c r="Q14" s="1429"/>
      <c r="R14" s="1429"/>
      <c r="S14" s="1429"/>
      <c r="T14" s="1429"/>
      <c r="U14" s="1429"/>
      <c r="V14" s="1429"/>
      <c r="W14" s="1429"/>
      <c r="X14" s="1429"/>
      <c r="Y14" s="1429"/>
      <c r="Z14" s="1429"/>
      <c r="AA14" s="1429"/>
      <c r="AB14" s="1429"/>
    </row>
    <row r="15" spans="1:31" ht="13.5" thickBot="1">
      <c r="A15" s="1429"/>
      <c r="B15" s="1429"/>
      <c r="C15" s="1429"/>
      <c r="D15" s="1429"/>
      <c r="E15" s="1429"/>
      <c r="F15" s="1429"/>
      <c r="G15" s="1429"/>
      <c r="H15" s="1429"/>
      <c r="I15" s="1429"/>
      <c r="J15" s="1429"/>
      <c r="K15" s="1429"/>
      <c r="L15" s="1429"/>
      <c r="M15" s="1429"/>
      <c r="N15" s="1429"/>
      <c r="O15" s="1429"/>
      <c r="P15" s="1429"/>
      <c r="Q15" s="1429"/>
      <c r="R15" s="1429"/>
      <c r="S15" s="1429"/>
      <c r="T15" s="1429"/>
      <c r="U15" s="1429"/>
      <c r="V15" s="1429"/>
      <c r="W15" s="1429"/>
      <c r="X15" s="1429"/>
      <c r="Y15" s="1429"/>
      <c r="Z15" s="1429"/>
      <c r="AA15" s="1429"/>
      <c r="AB15" s="1429"/>
    </row>
    <row r="16" spans="1:31" ht="34.5" customHeight="1" thickBot="1">
      <c r="A16" s="1429"/>
      <c r="B16" s="972" t="s">
        <v>1534</v>
      </c>
      <c r="C16" s="989"/>
      <c r="D16" s="989"/>
      <c r="E16" s="989"/>
      <c r="F16" s="989"/>
      <c r="G16" s="989"/>
      <c r="H16" s="989"/>
      <c r="I16" s="989"/>
      <c r="J16" s="989"/>
      <c r="K16" s="990"/>
      <c r="L16" s="990"/>
      <c r="M16" s="990"/>
      <c r="N16" s="990"/>
      <c r="O16" s="990"/>
      <c r="P16" s="990"/>
      <c r="Q16" s="990"/>
      <c r="R16" s="990"/>
      <c r="S16" s="990"/>
      <c r="T16" s="990"/>
      <c r="U16" s="990"/>
      <c r="V16" s="990"/>
      <c r="W16" s="990"/>
      <c r="X16" s="990"/>
      <c r="Y16" s="990"/>
      <c r="Z16" s="990"/>
      <c r="AA16" s="990"/>
      <c r="AB16" s="990"/>
      <c r="AC16" s="990"/>
    </row>
    <row r="17" spans="1:135" ht="20.25" customHeight="1">
      <c r="A17" s="1429"/>
      <c r="B17" s="4184"/>
      <c r="C17" s="4120" t="s">
        <v>673</v>
      </c>
      <c r="D17" s="4111" t="s">
        <v>70</v>
      </c>
      <c r="E17" s="4189" t="s">
        <v>37</v>
      </c>
      <c r="F17" s="4079"/>
      <c r="G17" s="4079"/>
      <c r="H17" s="4079"/>
      <c r="I17" s="4079"/>
      <c r="J17" s="4080" t="s">
        <v>73</v>
      </c>
      <c r="K17" s="4080"/>
      <c r="L17" s="4080"/>
      <c r="M17" s="4080"/>
      <c r="N17" s="4080"/>
      <c r="O17" s="4154" t="s">
        <v>272</v>
      </c>
      <c r="P17" s="4154"/>
      <c r="Q17" s="4154"/>
      <c r="R17" s="4154"/>
      <c r="S17" s="4154"/>
      <c r="T17" s="4154"/>
      <c r="U17" s="4154"/>
      <c r="V17" s="4154"/>
      <c r="W17" s="4154"/>
      <c r="X17" s="4154"/>
      <c r="Y17" s="4154"/>
      <c r="Z17" s="4154"/>
      <c r="AA17" s="4154"/>
      <c r="AB17" s="4154"/>
      <c r="AC17" s="4155"/>
    </row>
    <row r="18" spans="1:135" ht="20.25" customHeight="1">
      <c r="A18" s="1429"/>
      <c r="B18" s="4185"/>
      <c r="C18" s="4121"/>
      <c r="D18" s="4112"/>
      <c r="E18" s="4156" t="s">
        <v>366</v>
      </c>
      <c r="F18" s="4157"/>
      <c r="G18" s="4157"/>
      <c r="H18" s="4157"/>
      <c r="I18" s="4157"/>
      <c r="J18" s="4157"/>
      <c r="K18" s="4157"/>
      <c r="L18" s="4157"/>
      <c r="M18" s="4157"/>
      <c r="N18" s="4157"/>
      <c r="O18" s="4157"/>
      <c r="P18" s="4157"/>
      <c r="Q18" s="4157"/>
      <c r="R18" s="4157"/>
      <c r="S18" s="4157"/>
      <c r="T18" s="4157"/>
      <c r="U18" s="4157"/>
      <c r="V18" s="4157"/>
      <c r="W18" s="4157"/>
      <c r="X18" s="4157"/>
      <c r="Y18" s="4157"/>
      <c r="Z18" s="4157"/>
      <c r="AA18" s="4157"/>
      <c r="AB18" s="4157"/>
      <c r="AC18" s="4158"/>
    </row>
    <row r="19" spans="1:135" ht="20.25" customHeight="1">
      <c r="A19" s="1429"/>
      <c r="B19" s="4185"/>
      <c r="C19" s="4121"/>
      <c r="D19" s="4112"/>
      <c r="E19" s="4156" t="s">
        <v>54</v>
      </c>
      <c r="F19" s="4157"/>
      <c r="G19" s="4162"/>
      <c r="H19" s="4159" t="s">
        <v>411</v>
      </c>
      <c r="I19" s="4160"/>
      <c r="J19" s="4160"/>
      <c r="K19" s="4160"/>
      <c r="L19" s="4160"/>
      <c r="M19" s="4160"/>
      <c r="N19" s="4160"/>
      <c r="O19" s="4160"/>
      <c r="P19" s="4160"/>
      <c r="Q19" s="4160"/>
      <c r="R19" s="4160"/>
      <c r="S19" s="4160"/>
      <c r="T19" s="4160"/>
      <c r="U19" s="4160"/>
      <c r="V19" s="4160"/>
      <c r="W19" s="4160"/>
      <c r="X19" s="4160"/>
      <c r="Y19" s="4160"/>
      <c r="Z19" s="4160"/>
      <c r="AA19" s="4160"/>
      <c r="AB19" s="4160"/>
      <c r="AC19" s="4161"/>
    </row>
    <row r="20" spans="1:135" ht="20.25" customHeight="1" thickBot="1">
      <c r="A20" s="1429"/>
      <c r="B20" s="4186"/>
      <c r="C20" s="4122"/>
      <c r="D20" s="4113"/>
      <c r="E20" s="1028">
        <f>CRCP_y1</f>
        <v>2013</v>
      </c>
      <c r="F20" s="1028">
        <f>CRCP_y2</f>
        <v>2014</v>
      </c>
      <c r="G20" s="1028">
        <f>CRCP_y3</f>
        <v>2015</v>
      </c>
      <c r="H20" s="1028">
        <f>CRCP_y4</f>
        <v>2016</v>
      </c>
      <c r="I20" s="1028">
        <f>CRCP_y5</f>
        <v>2017</v>
      </c>
      <c r="J20" s="1028" t="str">
        <f>CONCATENATE(IF(dms_RPT="Calendar",I20+1,(LEFT(I20,4)+1&amp;"-"&amp;IF(MID(I20,6,2)&lt;"09","0"&amp;RIGHT(I20,1)+1,RIGHT(I20,2)+1))))</f>
        <v>2018</v>
      </c>
      <c r="K20" s="1028" t="str">
        <f t="shared" ref="K20:AC20" si="0">CONCATENATE(IF(dms_RPT="Calendar",J20+1,(LEFT(J20,4)+1&amp;"-"&amp;IF(MID(J20,6,2)&lt;"09","0"&amp;RIGHT(J20,1)+1,RIGHT(J20,2)+1))))</f>
        <v>2019</v>
      </c>
      <c r="L20" s="1028" t="str">
        <f t="shared" si="0"/>
        <v>2020</v>
      </c>
      <c r="M20" s="1028" t="str">
        <f t="shared" si="0"/>
        <v>2021</v>
      </c>
      <c r="N20" s="1028" t="str">
        <f t="shared" si="0"/>
        <v>2022</v>
      </c>
      <c r="O20" s="1028" t="str">
        <f t="shared" si="0"/>
        <v>2023</v>
      </c>
      <c r="P20" s="1028" t="str">
        <f t="shared" si="0"/>
        <v>2024</v>
      </c>
      <c r="Q20" s="1028" t="str">
        <f t="shared" si="0"/>
        <v>2025</v>
      </c>
      <c r="R20" s="1028" t="str">
        <f t="shared" si="0"/>
        <v>2026</v>
      </c>
      <c r="S20" s="1028" t="str">
        <f t="shared" si="0"/>
        <v>2027</v>
      </c>
      <c r="T20" s="1028" t="str">
        <f t="shared" si="0"/>
        <v>2028</v>
      </c>
      <c r="U20" s="1028" t="str">
        <f t="shared" si="0"/>
        <v>2029</v>
      </c>
      <c r="V20" s="1028" t="str">
        <f t="shared" si="0"/>
        <v>2030</v>
      </c>
      <c r="W20" s="1028" t="str">
        <f t="shared" si="0"/>
        <v>2031</v>
      </c>
      <c r="X20" s="1028" t="str">
        <f t="shared" si="0"/>
        <v>2032</v>
      </c>
      <c r="Y20" s="1028" t="str">
        <f t="shared" si="0"/>
        <v>2033</v>
      </c>
      <c r="Z20" s="1028" t="str">
        <f t="shared" si="0"/>
        <v>2034</v>
      </c>
      <c r="AA20" s="1028" t="str">
        <f t="shared" si="0"/>
        <v>2035</v>
      </c>
      <c r="AB20" s="1028" t="str">
        <f t="shared" si="0"/>
        <v>2036</v>
      </c>
      <c r="AC20" s="1028" t="str">
        <f t="shared" si="0"/>
        <v>2037</v>
      </c>
    </row>
    <row r="21" spans="1:135" s="94" customFormat="1" ht="18.75" customHeight="1" thickBot="1">
      <c r="A21" s="308"/>
      <c r="B21" s="858" t="s">
        <v>1535</v>
      </c>
      <c r="C21" s="859"/>
      <c r="D21" s="859"/>
      <c r="E21" s="859"/>
      <c r="F21" s="859"/>
      <c r="G21" s="859"/>
      <c r="H21" s="859"/>
      <c r="I21" s="859"/>
      <c r="J21" s="859"/>
      <c r="K21" s="924"/>
      <c r="L21" s="924"/>
      <c r="M21" s="924"/>
      <c r="N21" s="924"/>
      <c r="O21" s="924"/>
      <c r="P21" s="924"/>
      <c r="Q21" s="924"/>
      <c r="R21" s="924"/>
      <c r="S21" s="924"/>
      <c r="T21" s="924"/>
      <c r="U21" s="924"/>
      <c r="V21" s="924"/>
      <c r="W21" s="924"/>
      <c r="X21" s="924"/>
      <c r="Y21" s="924"/>
      <c r="Z21" s="924"/>
      <c r="AA21" s="924"/>
      <c r="AB21" s="924"/>
      <c r="AC21" s="860"/>
      <c r="AD21" s="1427"/>
      <c r="AE21" s="1427"/>
      <c r="AF21" s="1427"/>
      <c r="DF21" s="1427"/>
      <c r="DG21" s="1427"/>
      <c r="DH21" s="1427"/>
      <c r="DI21" s="1427"/>
      <c r="DJ21" s="1427"/>
      <c r="DK21" s="1427"/>
      <c r="DL21" s="1427"/>
      <c r="DM21" s="1427"/>
      <c r="DN21" s="1427"/>
      <c r="DO21" s="1427"/>
      <c r="DP21" s="1427"/>
      <c r="DQ21" s="1427"/>
      <c r="DR21" s="1427"/>
      <c r="DS21" s="1427"/>
      <c r="DT21" s="1427"/>
      <c r="DU21" s="1427"/>
      <c r="DV21" s="1427"/>
      <c r="DW21" s="1427"/>
      <c r="DX21" s="1427"/>
      <c r="DY21" s="1427"/>
      <c r="DZ21" s="1427"/>
      <c r="EA21" s="1427"/>
      <c r="EB21" s="1427"/>
      <c r="EC21" s="1427"/>
      <c r="ED21" s="1427"/>
      <c r="EE21" s="1427"/>
    </row>
    <row r="22" spans="1:135" s="529" customFormat="1">
      <c r="B22" s="4176" t="str">
        <f>+'29.2.3 Gas extenstions cust no'!B23</f>
        <v>Declining block tariff</v>
      </c>
      <c r="C22" s="4178" t="s">
        <v>47</v>
      </c>
      <c r="D22" s="4179"/>
      <c r="E22" s="2023">
        <f>+'29.2.3 Gas extenstions cust no'!D25</f>
        <v>0</v>
      </c>
      <c r="F22" s="2011">
        <f>+'29.2.3 Gas extenstions cust no'!E25</f>
        <v>0</v>
      </c>
      <c r="G22" s="2011">
        <f>+'29.2.3 Gas extenstions cust no'!F25</f>
        <v>0</v>
      </c>
      <c r="H22" s="2011">
        <f>+'29.2.3 Gas extenstions cust no'!G25</f>
        <v>0</v>
      </c>
      <c r="I22" s="2024">
        <f>+'29.2.3 Gas extenstions cust no'!H25</f>
        <v>0</v>
      </c>
      <c r="J22" s="2010">
        <f>+'29.2.3 Gas extenstions cust no'!I25</f>
        <v>80.313551316943659</v>
      </c>
      <c r="K22" s="1978">
        <f>+'29.2.3 Gas extenstions cust no'!J25</f>
        <v>220.86226612159507</v>
      </c>
      <c r="L22" s="1978">
        <f>+'29.2.3 Gas extenstions cust no'!K25</f>
        <v>326.27380222508361</v>
      </c>
      <c r="M22" s="1978">
        <f>+'29.2.3 Gas extenstions cust no'!L25</f>
        <v>405.3324543027</v>
      </c>
      <c r="N22" s="1979">
        <f>+'29.2.3 Gas extenstions cust no'!M25</f>
        <v>464.62644336091228</v>
      </c>
      <c r="O22" s="1977">
        <f>+'29.2.3 Gas extenstions cust no'!N25</f>
        <v>509.31915881666407</v>
      </c>
      <c r="P22" s="1978">
        <f>+'29.2.3 Gas extenstions cust no'!O25</f>
        <v>543.06091907057032</v>
      </c>
      <c r="Q22" s="1978">
        <f>+'29.2.3 Gas extenstions cust no'!P25</f>
        <v>568.36723926100001</v>
      </c>
      <c r="R22" s="1978">
        <f>+'29.2.3 Gas extenstions cust no'!Q25</f>
        <v>587.34697940382227</v>
      </c>
      <c r="S22" s="1978">
        <f>+'29.2.3 Gas extenstions cust no'!R25</f>
        <v>601.58178451093897</v>
      </c>
      <c r="T22" s="1978">
        <f>+'29.2.3 Gas extenstions cust no'!S25</f>
        <v>612.2578883412765</v>
      </c>
      <c r="U22" s="1978">
        <f>+'29.2.3 Gas extenstions cust no'!T25</f>
        <v>620.26496621402964</v>
      </c>
      <c r="V22" s="1978">
        <f>+'29.2.3 Gas extenstions cust no'!U25</f>
        <v>626.2702746185945</v>
      </c>
      <c r="W22" s="1978">
        <f>+'29.2.3 Gas extenstions cust no'!V25</f>
        <v>630.77425592201814</v>
      </c>
      <c r="X22" s="1978">
        <f>+'29.2.3 Gas extenstions cust no'!W25</f>
        <v>634.15224189958587</v>
      </c>
      <c r="Y22" s="1978">
        <f>+'29.2.3 Gas extenstions cust no'!X25</f>
        <v>636.68573138276167</v>
      </c>
      <c r="Z22" s="1978">
        <f>+'29.2.3 Gas extenstions cust no'!Y25</f>
        <v>638.58584849514352</v>
      </c>
      <c r="AA22" s="1978">
        <f>+'29.2.3 Gas extenstions cust no'!Z25</f>
        <v>640.01093632942991</v>
      </c>
      <c r="AB22" s="1978">
        <f>+'29.2.3 Gas extenstions cust no'!AA25</f>
        <v>641.0797522051447</v>
      </c>
      <c r="AC22" s="1979">
        <f>+'29.2.3 Gas extenstions cust no'!AB25</f>
        <v>641.88136411193079</v>
      </c>
      <c r="AD22" s="1427"/>
      <c r="AE22" s="1427"/>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row>
    <row r="23" spans="1:135" s="529" customFormat="1">
      <c r="B23" s="4176"/>
      <c r="C23" s="1026" t="s">
        <v>1483</v>
      </c>
      <c r="D23" s="884" t="s">
        <v>1479</v>
      </c>
      <c r="E23" s="1980"/>
      <c r="F23" s="1025"/>
      <c r="G23" s="1025"/>
      <c r="H23" s="1025"/>
      <c r="I23" s="702">
        <f>I$22*('28. Consumption and demand'!N92/'28. Consumption and demand'!N$91)</f>
        <v>0</v>
      </c>
      <c r="J23" s="514">
        <f>J$22*('28. Consumption and demand'!O92/'28. Consumption and demand'!O$91)</f>
        <v>823.54016323735652</v>
      </c>
      <c r="K23" s="513">
        <f>K$22*('28. Consumption and demand'!P92/'28. Consumption and demand'!P$91)</f>
        <v>2227.0447445598811</v>
      </c>
      <c r="L23" s="513">
        <f>L$22*('28. Consumption and demand'!Q92/'28. Consumption and demand'!Q$91)</f>
        <v>3222.3533934379534</v>
      </c>
      <c r="M23" s="513">
        <f>M$22*('28. Consumption and demand'!R92/'28. Consumption and demand'!R$91)</f>
        <v>3906.4052683618238</v>
      </c>
      <c r="N23" s="515">
        <f>N$22*('28. Consumption and demand'!S92/'28. Consumption and demand'!S$91)</f>
        <v>4366.2558636556232</v>
      </c>
      <c r="O23" s="514">
        <f>+O$22*(N23/N$22)</f>
        <v>4786.2488143577157</v>
      </c>
      <c r="P23" s="513">
        <f>+P$22*(O23/O$22)</f>
        <v>5103.3318402246732</v>
      </c>
      <c r="Q23" s="513">
        <f t="shared" ref="Q23:AC30" si="1">+Q$22*(P23/P$22)</f>
        <v>5341.1441096248909</v>
      </c>
      <c r="R23" s="513">
        <f t="shared" si="1"/>
        <v>5519.5033116750546</v>
      </c>
      <c r="S23" s="513">
        <f t="shared" si="1"/>
        <v>5653.2727132126765</v>
      </c>
      <c r="T23" s="513">
        <f t="shared" si="1"/>
        <v>5753.5997643658939</v>
      </c>
      <c r="U23" s="513">
        <f t="shared" si="1"/>
        <v>5828.8450527308059</v>
      </c>
      <c r="V23" s="513">
        <f t="shared" si="1"/>
        <v>5885.2790190044907</v>
      </c>
      <c r="W23" s="513">
        <f t="shared" si="1"/>
        <v>5927.604493709754</v>
      </c>
      <c r="X23" s="513">
        <f t="shared" si="1"/>
        <v>5959.3485997387015</v>
      </c>
      <c r="Y23" s="513">
        <f t="shared" si="1"/>
        <v>5983.1566792604126</v>
      </c>
      <c r="Z23" s="513">
        <f t="shared" si="1"/>
        <v>6001.0127389016952</v>
      </c>
      <c r="AA23" s="513">
        <f t="shared" si="1"/>
        <v>6014.4047836326572</v>
      </c>
      <c r="AB23" s="513">
        <f t="shared" si="1"/>
        <v>6024.4488171808789</v>
      </c>
      <c r="AC23" s="515">
        <f t="shared" si="1"/>
        <v>6031.9818423420456</v>
      </c>
      <c r="AD23" s="1427"/>
      <c r="AE23" s="1427"/>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row>
    <row r="24" spans="1:135" s="529" customFormat="1">
      <c r="B24" s="4176"/>
      <c r="C24" s="1026" t="s">
        <v>1484</v>
      </c>
      <c r="D24" s="884" t="s">
        <v>1480</v>
      </c>
      <c r="E24" s="1980"/>
      <c r="F24" s="1025"/>
      <c r="G24" s="1025"/>
      <c r="H24" s="1025"/>
      <c r="I24" s="702">
        <f>I$22*('28. Consumption and demand'!N93/'28. Consumption and demand'!N$91)</f>
        <v>0</v>
      </c>
      <c r="J24" s="514">
        <f>J$22*('28. Consumption and demand'!O93/'28. Consumption and demand'!O$91)</f>
        <v>649.07576083405047</v>
      </c>
      <c r="K24" s="513">
        <f>K$22*('28. Consumption and demand'!P93/'28. Consumption and demand'!P$91)</f>
        <v>1752.3662846179332</v>
      </c>
      <c r="L24" s="513">
        <f>L$22*('28. Consumption and demand'!Q93/'28. Consumption and demand'!Q$91)</f>
        <v>2530.9236917683243</v>
      </c>
      <c r="M24" s="513">
        <f>M$22*('28. Consumption and demand'!R93/'28. Consumption and demand'!R$91)</f>
        <v>3062.3229473439342</v>
      </c>
      <c r="N24" s="515">
        <f>N$22*('28. Consumption and demand'!S93/'28. Consumption and demand'!S$91)</f>
        <v>3415.570718673036</v>
      </c>
      <c r="O24" s="514">
        <f t="shared" ref="O24:P30" si="2">+O$22*(N24/N$22)</f>
        <v>3744.1166558014475</v>
      </c>
      <c r="P24" s="513">
        <f t="shared" si="2"/>
        <v>3992.1597234453743</v>
      </c>
      <c r="Q24" s="513">
        <f t="shared" si="1"/>
        <v>4178.1920241783191</v>
      </c>
      <c r="R24" s="513">
        <f t="shared" si="1"/>
        <v>4317.7162497280278</v>
      </c>
      <c r="S24" s="513">
        <f t="shared" si="1"/>
        <v>4422.3594188903098</v>
      </c>
      <c r="T24" s="513">
        <f t="shared" si="1"/>
        <v>4500.8417957620213</v>
      </c>
      <c r="U24" s="513">
        <f t="shared" si="1"/>
        <v>4559.7035784158043</v>
      </c>
      <c r="V24" s="513">
        <f t="shared" si="1"/>
        <v>4603.8499154061419</v>
      </c>
      <c r="W24" s="513">
        <f t="shared" si="1"/>
        <v>4636.9596681488947</v>
      </c>
      <c r="X24" s="513">
        <f t="shared" si="1"/>
        <v>4661.7919827059595</v>
      </c>
      <c r="Y24" s="513">
        <f t="shared" si="1"/>
        <v>4680.4162186237581</v>
      </c>
      <c r="Z24" s="513">
        <f t="shared" si="1"/>
        <v>4694.3843955621078</v>
      </c>
      <c r="AA24" s="513">
        <f t="shared" si="1"/>
        <v>4704.86052826587</v>
      </c>
      <c r="AB24" s="513">
        <f t="shared" si="1"/>
        <v>4712.7176277936915</v>
      </c>
      <c r="AC24" s="515">
        <f t="shared" si="1"/>
        <v>4718.6104524395578</v>
      </c>
      <c r="AD24" s="1427"/>
      <c r="AE24" s="1427"/>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row>
    <row r="25" spans="1:135" s="529" customFormat="1">
      <c r="B25" s="4176"/>
      <c r="C25" s="1026" t="s">
        <v>1485</v>
      </c>
      <c r="D25" s="884" t="s">
        <v>1481</v>
      </c>
      <c r="E25" s="1980"/>
      <c r="F25" s="1025"/>
      <c r="G25" s="1025"/>
      <c r="H25" s="1025"/>
      <c r="I25" s="702">
        <f>I$22*('28. Consumption and demand'!N94/'28. Consumption and demand'!N$91)</f>
        <v>0</v>
      </c>
      <c r="J25" s="514">
        <f>J$22*('28. Consumption and demand'!O94/'28. Consumption and demand'!O$91)</f>
        <v>1203.5806259175697</v>
      </c>
      <c r="K25" s="513">
        <f>K$22*('28. Consumption and demand'!P94/'28. Consumption and demand'!P$91)</f>
        <v>3248.8546786258921</v>
      </c>
      <c r="L25" s="513">
        <f>L$22*('28. Consumption and demand'!Q94/'28. Consumption and demand'!Q$91)</f>
        <v>4694.7090010487491</v>
      </c>
      <c r="M25" s="513">
        <f>M$22*('28. Consumption and demand'!R94/'28. Consumption and demand'!R$91)</f>
        <v>5690.0597559447851</v>
      </c>
      <c r="N25" s="515">
        <f>N$22*('28. Consumption and demand'!S94/'28. Consumption and demand'!S$91)</f>
        <v>6367.4178255589022</v>
      </c>
      <c r="O25" s="514">
        <f t="shared" si="2"/>
        <v>6979.9038283078507</v>
      </c>
      <c r="P25" s="513">
        <f t="shared" si="2"/>
        <v>7442.3137681131238</v>
      </c>
      <c r="Q25" s="513">
        <f t="shared" si="1"/>
        <v>7789.1212229670782</v>
      </c>
      <c r="R25" s="513">
        <f t="shared" si="1"/>
        <v>8049.2268141075447</v>
      </c>
      <c r="S25" s="513">
        <f t="shared" si="1"/>
        <v>8244.3060074628938</v>
      </c>
      <c r="T25" s="513">
        <f t="shared" si="1"/>
        <v>8390.6154024794068</v>
      </c>
      <c r="U25" s="513">
        <f t="shared" si="1"/>
        <v>8500.3474487417898</v>
      </c>
      <c r="V25" s="513">
        <f t="shared" si="1"/>
        <v>8582.646483438577</v>
      </c>
      <c r="W25" s="513">
        <f t="shared" si="1"/>
        <v>8644.3707594611678</v>
      </c>
      <c r="X25" s="513">
        <f t="shared" si="1"/>
        <v>8690.6639664781105</v>
      </c>
      <c r="Y25" s="513">
        <f t="shared" si="1"/>
        <v>8725.383871740818</v>
      </c>
      <c r="Z25" s="513">
        <f t="shared" si="1"/>
        <v>8751.4238006878495</v>
      </c>
      <c r="AA25" s="513">
        <f t="shared" si="1"/>
        <v>8770.9537473981236</v>
      </c>
      <c r="AB25" s="513">
        <f t="shared" si="1"/>
        <v>8785.6012074308292</v>
      </c>
      <c r="AC25" s="515">
        <f t="shared" si="1"/>
        <v>8796.5868024553565</v>
      </c>
      <c r="AD25" s="1427"/>
      <c r="AE25" s="1427"/>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row>
    <row r="26" spans="1:135" s="529" customFormat="1">
      <c r="B26" s="4176"/>
      <c r="C26" s="1026" t="s">
        <v>1486</v>
      </c>
      <c r="D26" s="884" t="s">
        <v>1482</v>
      </c>
      <c r="E26" s="1980"/>
      <c r="F26" s="1025"/>
      <c r="G26" s="1025"/>
      <c r="H26" s="1025"/>
      <c r="I26" s="702">
        <f>I$22*('28. Consumption and demand'!N95/'28. Consumption and demand'!N$91)</f>
        <v>0</v>
      </c>
      <c r="J26" s="514">
        <f>J$22*('28. Consumption and demand'!O95/'28. Consumption and demand'!O$91)</f>
        <v>11.475273413225608</v>
      </c>
      <c r="K26" s="513">
        <f>K$22*('28. Consumption and demand'!P95/'28. Consumption and demand'!P$91)</f>
        <v>31.72015594163253</v>
      </c>
      <c r="L26" s="513">
        <f>L$22*('28. Consumption and demand'!Q95/'28. Consumption and demand'!Q$91)</f>
        <v>46.852346986792291</v>
      </c>
      <c r="M26" s="513">
        <f>M$22*('28. Consumption and demand'!R95/'28. Consumption and demand'!R$91)</f>
        <v>57.843316982667226</v>
      </c>
      <c r="N26" s="515">
        <f>N$22*('28. Consumption and demand'!S95/'28. Consumption and demand'!S$91)</f>
        <v>65.630850682442386</v>
      </c>
      <c r="O26" s="514">
        <f t="shared" si="2"/>
        <v>71.943924285080342</v>
      </c>
      <c r="P26" s="513">
        <f t="shared" si="2"/>
        <v>76.710119710739122</v>
      </c>
      <c r="Q26" s="513">
        <f t="shared" si="1"/>
        <v>80.284766279983202</v>
      </c>
      <c r="R26" s="513">
        <f t="shared" si="1"/>
        <v>82.965751206916281</v>
      </c>
      <c r="S26" s="513">
        <f t="shared" si="1"/>
        <v>84.976489902116072</v>
      </c>
      <c r="T26" s="513">
        <f t="shared" si="1"/>
        <v>86.484543923515929</v>
      </c>
      <c r="U26" s="513">
        <f t="shared" si="1"/>
        <v>87.615584439565808</v>
      </c>
      <c r="V26" s="513">
        <f t="shared" si="1"/>
        <v>88.463864826603228</v>
      </c>
      <c r="W26" s="513">
        <f t="shared" si="1"/>
        <v>89.100075116881285</v>
      </c>
      <c r="X26" s="513">
        <f t="shared" si="1"/>
        <v>89.577232834589836</v>
      </c>
      <c r="Y26" s="513">
        <f t="shared" si="1"/>
        <v>89.935101122871245</v>
      </c>
      <c r="Z26" s="513">
        <f t="shared" si="1"/>
        <v>90.203502339082306</v>
      </c>
      <c r="AA26" s="513">
        <f t="shared" si="1"/>
        <v>90.404803251240594</v>
      </c>
      <c r="AB26" s="513">
        <f t="shared" si="1"/>
        <v>90.555778935359314</v>
      </c>
      <c r="AC26" s="515">
        <f t="shared" si="1"/>
        <v>90.669010698448361</v>
      </c>
      <c r="AD26" s="1427"/>
      <c r="AE26" s="1427"/>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row>
    <row r="27" spans="1:135" s="529" customFormat="1">
      <c r="B27" s="4176"/>
      <c r="C27" s="3417" t="s">
        <v>1491</v>
      </c>
      <c r="D27" s="884" t="s">
        <v>1487</v>
      </c>
      <c r="E27" s="1980"/>
      <c r="F27" s="1025"/>
      <c r="G27" s="1025"/>
      <c r="H27" s="1025"/>
      <c r="I27" s="702">
        <f>I$22*('28. Consumption and demand'!N96/'28. Consumption and demand'!N$91)</f>
        <v>0</v>
      </c>
      <c r="J27" s="514">
        <f>J$22*('28. Consumption and demand'!O96/'28. Consumption and demand'!O$91)</f>
        <v>979.66645628357765</v>
      </c>
      <c r="K27" s="513">
        <f>K$22*('28. Consumption and demand'!P96/'28. Consumption and demand'!P$91)</f>
        <v>2621.8073599287386</v>
      </c>
      <c r="L27" s="513">
        <f>L$22*('28. Consumption and demand'!Q96/'28. Consumption and demand'!Q$91)</f>
        <v>3756.1978990057232</v>
      </c>
      <c r="M27" s="513">
        <f>M$22*('28. Consumption and demand'!R96/'28. Consumption and demand'!R$91)</f>
        <v>4514.0206522679728</v>
      </c>
      <c r="N27" s="515">
        <f>N$22*('28. Consumption and demand'!S96/'28. Consumption and demand'!S$91)</f>
        <v>5009.6781751634217</v>
      </c>
      <c r="O27" s="514">
        <f t="shared" si="2"/>
        <v>5491.5623305031349</v>
      </c>
      <c r="P27" s="513">
        <f t="shared" si="2"/>
        <v>5855.3714988166303</v>
      </c>
      <c r="Q27" s="513">
        <f t="shared" si="1"/>
        <v>6128.2283750517518</v>
      </c>
      <c r="R27" s="513">
        <f t="shared" si="1"/>
        <v>6332.8710322280931</v>
      </c>
      <c r="S27" s="513">
        <f t="shared" si="1"/>
        <v>6486.3530251103484</v>
      </c>
      <c r="T27" s="513">
        <f t="shared" si="1"/>
        <v>6601.4645197720401</v>
      </c>
      <c r="U27" s="513">
        <f t="shared" si="1"/>
        <v>6687.7981407683092</v>
      </c>
      <c r="V27" s="513">
        <f t="shared" si="1"/>
        <v>6752.5483565155109</v>
      </c>
      <c r="W27" s="513">
        <f t="shared" si="1"/>
        <v>6801.1110183259116</v>
      </c>
      <c r="X27" s="513">
        <f t="shared" si="1"/>
        <v>6837.5330146837132</v>
      </c>
      <c r="Y27" s="513">
        <f t="shared" si="1"/>
        <v>6864.8495119520639</v>
      </c>
      <c r="Z27" s="513">
        <f t="shared" si="1"/>
        <v>6885.3368849033268</v>
      </c>
      <c r="AA27" s="513">
        <f t="shared" si="1"/>
        <v>6900.7024146167741</v>
      </c>
      <c r="AB27" s="513">
        <f t="shared" si="1"/>
        <v>6912.226561901859</v>
      </c>
      <c r="AC27" s="515">
        <f t="shared" si="1"/>
        <v>6920.8696723656731</v>
      </c>
      <c r="AD27" s="1427"/>
      <c r="AE27" s="1427"/>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row>
    <row r="28" spans="1:135" s="529" customFormat="1">
      <c r="B28" s="4176"/>
      <c r="C28" s="3417" t="s">
        <v>1492</v>
      </c>
      <c r="D28" s="884" t="s">
        <v>1488</v>
      </c>
      <c r="E28" s="1980"/>
      <c r="F28" s="1025"/>
      <c r="G28" s="1025"/>
      <c r="H28" s="1025"/>
      <c r="I28" s="702">
        <f>I$22*('28. Consumption and demand'!N97/'28. Consumption and demand'!N$91)</f>
        <v>0</v>
      </c>
      <c r="J28" s="514">
        <f>J$22*('28. Consumption and demand'!O97/'28. Consumption and demand'!O$91)</f>
        <v>300.39474197083871</v>
      </c>
      <c r="K28" s="513">
        <f>K$22*('28. Consumption and demand'!P97/'28. Consumption and demand'!P$91)</f>
        <v>795.64859023476447</v>
      </c>
      <c r="L28" s="513">
        <f>L$22*('28. Consumption and demand'!Q97/'28. Consumption and demand'!Q$91)</f>
        <v>1127.4344017362637</v>
      </c>
      <c r="M28" s="513">
        <f>M$22*('28. Consumption and demand'!R97/'28. Consumption and demand'!R$91)</f>
        <v>1340.1300156805514</v>
      </c>
      <c r="N28" s="515">
        <f>N$22*('28. Consumption and demand'!S97/'28. Consumption and demand'!S$91)</f>
        <v>1470.7469458137166</v>
      </c>
      <c r="O28" s="514">
        <f t="shared" si="2"/>
        <v>1612.2190374174427</v>
      </c>
      <c r="P28" s="513">
        <f t="shared" si="2"/>
        <v>1719.0265417016169</v>
      </c>
      <c r="Q28" s="513">
        <f t="shared" si="1"/>
        <v>1799.1321699147475</v>
      </c>
      <c r="R28" s="513">
        <f t="shared" si="1"/>
        <v>1859.2113910745954</v>
      </c>
      <c r="S28" s="513">
        <f t="shared" si="1"/>
        <v>1904.2708069444816</v>
      </c>
      <c r="T28" s="513">
        <f t="shared" si="1"/>
        <v>1938.065368846896</v>
      </c>
      <c r="U28" s="513">
        <f t="shared" si="1"/>
        <v>1963.411290273707</v>
      </c>
      <c r="V28" s="513">
        <f t="shared" si="1"/>
        <v>1982.4207313438151</v>
      </c>
      <c r="W28" s="513">
        <f t="shared" si="1"/>
        <v>1996.677812146396</v>
      </c>
      <c r="X28" s="513">
        <f t="shared" si="1"/>
        <v>2007.3706227483319</v>
      </c>
      <c r="Y28" s="513">
        <f t="shared" si="1"/>
        <v>2015.3902306997838</v>
      </c>
      <c r="Z28" s="513">
        <f t="shared" si="1"/>
        <v>2021.4049366633728</v>
      </c>
      <c r="AA28" s="513">
        <f t="shared" si="1"/>
        <v>2025.9159661360645</v>
      </c>
      <c r="AB28" s="513">
        <f t="shared" si="1"/>
        <v>2029.2992382405832</v>
      </c>
      <c r="AC28" s="515">
        <f t="shared" si="1"/>
        <v>2031.8366923189724</v>
      </c>
      <c r="AD28" s="1427"/>
      <c r="AE28" s="1427"/>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row>
    <row r="29" spans="1:135" s="529" customFormat="1">
      <c r="B29" s="4176"/>
      <c r="C29" s="3417" t="s">
        <v>1493</v>
      </c>
      <c r="D29" s="884" t="s">
        <v>1489</v>
      </c>
      <c r="E29" s="1980"/>
      <c r="F29" s="1025"/>
      <c r="G29" s="1025"/>
      <c r="H29" s="1025"/>
      <c r="I29" s="702">
        <f>I$22*('28. Consumption and demand'!N98/'28. Consumption and demand'!N$91)</f>
        <v>0</v>
      </c>
      <c r="J29" s="514">
        <f>J$22*('28. Consumption and demand'!O98/'28. Consumption and demand'!O$91)</f>
        <v>214.65737833149979</v>
      </c>
      <c r="K29" s="513">
        <f>K$22*('28. Consumption and demand'!P98/'28. Consumption and demand'!P$91)</f>
        <v>568.83267900362591</v>
      </c>
      <c r="L29" s="513">
        <f>L$22*('28. Consumption and demand'!Q98/'28. Consumption and demand'!Q$91)</f>
        <v>806.42121508838443</v>
      </c>
      <c r="M29" s="513">
        <f>M$22*('28. Consumption and demand'!R98/'28. Consumption and demand'!R$91)</f>
        <v>959.26951560281032</v>
      </c>
      <c r="N29" s="515">
        <f>N$22*('28. Consumption and demand'!S98/'28. Consumption and demand'!S$91)</f>
        <v>1053.7759151064486</v>
      </c>
      <c r="O29" s="514">
        <f t="shared" si="2"/>
        <v>1155.1392959491391</v>
      </c>
      <c r="P29" s="513">
        <f t="shared" si="2"/>
        <v>1231.6658363493441</v>
      </c>
      <c r="Q29" s="513">
        <f t="shared" si="1"/>
        <v>1289.0607416494979</v>
      </c>
      <c r="R29" s="513">
        <f t="shared" si="1"/>
        <v>1332.1069206246134</v>
      </c>
      <c r="S29" s="513">
        <f t="shared" si="1"/>
        <v>1364.3915548559498</v>
      </c>
      <c r="T29" s="513">
        <f t="shared" si="1"/>
        <v>1388.6050305294523</v>
      </c>
      <c r="U29" s="513">
        <f t="shared" si="1"/>
        <v>1406.7651372845789</v>
      </c>
      <c r="V29" s="513">
        <f t="shared" si="1"/>
        <v>1420.385217350924</v>
      </c>
      <c r="W29" s="513">
        <f t="shared" si="1"/>
        <v>1430.6002774006829</v>
      </c>
      <c r="X29" s="513">
        <f t="shared" si="1"/>
        <v>1438.2615724380021</v>
      </c>
      <c r="Y29" s="513">
        <f t="shared" si="1"/>
        <v>1444.0075437159915</v>
      </c>
      <c r="Z29" s="513">
        <f t="shared" si="1"/>
        <v>1448.3170221744833</v>
      </c>
      <c r="AA29" s="513">
        <f t="shared" si="1"/>
        <v>1451.5491310183525</v>
      </c>
      <c r="AB29" s="513">
        <f t="shared" si="1"/>
        <v>1453.973212651254</v>
      </c>
      <c r="AC29" s="515">
        <f t="shared" si="1"/>
        <v>1455.7912738759305</v>
      </c>
      <c r="AD29" s="1427"/>
      <c r="AE29" s="1427"/>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row>
    <row r="30" spans="1:135" s="529" customFormat="1">
      <c r="B30" s="4176"/>
      <c r="C30" s="3417" t="s">
        <v>1494</v>
      </c>
      <c r="D30" s="884" t="s">
        <v>1490</v>
      </c>
      <c r="E30" s="1980"/>
      <c r="F30" s="1025"/>
      <c r="G30" s="1025"/>
      <c r="H30" s="1025"/>
      <c r="I30" s="702">
        <f>I$22*('28. Consumption and demand'!N99/'28. Consumption and demand'!N$91)</f>
        <v>0</v>
      </c>
      <c r="J30" s="514">
        <f>J$22*('28. Consumption and demand'!O99/'28. Consumption and demand'!O$91)</f>
        <v>7.4960609734493673</v>
      </c>
      <c r="K30" s="513">
        <f>K$22*('28. Consumption and demand'!P99/'28. Consumption and demand'!P$91)</f>
        <v>20.678072145277657</v>
      </c>
      <c r="L30" s="513">
        <f>L$22*('28. Consumption and demand'!Q99/'28. Consumption and demand'!Q$91)</f>
        <v>30.449605737571698</v>
      </c>
      <c r="M30" s="513">
        <f>M$22*('28. Consumption and demand'!R99/'28. Consumption and demand'!R$91)</f>
        <v>37.435339236145921</v>
      </c>
      <c r="N30" s="515">
        <f>N$22*('28. Consumption and demand'!S99/'28. Consumption and demand'!S$91)</f>
        <v>42.224199081667649</v>
      </c>
      <c r="O30" s="514">
        <f t="shared" si="2"/>
        <v>46.285771860981278</v>
      </c>
      <c r="P30" s="513">
        <f t="shared" si="2"/>
        <v>49.352146628678575</v>
      </c>
      <c r="Q30" s="513">
        <f t="shared" si="1"/>
        <v>51.651927704451552</v>
      </c>
      <c r="R30" s="513">
        <f t="shared" si="1"/>
        <v>53.376763511281275</v>
      </c>
      <c r="S30" s="513">
        <f t="shared" si="1"/>
        <v>54.670390366403574</v>
      </c>
      <c r="T30" s="513">
        <f t="shared" si="1"/>
        <v>55.640610507745293</v>
      </c>
      <c r="U30" s="513">
        <f t="shared" si="1"/>
        <v>56.368275613751592</v>
      </c>
      <c r="V30" s="513">
        <f t="shared" si="1"/>
        <v>56.914024443256309</v>
      </c>
      <c r="W30" s="513">
        <f t="shared" si="1"/>
        <v>57.323336065384844</v>
      </c>
      <c r="X30" s="513">
        <f t="shared" si="1"/>
        <v>57.63031978198125</v>
      </c>
      <c r="Y30" s="513">
        <f t="shared" si="1"/>
        <v>57.860557569428558</v>
      </c>
      <c r="Z30" s="513">
        <f t="shared" si="1"/>
        <v>58.033235910014035</v>
      </c>
      <c r="AA30" s="513">
        <f t="shared" si="1"/>
        <v>58.16274466545314</v>
      </c>
      <c r="AB30" s="513">
        <f t="shared" si="1"/>
        <v>58.259876232032468</v>
      </c>
      <c r="AC30" s="515">
        <f t="shared" si="1"/>
        <v>58.332724906966966</v>
      </c>
      <c r="AD30" s="1427"/>
      <c r="AE30" s="1427"/>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row>
    <row r="31" spans="1:135" s="529" customFormat="1" ht="13.5" thickBot="1">
      <c r="B31" s="4177"/>
      <c r="C31" s="1981" t="s">
        <v>63</v>
      </c>
      <c r="D31" s="1061"/>
      <c r="E31" s="1078">
        <f t="shared" ref="E31:O31" si="3">SUM(E23:E30)</f>
        <v>0</v>
      </c>
      <c r="F31" s="1062">
        <f t="shared" si="3"/>
        <v>0</v>
      </c>
      <c r="G31" s="1062">
        <f t="shared" si="3"/>
        <v>0</v>
      </c>
      <c r="H31" s="1062">
        <f t="shared" si="3"/>
        <v>0</v>
      </c>
      <c r="I31" s="706">
        <f t="shared" si="3"/>
        <v>0</v>
      </c>
      <c r="J31" s="1710">
        <f t="shared" si="3"/>
        <v>4189.8864609615675</v>
      </c>
      <c r="K31" s="405">
        <f t="shared" si="3"/>
        <v>11266.952565057747</v>
      </c>
      <c r="L31" s="405">
        <f t="shared" si="3"/>
        <v>16215.341554809762</v>
      </c>
      <c r="M31" s="405">
        <f t="shared" si="3"/>
        <v>19567.486811420687</v>
      </c>
      <c r="N31" s="560">
        <f t="shared" si="3"/>
        <v>21791.30049373526</v>
      </c>
      <c r="O31" s="1710">
        <f t="shared" si="3"/>
        <v>23887.419658482791</v>
      </c>
      <c r="P31" s="405">
        <f t="shared" ref="P31:AC31" si="4">SUM(P23:P30)</f>
        <v>25469.931474990186</v>
      </c>
      <c r="Q31" s="405">
        <f t="shared" si="4"/>
        <v>26656.815337370721</v>
      </c>
      <c r="R31" s="405">
        <f t="shared" si="4"/>
        <v>27546.978234156126</v>
      </c>
      <c r="S31" s="405">
        <f t="shared" si="4"/>
        <v>28214.600406745176</v>
      </c>
      <c r="T31" s="405">
        <f t="shared" si="4"/>
        <v>28715.317036186963</v>
      </c>
      <c r="U31" s="405">
        <f t="shared" si="4"/>
        <v>29090.854508268312</v>
      </c>
      <c r="V31" s="405">
        <f t="shared" si="4"/>
        <v>29372.507612329326</v>
      </c>
      <c r="W31" s="405">
        <f t="shared" si="4"/>
        <v>29583.747440375075</v>
      </c>
      <c r="X31" s="405">
        <f t="shared" si="4"/>
        <v>29742.177311409385</v>
      </c>
      <c r="Y31" s="405">
        <f t="shared" si="4"/>
        <v>29860.999714685124</v>
      </c>
      <c r="Z31" s="405">
        <f t="shared" si="4"/>
        <v>29950.116517141934</v>
      </c>
      <c r="AA31" s="405">
        <f t="shared" si="4"/>
        <v>30016.954118984537</v>
      </c>
      <c r="AB31" s="405">
        <f t="shared" si="4"/>
        <v>30067.082320366484</v>
      </c>
      <c r="AC31" s="560">
        <f t="shared" si="4"/>
        <v>30104.678471402949</v>
      </c>
      <c r="AD31" s="1427"/>
      <c r="AE31" s="1427"/>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row>
    <row r="32" spans="1:135" ht="24" customHeight="1">
      <c r="A32" s="1429"/>
      <c r="B32" s="1982" t="s">
        <v>63</v>
      </c>
      <c r="C32" s="1983"/>
      <c r="D32" s="1984"/>
      <c r="E32" s="1985">
        <f>E31</f>
        <v>0</v>
      </c>
      <c r="F32" s="1986">
        <f t="shared" ref="F32:AC32" si="5">F31</f>
        <v>0</v>
      </c>
      <c r="G32" s="1986">
        <f t="shared" si="5"/>
        <v>0</v>
      </c>
      <c r="H32" s="1986">
        <f t="shared" si="5"/>
        <v>0</v>
      </c>
      <c r="I32" s="3431">
        <f t="shared" si="5"/>
        <v>0</v>
      </c>
      <c r="J32" s="3434">
        <f t="shared" si="5"/>
        <v>4189.8864609615675</v>
      </c>
      <c r="K32" s="3431">
        <f t="shared" si="5"/>
        <v>11266.952565057747</v>
      </c>
      <c r="L32" s="3431">
        <f t="shared" si="5"/>
        <v>16215.341554809762</v>
      </c>
      <c r="M32" s="3431">
        <f t="shared" si="5"/>
        <v>19567.486811420687</v>
      </c>
      <c r="N32" s="3435">
        <f t="shared" si="5"/>
        <v>21791.30049373526</v>
      </c>
      <c r="O32" s="3434">
        <f t="shared" si="5"/>
        <v>23887.419658482791</v>
      </c>
      <c r="P32" s="3431">
        <f t="shared" si="5"/>
        <v>25469.931474990186</v>
      </c>
      <c r="Q32" s="3431">
        <f t="shared" si="5"/>
        <v>26656.815337370721</v>
      </c>
      <c r="R32" s="3431">
        <f t="shared" si="5"/>
        <v>27546.978234156126</v>
      </c>
      <c r="S32" s="3431">
        <f t="shared" si="5"/>
        <v>28214.600406745176</v>
      </c>
      <c r="T32" s="3431">
        <f t="shared" si="5"/>
        <v>28715.317036186963</v>
      </c>
      <c r="U32" s="3431">
        <f t="shared" si="5"/>
        <v>29090.854508268312</v>
      </c>
      <c r="V32" s="3431">
        <f t="shared" si="5"/>
        <v>29372.507612329326</v>
      </c>
      <c r="W32" s="3431">
        <f t="shared" si="5"/>
        <v>29583.747440375075</v>
      </c>
      <c r="X32" s="3431">
        <f t="shared" si="5"/>
        <v>29742.177311409385</v>
      </c>
      <c r="Y32" s="3431">
        <f t="shared" si="5"/>
        <v>29860.999714685124</v>
      </c>
      <c r="Z32" s="3431">
        <f t="shared" si="5"/>
        <v>29950.116517141934</v>
      </c>
      <c r="AA32" s="3431">
        <f t="shared" si="5"/>
        <v>30016.954118984537</v>
      </c>
      <c r="AB32" s="3431">
        <f t="shared" si="5"/>
        <v>30067.082320366484</v>
      </c>
      <c r="AC32" s="3436">
        <f t="shared" si="5"/>
        <v>30104.678471402949</v>
      </c>
    </row>
    <row r="33" spans="1:135" ht="27" customHeight="1" thickBot="1">
      <c r="B33" s="1427"/>
      <c r="I33" s="3433"/>
      <c r="J33" s="3433"/>
      <c r="K33" s="3433"/>
      <c r="L33" s="3433"/>
      <c r="M33" s="3433"/>
      <c r="N33" s="3433"/>
      <c r="O33" s="3433"/>
      <c r="P33" s="3433"/>
      <c r="Q33" s="3433"/>
      <c r="R33" s="3433"/>
      <c r="S33" s="3433"/>
      <c r="T33" s="3433"/>
      <c r="U33" s="3433"/>
      <c r="V33" s="3433"/>
      <c r="W33" s="3433"/>
      <c r="X33" s="3433"/>
      <c r="Y33" s="3433"/>
      <c r="Z33" s="3433"/>
      <c r="AA33" s="3433"/>
      <c r="AB33" s="3433"/>
      <c r="AC33" s="3433"/>
    </row>
    <row r="34" spans="1:135" s="94" customFormat="1" ht="18.75" customHeight="1" thickBot="1">
      <c r="A34" s="308"/>
      <c r="B34" s="858" t="s">
        <v>1536</v>
      </c>
      <c r="C34" s="859"/>
      <c r="D34" s="859"/>
      <c r="E34" s="859"/>
      <c r="F34" s="859"/>
      <c r="G34" s="859"/>
      <c r="H34" s="859"/>
      <c r="I34" s="859"/>
      <c r="J34" s="859"/>
      <c r="K34" s="859"/>
      <c r="L34" s="859"/>
      <c r="M34" s="859"/>
      <c r="N34" s="859"/>
      <c r="O34" s="859"/>
      <c r="P34" s="859"/>
      <c r="Q34" s="859"/>
      <c r="R34" s="859"/>
      <c r="S34" s="859"/>
      <c r="T34" s="859"/>
      <c r="U34" s="859"/>
      <c r="V34" s="859"/>
      <c r="W34" s="859"/>
      <c r="X34" s="859"/>
      <c r="Y34" s="859"/>
      <c r="Z34" s="859"/>
      <c r="AA34" s="859"/>
      <c r="AB34" s="859"/>
      <c r="AC34" s="860"/>
      <c r="AD34" s="1427"/>
      <c r="AE34" s="1427"/>
      <c r="AF34" s="1427"/>
      <c r="DF34" s="1427"/>
      <c r="DG34" s="1427"/>
      <c r="DH34" s="1427"/>
      <c r="DI34" s="1427"/>
      <c r="DJ34" s="1427"/>
      <c r="DK34" s="1427"/>
      <c r="DL34" s="1427"/>
      <c r="DM34" s="1427"/>
      <c r="DN34" s="1427"/>
      <c r="DO34" s="1427"/>
      <c r="DP34" s="1427"/>
      <c r="DQ34" s="1427"/>
      <c r="DR34" s="1427"/>
      <c r="DS34" s="1427"/>
      <c r="DT34" s="1427"/>
      <c r="DU34" s="1427"/>
      <c r="DV34" s="1427"/>
      <c r="DW34" s="1427"/>
      <c r="DX34" s="1427"/>
      <c r="DY34" s="1427"/>
      <c r="DZ34" s="1427"/>
      <c r="EA34" s="1427"/>
      <c r="EB34" s="1427"/>
      <c r="EC34" s="1427"/>
      <c r="ED34" s="1427"/>
      <c r="EE34" s="1427"/>
    </row>
    <row r="35" spans="1:135">
      <c r="A35" s="1429"/>
      <c r="B35" s="4191" t="str">
        <f>+'29.2.3 Gas extenstions cust no'!B34</f>
        <v>Declining block tariff</v>
      </c>
      <c r="C35" s="4178" t="s">
        <v>47</v>
      </c>
      <c r="D35" s="4179"/>
      <c r="E35" s="3424">
        <f>+'29.2.3 Gas extenstions cust no'!D36</f>
        <v>0</v>
      </c>
      <c r="F35" s="3425">
        <f>+'29.2.3 Gas extenstions cust no'!E36</f>
        <v>0</v>
      </c>
      <c r="G35" s="3425">
        <f>+'29.2.3 Gas extenstions cust no'!F36</f>
        <v>0</v>
      </c>
      <c r="H35" s="3425">
        <f>+'29.2.3 Gas extenstions cust no'!G36</f>
        <v>0</v>
      </c>
      <c r="I35" s="3425">
        <f>+'29.2.3 Gas extenstions cust no'!H36</f>
        <v>0</v>
      </c>
      <c r="J35" s="3426">
        <f>+'29.2.3 Gas extenstions cust no'!I36</f>
        <v>0.93644868305634077</v>
      </c>
      <c r="K35" s="3425">
        <f>+'29.2.3 Gas extenstions cust no'!J36</f>
        <v>2.5752338784049371</v>
      </c>
      <c r="L35" s="3425">
        <f>+'29.2.3 Gas extenstions cust no'!K36</f>
        <v>3.8043227749163862</v>
      </c>
      <c r="M35" s="3425">
        <f>+'29.2.3 Gas extenstions cust no'!L36</f>
        <v>4.7261394472999712</v>
      </c>
      <c r="N35" s="3427">
        <f>+'29.2.3 Gas extenstions cust no'!M36</f>
        <v>5.4175019515876599</v>
      </c>
      <c r="O35" s="3424">
        <f>+'29.2.3 Gas extenstions cust no'!N36</f>
        <v>5.7138001677109571</v>
      </c>
      <c r="P35" s="3425">
        <f>+'29.2.3 Gas extenstions cust no'!O36</f>
        <v>5.7138001677109571</v>
      </c>
      <c r="Q35" s="3425">
        <f>+'29.2.3 Gas extenstions cust no'!P36</f>
        <v>5.7138001677109571</v>
      </c>
      <c r="R35" s="3425">
        <f>+'29.2.3 Gas extenstions cust no'!Q36</f>
        <v>5.7138001677109571</v>
      </c>
      <c r="S35" s="3425">
        <f>+'29.2.3 Gas extenstions cust no'!R36</f>
        <v>5.7138001677109571</v>
      </c>
      <c r="T35" s="3425">
        <f>+'29.2.3 Gas extenstions cust no'!S36</f>
        <v>5.7138001677109571</v>
      </c>
      <c r="U35" s="3425">
        <f>+'29.2.3 Gas extenstions cust no'!T36</f>
        <v>5.7138001677109571</v>
      </c>
      <c r="V35" s="3425">
        <f>+'29.2.3 Gas extenstions cust no'!U36</f>
        <v>5.7138001677109571</v>
      </c>
      <c r="W35" s="3425">
        <f>+'29.2.3 Gas extenstions cust no'!V36</f>
        <v>5.7138001677109571</v>
      </c>
      <c r="X35" s="3425">
        <f>+'29.2.3 Gas extenstions cust no'!W36</f>
        <v>5.7138001677109571</v>
      </c>
      <c r="Y35" s="3425">
        <f>+'29.2.3 Gas extenstions cust no'!X36</f>
        <v>5.7138001677109571</v>
      </c>
      <c r="Z35" s="3425">
        <f>+'29.2.3 Gas extenstions cust no'!Y36</f>
        <v>5.7138001677109571</v>
      </c>
      <c r="AA35" s="3425">
        <f>+'29.2.3 Gas extenstions cust no'!Z36</f>
        <v>5.7138001677109571</v>
      </c>
      <c r="AB35" s="3425">
        <f>+'29.2.3 Gas extenstions cust no'!AA36</f>
        <v>5.7138001677109571</v>
      </c>
      <c r="AC35" s="3428">
        <f>+'29.2.3 Gas extenstions cust no'!AB36</f>
        <v>5.7138001677109571</v>
      </c>
    </row>
    <row r="36" spans="1:135">
      <c r="A36" s="1429"/>
      <c r="B36" s="4191"/>
      <c r="C36" s="1026" t="s">
        <v>1483</v>
      </c>
      <c r="D36" s="884" t="s">
        <v>1479</v>
      </c>
      <c r="E36" s="1980"/>
      <c r="F36" s="1025"/>
      <c r="G36" s="1025"/>
      <c r="H36" s="1025"/>
      <c r="I36" s="3418">
        <f>+I$35*('28. Consumption and demand'!I102/'28. Consumption and demand'!I$101)</f>
        <v>0</v>
      </c>
      <c r="J36" s="3437">
        <f>+J$35*('28. Consumption and demand'!J102/'28. Consumption and demand'!J$101)</f>
        <v>9.5348594691609669</v>
      </c>
      <c r="K36" s="3418">
        <f>+K$35*('28. Consumption and demand'!K102/'28. Consumption and demand'!K$101)</f>
        <v>25.532737212297395</v>
      </c>
      <c r="L36" s="3418">
        <f>+L$35*('28. Consumption and demand'!L102/'28. Consumption and demand'!L$101)</f>
        <v>38.823669055250676</v>
      </c>
      <c r="M36" s="3418">
        <f>+M$35*('28. Consumption and demand'!M102/'28. Consumption and demand'!M$101)</f>
        <v>49.918275921687489</v>
      </c>
      <c r="N36" s="3420">
        <f>+N$35*('28. Consumption and demand'!N102/'28. Consumption and demand'!N$101)</f>
        <v>56.454743408154648</v>
      </c>
      <c r="O36" s="514">
        <f>+O$35*(N36/N$35)</f>
        <v>59.542409995636454</v>
      </c>
      <c r="P36" s="513">
        <f t="shared" ref="P36:AC36" si="6">+P$35*(O36/O$35)</f>
        <v>59.542409995636454</v>
      </c>
      <c r="Q36" s="513">
        <f t="shared" si="6"/>
        <v>59.542409995636454</v>
      </c>
      <c r="R36" s="513">
        <f t="shared" si="6"/>
        <v>59.542409995636454</v>
      </c>
      <c r="S36" s="513">
        <f t="shared" si="6"/>
        <v>59.542409995636454</v>
      </c>
      <c r="T36" s="513">
        <f t="shared" si="6"/>
        <v>59.542409995636454</v>
      </c>
      <c r="U36" s="513">
        <f t="shared" si="6"/>
        <v>59.542409995636454</v>
      </c>
      <c r="V36" s="513">
        <f t="shared" si="6"/>
        <v>59.542409995636454</v>
      </c>
      <c r="W36" s="513">
        <f t="shared" si="6"/>
        <v>59.542409995636454</v>
      </c>
      <c r="X36" s="513">
        <f t="shared" si="6"/>
        <v>59.542409995636454</v>
      </c>
      <c r="Y36" s="513">
        <f t="shared" si="6"/>
        <v>59.542409995636454</v>
      </c>
      <c r="Z36" s="513">
        <f t="shared" si="6"/>
        <v>59.542409995636454</v>
      </c>
      <c r="AA36" s="513">
        <f t="shared" si="6"/>
        <v>59.542409995636454</v>
      </c>
      <c r="AB36" s="513">
        <f t="shared" si="6"/>
        <v>59.542409995636454</v>
      </c>
      <c r="AC36" s="515">
        <f t="shared" si="6"/>
        <v>59.542409995636454</v>
      </c>
    </row>
    <row r="37" spans="1:135">
      <c r="A37" s="1429"/>
      <c r="B37" s="4191"/>
      <c r="C37" s="1026" t="s">
        <v>1484</v>
      </c>
      <c r="D37" s="884" t="s">
        <v>1480</v>
      </c>
      <c r="E37" s="1980"/>
      <c r="F37" s="1025"/>
      <c r="G37" s="1025"/>
      <c r="H37" s="1025"/>
      <c r="I37" s="3418">
        <f>+I$35*('28. Consumption and demand'!I103/'28. Consumption and demand'!I$101)</f>
        <v>0</v>
      </c>
      <c r="J37" s="3437">
        <f>+J$35*('28. Consumption and demand'!J103/'28. Consumption and demand'!J$101)</f>
        <v>8.016038278789166</v>
      </c>
      <c r="K37" s="3418">
        <f>+K$35*('28. Consumption and demand'!K103/'28. Consumption and demand'!K$101)</f>
        <v>22.178788542558777</v>
      </c>
      <c r="L37" s="3418">
        <f>+L$35*('28. Consumption and demand'!L103/'28. Consumption and demand'!L$101)</f>
        <v>32.528951688533127</v>
      </c>
      <c r="M37" s="3418">
        <f>+M$35*('28. Consumption and demand'!M103/'28. Consumption and demand'!M$101)</f>
        <v>42.997125978742545</v>
      </c>
      <c r="N37" s="3420">
        <f>+N$35*('28. Consumption and demand'!N103/'28. Consumption and demand'!N$101)</f>
        <v>48.931976816912737</v>
      </c>
      <c r="O37" s="467">
        <f t="shared" ref="O37:AC43" si="7">+O$35*(N37/N$35)</f>
        <v>51.608202422699335</v>
      </c>
      <c r="P37" s="513">
        <f t="shared" si="7"/>
        <v>51.608202422699335</v>
      </c>
      <c r="Q37" s="513">
        <f t="shared" si="7"/>
        <v>51.608202422699335</v>
      </c>
      <c r="R37" s="513">
        <f t="shared" si="7"/>
        <v>51.608202422699335</v>
      </c>
      <c r="S37" s="513">
        <f t="shared" si="7"/>
        <v>51.608202422699335</v>
      </c>
      <c r="T37" s="513">
        <f t="shared" si="7"/>
        <v>51.608202422699335</v>
      </c>
      <c r="U37" s="513">
        <f t="shared" si="7"/>
        <v>51.608202422699335</v>
      </c>
      <c r="V37" s="513">
        <f t="shared" si="7"/>
        <v>51.608202422699335</v>
      </c>
      <c r="W37" s="513">
        <f t="shared" si="7"/>
        <v>51.608202422699335</v>
      </c>
      <c r="X37" s="513">
        <f t="shared" si="7"/>
        <v>51.608202422699335</v>
      </c>
      <c r="Y37" s="513">
        <f t="shared" si="7"/>
        <v>51.608202422699335</v>
      </c>
      <c r="Z37" s="513">
        <f t="shared" si="7"/>
        <v>51.608202422699335</v>
      </c>
      <c r="AA37" s="513">
        <f t="shared" si="7"/>
        <v>51.608202422699335</v>
      </c>
      <c r="AB37" s="513">
        <f t="shared" si="7"/>
        <v>51.608202422699335</v>
      </c>
      <c r="AC37" s="515">
        <f t="shared" si="7"/>
        <v>51.608202422699335</v>
      </c>
    </row>
    <row r="38" spans="1:135">
      <c r="A38" s="1429"/>
      <c r="B38" s="4191"/>
      <c r="C38" s="1026" t="s">
        <v>1485</v>
      </c>
      <c r="D38" s="884" t="s">
        <v>1481</v>
      </c>
      <c r="E38" s="1980"/>
      <c r="F38" s="1025"/>
      <c r="G38" s="1025"/>
      <c r="H38" s="1025"/>
      <c r="I38" s="3418">
        <f>+I$35*('28. Consumption and demand'!I104/'28. Consumption and demand'!I$101)</f>
        <v>0</v>
      </c>
      <c r="J38" s="3437">
        <f>+J$35*('28. Consumption and demand'!J104/'28. Consumption and demand'!J$101)</f>
        <v>47.692092217772085</v>
      </c>
      <c r="K38" s="3418">
        <f>+K$35*('28. Consumption and demand'!K104/'28. Consumption and demand'!K$101)</f>
        <v>133.46960474059483</v>
      </c>
      <c r="L38" s="3418">
        <f>+L$35*('28. Consumption and demand'!L104/'28. Consumption and demand'!L$101)</f>
        <v>193.39310746931673</v>
      </c>
      <c r="M38" s="3418">
        <f>+M$35*('28. Consumption and demand'!M104/'28. Consumption and demand'!M$101)</f>
        <v>245.2826464422273</v>
      </c>
      <c r="N38" s="3420">
        <f>+N$35*('28. Consumption and demand'!N104/'28. Consumption and demand'!N$101)</f>
        <v>278.59450410020736</v>
      </c>
      <c r="O38" s="467">
        <f t="shared" si="7"/>
        <v>293.83161067152196</v>
      </c>
      <c r="P38" s="513">
        <f t="shared" si="7"/>
        <v>293.83161067152196</v>
      </c>
      <c r="Q38" s="513">
        <f t="shared" si="7"/>
        <v>293.83161067152196</v>
      </c>
      <c r="R38" s="513">
        <f t="shared" si="7"/>
        <v>293.83161067152196</v>
      </c>
      <c r="S38" s="513">
        <f t="shared" si="7"/>
        <v>293.83161067152196</v>
      </c>
      <c r="T38" s="513">
        <f t="shared" si="7"/>
        <v>293.83161067152196</v>
      </c>
      <c r="U38" s="513">
        <f t="shared" si="7"/>
        <v>293.83161067152196</v>
      </c>
      <c r="V38" s="513">
        <f t="shared" si="7"/>
        <v>293.83161067152196</v>
      </c>
      <c r="W38" s="513">
        <f t="shared" si="7"/>
        <v>293.83161067152196</v>
      </c>
      <c r="X38" s="513">
        <f t="shared" si="7"/>
        <v>293.83161067152196</v>
      </c>
      <c r="Y38" s="513">
        <f t="shared" si="7"/>
        <v>293.83161067152196</v>
      </c>
      <c r="Z38" s="513">
        <f t="shared" si="7"/>
        <v>293.83161067152196</v>
      </c>
      <c r="AA38" s="513">
        <f t="shared" si="7"/>
        <v>293.83161067152196</v>
      </c>
      <c r="AB38" s="513">
        <f t="shared" si="7"/>
        <v>293.83161067152196</v>
      </c>
      <c r="AC38" s="515">
        <f t="shared" si="7"/>
        <v>293.83161067152196</v>
      </c>
    </row>
    <row r="39" spans="1:135">
      <c r="A39" s="1429"/>
      <c r="B39" s="4191"/>
      <c r="C39" s="1026" t="s">
        <v>1486</v>
      </c>
      <c r="D39" s="884" t="s">
        <v>1482</v>
      </c>
      <c r="E39" s="1980"/>
      <c r="F39" s="1025"/>
      <c r="G39" s="1025"/>
      <c r="H39" s="1025"/>
      <c r="I39" s="3418">
        <f>+I$35*('28. Consumption and demand'!I105/'28. Consumption and demand'!I$101)</f>
        <v>0</v>
      </c>
      <c r="J39" s="3437">
        <f>+J$35*('28. Consumption and demand'!J105/'28. Consumption and demand'!J$101)</f>
        <v>108.78831373772145</v>
      </c>
      <c r="K39" s="3418">
        <f>+K$35*('28. Consumption and demand'!K105/'28. Consumption and demand'!K$101)</f>
        <v>264.06814710823198</v>
      </c>
      <c r="L39" s="3418">
        <f>+L$35*('28. Consumption and demand'!L105/'28. Consumption and demand'!L$101)</f>
        <v>432.79451899375215</v>
      </c>
      <c r="M39" s="3418">
        <f>+M$35*('28. Consumption and demand'!M105/'28. Consumption and demand'!M$101)</f>
        <v>533.82172305059589</v>
      </c>
      <c r="N39" s="3420">
        <f>+N$35*('28. Consumption and demand'!N105/'28. Consumption and demand'!N$101)</f>
        <v>591.83169107570359</v>
      </c>
      <c r="O39" s="467">
        <f t="shared" si="7"/>
        <v>624.20060868349037</v>
      </c>
      <c r="P39" s="513">
        <f t="shared" si="7"/>
        <v>624.20060868349037</v>
      </c>
      <c r="Q39" s="513">
        <f t="shared" si="7"/>
        <v>624.20060868349037</v>
      </c>
      <c r="R39" s="513">
        <f t="shared" si="7"/>
        <v>624.20060868349037</v>
      </c>
      <c r="S39" s="513">
        <f t="shared" si="7"/>
        <v>624.20060868349037</v>
      </c>
      <c r="T39" s="513">
        <f t="shared" si="7"/>
        <v>624.20060868349037</v>
      </c>
      <c r="U39" s="513">
        <f t="shared" si="7"/>
        <v>624.20060868349037</v>
      </c>
      <c r="V39" s="513">
        <f t="shared" si="7"/>
        <v>624.20060868349037</v>
      </c>
      <c r="W39" s="513">
        <f t="shared" si="7"/>
        <v>624.20060868349037</v>
      </c>
      <c r="X39" s="513">
        <f t="shared" si="7"/>
        <v>624.20060868349037</v>
      </c>
      <c r="Y39" s="513">
        <f t="shared" si="7"/>
        <v>624.20060868349037</v>
      </c>
      <c r="Z39" s="513">
        <f t="shared" si="7"/>
        <v>624.20060868349037</v>
      </c>
      <c r="AA39" s="513">
        <f t="shared" si="7"/>
        <v>624.20060868349037</v>
      </c>
      <c r="AB39" s="513">
        <f t="shared" si="7"/>
        <v>624.20060868349037</v>
      </c>
      <c r="AC39" s="515">
        <f t="shared" si="7"/>
        <v>624.20060868349037</v>
      </c>
    </row>
    <row r="40" spans="1:135">
      <c r="A40" s="1429"/>
      <c r="B40" s="4191"/>
      <c r="C40" s="3417" t="s">
        <v>1491</v>
      </c>
      <c r="D40" s="884" t="s">
        <v>1487</v>
      </c>
      <c r="E40" s="1980"/>
      <c r="F40" s="1025"/>
      <c r="G40" s="1025"/>
      <c r="H40" s="1025"/>
      <c r="I40" s="3418">
        <f>+I$35*('28. Consumption and demand'!I106/'28. Consumption and demand'!I$101)</f>
        <v>0</v>
      </c>
      <c r="J40" s="3437">
        <f>+J$35*('28. Consumption and demand'!J106/'28. Consumption and demand'!J$101)</f>
        <v>15.300618603533287</v>
      </c>
      <c r="K40" s="3418">
        <f>+K$35*('28. Consumption and demand'!K106/'28. Consumption and demand'!K$101)</f>
        <v>42.501887508002937</v>
      </c>
      <c r="L40" s="3418">
        <f>+L$35*('28. Consumption and demand'!L106/'28. Consumption and demand'!L$101)</f>
        <v>61.962001016562191</v>
      </c>
      <c r="M40" s="3418">
        <f>+M$35*('28. Consumption and demand'!M106/'28. Consumption and demand'!M$101)</f>
        <v>77.866359509934256</v>
      </c>
      <c r="N40" s="3420">
        <f>+N$35*('28. Consumption and demand'!N106/'28. Consumption and demand'!N$101)</f>
        <v>88.119579865545106</v>
      </c>
      <c r="O40" s="467">
        <f t="shared" si="7"/>
        <v>92.939084233613443</v>
      </c>
      <c r="P40" s="513">
        <f t="shared" si="7"/>
        <v>92.939084233613443</v>
      </c>
      <c r="Q40" s="513">
        <f t="shared" si="7"/>
        <v>92.939084233613443</v>
      </c>
      <c r="R40" s="513">
        <f t="shared" si="7"/>
        <v>92.939084233613443</v>
      </c>
      <c r="S40" s="513">
        <f t="shared" si="7"/>
        <v>92.939084233613443</v>
      </c>
      <c r="T40" s="513">
        <f t="shared" si="7"/>
        <v>92.939084233613443</v>
      </c>
      <c r="U40" s="513">
        <f t="shared" si="7"/>
        <v>92.939084233613443</v>
      </c>
      <c r="V40" s="513">
        <f t="shared" si="7"/>
        <v>92.939084233613443</v>
      </c>
      <c r="W40" s="513">
        <f t="shared" si="7"/>
        <v>92.939084233613443</v>
      </c>
      <c r="X40" s="513">
        <f t="shared" si="7"/>
        <v>92.939084233613443</v>
      </c>
      <c r="Y40" s="513">
        <f t="shared" si="7"/>
        <v>92.939084233613443</v>
      </c>
      <c r="Z40" s="513">
        <f t="shared" si="7"/>
        <v>92.939084233613443</v>
      </c>
      <c r="AA40" s="513">
        <f t="shared" si="7"/>
        <v>92.939084233613443</v>
      </c>
      <c r="AB40" s="513">
        <f t="shared" si="7"/>
        <v>92.939084233613443</v>
      </c>
      <c r="AC40" s="515">
        <f t="shared" si="7"/>
        <v>92.939084233613443</v>
      </c>
    </row>
    <row r="41" spans="1:135">
      <c r="A41" s="1429"/>
      <c r="B41" s="4191"/>
      <c r="C41" s="3417" t="s">
        <v>1492</v>
      </c>
      <c r="D41" s="884" t="s">
        <v>1488</v>
      </c>
      <c r="E41" s="1980"/>
      <c r="F41" s="1025"/>
      <c r="G41" s="1025"/>
      <c r="H41" s="1025"/>
      <c r="I41" s="3418">
        <f>+I$35*('28. Consumption and demand'!I107/'28. Consumption and demand'!I$101)</f>
        <v>0</v>
      </c>
      <c r="J41" s="3437">
        <f>+J$35*('28. Consumption and demand'!J107/'28. Consumption and demand'!J$101)</f>
        <v>11.398002748239104</v>
      </c>
      <c r="K41" s="3418">
        <f>+K$35*('28. Consumption and demand'!K107/'28. Consumption and demand'!K$101)</f>
        <v>30.709460376835004</v>
      </c>
      <c r="L41" s="3418">
        <f>+L$35*('28. Consumption and demand'!L107/'28. Consumption and demand'!L$101)</f>
        <v>45.632916995384278</v>
      </c>
      <c r="M41" s="3418">
        <f>+M$35*('28. Consumption and demand'!M107/'28. Consumption and demand'!M$101)</f>
        <v>55.829088773979244</v>
      </c>
      <c r="N41" s="3420">
        <f>+N$35*('28. Consumption and demand'!N107/'28. Consumption and demand'!N$101)</f>
        <v>63.675271330395844</v>
      </c>
      <c r="O41" s="467">
        <f t="shared" si="7"/>
        <v>67.157848628006988</v>
      </c>
      <c r="P41" s="513">
        <f t="shared" si="7"/>
        <v>67.157848628006988</v>
      </c>
      <c r="Q41" s="513">
        <f t="shared" si="7"/>
        <v>67.157848628006988</v>
      </c>
      <c r="R41" s="513">
        <f t="shared" si="7"/>
        <v>67.157848628006988</v>
      </c>
      <c r="S41" s="513">
        <f t="shared" si="7"/>
        <v>67.157848628006988</v>
      </c>
      <c r="T41" s="513">
        <f t="shared" si="7"/>
        <v>67.157848628006988</v>
      </c>
      <c r="U41" s="513">
        <f t="shared" si="7"/>
        <v>67.157848628006988</v>
      </c>
      <c r="V41" s="513">
        <f t="shared" si="7"/>
        <v>67.157848628006988</v>
      </c>
      <c r="W41" s="513">
        <f t="shared" si="7"/>
        <v>67.157848628006988</v>
      </c>
      <c r="X41" s="513">
        <f t="shared" si="7"/>
        <v>67.157848628006988</v>
      </c>
      <c r="Y41" s="513">
        <f t="shared" si="7"/>
        <v>67.157848628006988</v>
      </c>
      <c r="Z41" s="513">
        <f t="shared" si="7"/>
        <v>67.157848628006988</v>
      </c>
      <c r="AA41" s="513">
        <f t="shared" si="7"/>
        <v>67.157848628006988</v>
      </c>
      <c r="AB41" s="513">
        <f t="shared" si="7"/>
        <v>67.157848628006988</v>
      </c>
      <c r="AC41" s="515">
        <f t="shared" si="7"/>
        <v>67.157848628006988</v>
      </c>
    </row>
    <row r="42" spans="1:135">
      <c r="A42" s="1429"/>
      <c r="B42" s="4191"/>
      <c r="C42" s="3417" t="s">
        <v>1493</v>
      </c>
      <c r="D42" s="884" t="s">
        <v>1489</v>
      </c>
      <c r="E42" s="1980"/>
      <c r="F42" s="1025"/>
      <c r="G42" s="1025"/>
      <c r="H42" s="1025"/>
      <c r="I42" s="3418">
        <f>+I$35*('28. Consumption and demand'!I108/'28. Consumption and demand'!I$101)</f>
        <v>0</v>
      </c>
      <c r="J42" s="3437">
        <f>+J$35*('28. Consumption and demand'!J108/'28. Consumption and demand'!J$101)</f>
        <v>67.404660880614969</v>
      </c>
      <c r="K42" s="3418">
        <f>+K$35*('28. Consumption and demand'!K108/'28. Consumption and demand'!K$101)</f>
        <v>187.6059078201196</v>
      </c>
      <c r="L42" s="3418">
        <f>+L$35*('28. Consumption and demand'!L108/'28. Consumption and demand'!L$101)</f>
        <v>271.46816248716448</v>
      </c>
      <c r="M42" s="3418">
        <f>+M$35*('28. Consumption and demand'!M108/'28. Consumption and demand'!M$101)</f>
        <v>318.48515292417761</v>
      </c>
      <c r="N42" s="3420">
        <f>+N$35*('28. Consumption and demand'!N108/'28. Consumption and demand'!N$101)</f>
        <v>360.98296184909378</v>
      </c>
      <c r="O42" s="467">
        <f t="shared" si="7"/>
        <v>380.72612181518207</v>
      </c>
      <c r="P42" s="513">
        <f t="shared" si="7"/>
        <v>380.72612181518207</v>
      </c>
      <c r="Q42" s="513">
        <f t="shared" si="7"/>
        <v>380.72612181518207</v>
      </c>
      <c r="R42" s="513">
        <f t="shared" si="7"/>
        <v>380.72612181518207</v>
      </c>
      <c r="S42" s="513">
        <f t="shared" si="7"/>
        <v>380.72612181518207</v>
      </c>
      <c r="T42" s="513">
        <f t="shared" si="7"/>
        <v>380.72612181518207</v>
      </c>
      <c r="U42" s="513">
        <f t="shared" si="7"/>
        <v>380.72612181518207</v>
      </c>
      <c r="V42" s="513">
        <f t="shared" si="7"/>
        <v>380.72612181518207</v>
      </c>
      <c r="W42" s="513">
        <f t="shared" si="7"/>
        <v>380.72612181518207</v>
      </c>
      <c r="X42" s="513">
        <f t="shared" si="7"/>
        <v>380.72612181518207</v>
      </c>
      <c r="Y42" s="513">
        <f t="shared" si="7"/>
        <v>380.72612181518207</v>
      </c>
      <c r="Z42" s="513">
        <f t="shared" si="7"/>
        <v>380.72612181518207</v>
      </c>
      <c r="AA42" s="513">
        <f t="shared" si="7"/>
        <v>380.72612181518207</v>
      </c>
      <c r="AB42" s="513">
        <f t="shared" si="7"/>
        <v>380.72612181518207</v>
      </c>
      <c r="AC42" s="515">
        <f t="shared" si="7"/>
        <v>380.72612181518207</v>
      </c>
    </row>
    <row r="43" spans="1:135">
      <c r="A43" s="1429"/>
      <c r="B43" s="4191"/>
      <c r="C43" s="3417" t="s">
        <v>1494</v>
      </c>
      <c r="D43" s="884" t="s">
        <v>1490</v>
      </c>
      <c r="E43" s="1980"/>
      <c r="F43" s="1025"/>
      <c r="G43" s="1025"/>
      <c r="H43" s="1025"/>
      <c r="I43" s="3418">
        <f>+I$35*('28. Consumption and demand'!I109/'28. Consumption and demand'!I$101)</f>
        <v>0</v>
      </c>
      <c r="J43" s="3437">
        <f>+J$35*('28. Consumption and demand'!J109/'28. Consumption and demand'!J$101)</f>
        <v>115.16979140168711</v>
      </c>
      <c r="K43" s="3418">
        <f>+K$35*('28. Consumption and demand'!K109/'28. Consumption and demand'!K$101)</f>
        <v>313.03778840209287</v>
      </c>
      <c r="L43" s="3418">
        <f>+L$35*('28. Consumption and demand'!L109/'28. Consumption and demand'!L$101)</f>
        <v>431.58085839072601</v>
      </c>
      <c r="M43" s="3418">
        <f>+M$35*('28. Consumption and demand'!M109/'28. Consumption and demand'!M$101)</f>
        <v>507.85515516331759</v>
      </c>
      <c r="N43" s="3420">
        <f>+N$35*('28. Consumption and demand'!N109/'28. Consumption and demand'!N$101)</f>
        <v>566.20812874073295</v>
      </c>
      <c r="O43" s="467">
        <f t="shared" si="7"/>
        <v>597.17562261514195</v>
      </c>
      <c r="P43" s="513">
        <f t="shared" si="7"/>
        <v>597.17562261514195</v>
      </c>
      <c r="Q43" s="513">
        <f t="shared" si="7"/>
        <v>597.17562261514195</v>
      </c>
      <c r="R43" s="513">
        <f t="shared" si="7"/>
        <v>597.17562261514195</v>
      </c>
      <c r="S43" s="513">
        <f t="shared" si="7"/>
        <v>597.17562261514195</v>
      </c>
      <c r="T43" s="513">
        <f t="shared" si="7"/>
        <v>597.17562261514195</v>
      </c>
      <c r="U43" s="513">
        <f t="shared" si="7"/>
        <v>597.17562261514195</v>
      </c>
      <c r="V43" s="513">
        <f t="shared" si="7"/>
        <v>597.17562261514195</v>
      </c>
      <c r="W43" s="513">
        <f t="shared" si="7"/>
        <v>597.17562261514195</v>
      </c>
      <c r="X43" s="513">
        <f t="shared" si="7"/>
        <v>597.17562261514195</v>
      </c>
      <c r="Y43" s="513">
        <f t="shared" si="7"/>
        <v>597.17562261514195</v>
      </c>
      <c r="Z43" s="513">
        <f t="shared" si="7"/>
        <v>597.17562261514195</v>
      </c>
      <c r="AA43" s="513">
        <f t="shared" si="7"/>
        <v>597.17562261514195</v>
      </c>
      <c r="AB43" s="513">
        <f t="shared" si="7"/>
        <v>597.17562261514195</v>
      </c>
      <c r="AC43" s="515">
        <f t="shared" si="7"/>
        <v>597.17562261514195</v>
      </c>
    </row>
    <row r="44" spans="1:135" s="529" customFormat="1" ht="13.5" thickBot="1">
      <c r="B44" s="4192"/>
      <c r="C44" s="1981" t="s">
        <v>63</v>
      </c>
      <c r="D44" s="1061"/>
      <c r="E44" s="559">
        <f t="shared" ref="E44:AC44" si="8">SUM(E35:E43)</f>
        <v>0</v>
      </c>
      <c r="F44" s="405">
        <f t="shared" si="8"/>
        <v>0</v>
      </c>
      <c r="G44" s="405">
        <f t="shared" si="8"/>
        <v>0</v>
      </c>
      <c r="H44" s="405">
        <f t="shared" si="8"/>
        <v>0</v>
      </c>
      <c r="I44" s="706">
        <f t="shared" si="8"/>
        <v>0</v>
      </c>
      <c r="J44" s="1710">
        <f t="shared" si="8"/>
        <v>384.2408260205745</v>
      </c>
      <c r="K44" s="405">
        <f t="shared" si="8"/>
        <v>1021.6795555891383</v>
      </c>
      <c r="L44" s="405">
        <f t="shared" si="8"/>
        <v>1511.988508871606</v>
      </c>
      <c r="M44" s="405">
        <f t="shared" si="8"/>
        <v>1836.781667211962</v>
      </c>
      <c r="N44" s="560">
        <f t="shared" si="8"/>
        <v>2060.2163591383337</v>
      </c>
      <c r="O44" s="1710">
        <f t="shared" si="8"/>
        <v>2172.8953092330034</v>
      </c>
      <c r="P44" s="405">
        <f t="shared" si="8"/>
        <v>2172.8953092330034</v>
      </c>
      <c r="Q44" s="405">
        <f t="shared" si="8"/>
        <v>2172.8953092330034</v>
      </c>
      <c r="R44" s="405">
        <f t="shared" si="8"/>
        <v>2172.8953092330034</v>
      </c>
      <c r="S44" s="405">
        <f t="shared" si="8"/>
        <v>2172.8953092330034</v>
      </c>
      <c r="T44" s="405">
        <f t="shared" si="8"/>
        <v>2172.8953092330034</v>
      </c>
      <c r="U44" s="405">
        <f t="shared" si="8"/>
        <v>2172.8953092330034</v>
      </c>
      <c r="V44" s="405">
        <f t="shared" si="8"/>
        <v>2172.8953092330034</v>
      </c>
      <c r="W44" s="405">
        <f t="shared" si="8"/>
        <v>2172.8953092330034</v>
      </c>
      <c r="X44" s="405">
        <f t="shared" si="8"/>
        <v>2172.8953092330034</v>
      </c>
      <c r="Y44" s="405">
        <f t="shared" si="8"/>
        <v>2172.8953092330034</v>
      </c>
      <c r="Z44" s="405">
        <f t="shared" si="8"/>
        <v>2172.8953092330034</v>
      </c>
      <c r="AA44" s="405">
        <f t="shared" si="8"/>
        <v>2172.8953092330034</v>
      </c>
      <c r="AB44" s="405">
        <f t="shared" si="8"/>
        <v>2172.8953092330034</v>
      </c>
      <c r="AC44" s="560">
        <f t="shared" si="8"/>
        <v>2172.8953092330034</v>
      </c>
      <c r="AD44" s="1427"/>
      <c r="AE44" s="1427"/>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c r="BU44" s="229"/>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c r="DM44" s="229"/>
      <c r="DN44" s="229"/>
      <c r="DO44" s="229"/>
      <c r="DP44" s="229"/>
    </row>
    <row r="45" spans="1:135" ht="24" customHeight="1" thickBot="1">
      <c r="A45" s="1429"/>
      <c r="B45" s="4193" t="s">
        <v>63</v>
      </c>
      <c r="C45" s="4194"/>
      <c r="D45" s="4195"/>
      <c r="E45" s="3429">
        <f>E44</f>
        <v>0</v>
      </c>
      <c r="F45" s="405">
        <f t="shared" ref="F45:AC45" si="9">F44</f>
        <v>0</v>
      </c>
      <c r="G45" s="405">
        <f t="shared" si="9"/>
        <v>0</v>
      </c>
      <c r="H45" s="405">
        <f t="shared" si="9"/>
        <v>0</v>
      </c>
      <c r="I45" s="405">
        <f t="shared" si="9"/>
        <v>0</v>
      </c>
      <c r="J45" s="3429">
        <f t="shared" si="9"/>
        <v>384.2408260205745</v>
      </c>
      <c r="K45" s="405">
        <f t="shared" si="9"/>
        <v>1021.6795555891383</v>
      </c>
      <c r="L45" s="405">
        <f t="shared" si="9"/>
        <v>1511.988508871606</v>
      </c>
      <c r="M45" s="405">
        <f t="shared" si="9"/>
        <v>1836.781667211962</v>
      </c>
      <c r="N45" s="3430">
        <f t="shared" si="9"/>
        <v>2060.2163591383337</v>
      </c>
      <c r="O45" s="559">
        <f t="shared" si="9"/>
        <v>2172.8953092330034</v>
      </c>
      <c r="P45" s="405">
        <f t="shared" si="9"/>
        <v>2172.8953092330034</v>
      </c>
      <c r="Q45" s="405">
        <f t="shared" si="9"/>
        <v>2172.8953092330034</v>
      </c>
      <c r="R45" s="405">
        <f t="shared" si="9"/>
        <v>2172.8953092330034</v>
      </c>
      <c r="S45" s="405">
        <f t="shared" si="9"/>
        <v>2172.8953092330034</v>
      </c>
      <c r="T45" s="405">
        <f t="shared" si="9"/>
        <v>2172.8953092330034</v>
      </c>
      <c r="U45" s="405">
        <f t="shared" si="9"/>
        <v>2172.8953092330034</v>
      </c>
      <c r="V45" s="405">
        <f t="shared" si="9"/>
        <v>2172.8953092330034</v>
      </c>
      <c r="W45" s="405">
        <f t="shared" si="9"/>
        <v>2172.8953092330034</v>
      </c>
      <c r="X45" s="405">
        <f t="shared" si="9"/>
        <v>2172.8953092330034</v>
      </c>
      <c r="Y45" s="405">
        <f t="shared" si="9"/>
        <v>2172.8953092330034</v>
      </c>
      <c r="Z45" s="405">
        <f t="shared" si="9"/>
        <v>2172.8953092330034</v>
      </c>
      <c r="AA45" s="405">
        <f t="shared" si="9"/>
        <v>2172.8953092330034</v>
      </c>
      <c r="AB45" s="405">
        <f t="shared" si="9"/>
        <v>2172.8953092330034</v>
      </c>
      <c r="AC45" s="560">
        <f t="shared" si="9"/>
        <v>2172.8953092330034</v>
      </c>
    </row>
    <row r="46" spans="1:135" ht="24" customHeight="1" thickBot="1">
      <c r="A46" s="1429"/>
      <c r="B46" s="4193" t="s">
        <v>298</v>
      </c>
      <c r="C46" s="4194"/>
      <c r="D46" s="4195"/>
      <c r="E46" s="1987"/>
      <c r="F46" s="1079"/>
      <c r="G46" s="1079"/>
      <c r="H46" s="1079"/>
      <c r="I46" s="1079"/>
      <c r="J46" s="1081"/>
      <c r="K46" s="1079"/>
      <c r="L46" s="1079"/>
      <c r="M46" s="1079"/>
      <c r="N46" s="1079"/>
      <c r="O46" s="1081"/>
      <c r="P46" s="1079"/>
      <c r="Q46" s="1079"/>
      <c r="R46" s="1079"/>
      <c r="S46" s="1079"/>
      <c r="T46" s="1079"/>
      <c r="U46" s="1079"/>
      <c r="V46" s="1079"/>
      <c r="W46" s="1079"/>
      <c r="X46" s="1079"/>
      <c r="Y46" s="1079"/>
      <c r="Z46" s="1079"/>
      <c r="AA46" s="1079"/>
      <c r="AB46" s="1079"/>
      <c r="AC46" s="1080"/>
    </row>
    <row r="47" spans="1:135" ht="30" customHeight="1" thickBot="1">
      <c r="B47" s="1427"/>
    </row>
    <row r="48" spans="1:135" s="94" customFormat="1" ht="18.75" customHeight="1" thickBot="1">
      <c r="A48" s="308"/>
      <c r="B48" s="858" t="s">
        <v>1537</v>
      </c>
      <c r="C48" s="859"/>
      <c r="D48" s="859"/>
      <c r="E48" s="924"/>
      <c r="F48" s="924"/>
      <c r="G48" s="924"/>
      <c r="H48" s="924"/>
      <c r="I48" s="924"/>
      <c r="J48" s="924"/>
      <c r="K48" s="924"/>
      <c r="L48" s="924"/>
      <c r="M48" s="924"/>
      <c r="N48" s="924"/>
      <c r="O48" s="924"/>
      <c r="P48" s="924"/>
      <c r="Q48" s="924"/>
      <c r="R48" s="924"/>
      <c r="S48" s="924"/>
      <c r="T48" s="924"/>
      <c r="U48" s="924"/>
      <c r="V48" s="924"/>
      <c r="W48" s="924"/>
      <c r="X48" s="924"/>
      <c r="Y48" s="924"/>
      <c r="Z48" s="924"/>
      <c r="AA48" s="924"/>
      <c r="AB48" s="924"/>
      <c r="AC48" s="925"/>
      <c r="AD48" s="1427"/>
      <c r="AE48" s="1427"/>
      <c r="AF48" s="1427"/>
      <c r="DF48" s="1427"/>
      <c r="DG48" s="1427"/>
      <c r="DH48" s="1427"/>
      <c r="DI48" s="1427"/>
      <c r="DJ48" s="1427"/>
      <c r="DK48" s="1427"/>
      <c r="DL48" s="1427"/>
      <c r="DM48" s="1427"/>
      <c r="DN48" s="1427"/>
      <c r="DO48" s="1427"/>
      <c r="DP48" s="1427"/>
      <c r="DQ48" s="1427"/>
      <c r="DR48" s="1427"/>
      <c r="DS48" s="1427"/>
      <c r="DT48" s="1427"/>
      <c r="DU48" s="1427"/>
      <c r="DV48" s="1427"/>
      <c r="DW48" s="1427"/>
      <c r="DX48" s="1427"/>
      <c r="DY48" s="1427"/>
      <c r="DZ48" s="1427"/>
      <c r="EA48" s="1427"/>
      <c r="EB48" s="1427"/>
      <c r="EC48" s="1427"/>
      <c r="ED48" s="1427"/>
      <c r="EE48" s="1427"/>
    </row>
    <row r="49" spans="1:120">
      <c r="A49" s="1429"/>
      <c r="B49" s="4173"/>
      <c r="C49" s="4178" t="s">
        <v>47</v>
      </c>
      <c r="D49" s="4179"/>
      <c r="E49" s="1988">
        <f>'29.2.3 Gas extenstions cust no'!D47</f>
        <v>0</v>
      </c>
      <c r="F49" s="1077">
        <f>'29.2.3 Gas extenstions cust no'!E47</f>
        <v>0</v>
      </c>
      <c r="G49" s="1077">
        <f>'29.2.3 Gas extenstions cust no'!E47</f>
        <v>0</v>
      </c>
      <c r="H49" s="1077">
        <f>'29.2.3 Gas extenstions cust no'!F47</f>
        <v>0</v>
      </c>
      <c r="I49" s="1084">
        <f>'29.2.3 Gas extenstions cust no'!H47</f>
        <v>0</v>
      </c>
      <c r="J49" s="1988">
        <f>'29.2.3 Gas extenstions cust no'!I47</f>
        <v>0</v>
      </c>
      <c r="K49" s="1077">
        <f>'29.2.3 Gas extenstions cust no'!J47</f>
        <v>0</v>
      </c>
      <c r="L49" s="1077">
        <f>'29.2.3 Gas extenstions cust no'!K47</f>
        <v>0</v>
      </c>
      <c r="M49" s="1077">
        <f>'29.2.3 Gas extenstions cust no'!L47</f>
        <v>0</v>
      </c>
      <c r="N49" s="1084">
        <f>'29.2.3 Gas extenstions cust no'!M47</f>
        <v>0</v>
      </c>
      <c r="O49" s="1085">
        <f>'29.2.3 Gas extenstions cust no'!N47</f>
        <v>0</v>
      </c>
      <c r="P49" s="1077">
        <f>'29.2.3 Gas extenstions cust no'!O47</f>
        <v>0</v>
      </c>
      <c r="Q49" s="1077">
        <f>'29.2.3 Gas extenstions cust no'!P47</f>
        <v>0</v>
      </c>
      <c r="R49" s="1077">
        <f>'29.2.3 Gas extenstions cust no'!Q47</f>
        <v>0</v>
      </c>
      <c r="S49" s="1077">
        <f>'29.2.3 Gas extenstions cust no'!R47</f>
        <v>0</v>
      </c>
      <c r="T49" s="1077">
        <f>'29.2.3 Gas extenstions cust no'!S47</f>
        <v>0</v>
      </c>
      <c r="U49" s="1077">
        <f>'29.2.3 Gas extenstions cust no'!T47</f>
        <v>0</v>
      </c>
      <c r="V49" s="1077">
        <f>'29.2.3 Gas extenstions cust no'!U47</f>
        <v>0</v>
      </c>
      <c r="W49" s="1077">
        <f>'29.2.3 Gas extenstions cust no'!V47</f>
        <v>0</v>
      </c>
      <c r="X49" s="1077">
        <f>'29.2.3 Gas extenstions cust no'!W47</f>
        <v>0</v>
      </c>
      <c r="Y49" s="1077">
        <f>'29.2.3 Gas extenstions cust no'!X47</f>
        <v>0</v>
      </c>
      <c r="Z49" s="1077">
        <f>'29.2.3 Gas extenstions cust no'!Y47</f>
        <v>0</v>
      </c>
      <c r="AA49" s="1077">
        <f>'29.2.3 Gas extenstions cust no'!Z47</f>
        <v>0</v>
      </c>
      <c r="AB49" s="1077">
        <f>'29.2.3 Gas extenstions cust no'!AA47</f>
        <v>0</v>
      </c>
      <c r="AC49" s="1084">
        <f>'29.2.3 Gas extenstions cust no'!AB47</f>
        <v>0</v>
      </c>
    </row>
    <row r="50" spans="1:120">
      <c r="A50" s="1429"/>
      <c r="B50" s="4174"/>
      <c r="C50" s="1026" t="s">
        <v>297</v>
      </c>
      <c r="D50" s="983" t="s">
        <v>296</v>
      </c>
      <c r="E50" s="823"/>
      <c r="F50" s="780"/>
      <c r="G50" s="780"/>
      <c r="H50" s="780"/>
      <c r="I50" s="884"/>
      <c r="J50" s="823"/>
      <c r="K50" s="780"/>
      <c r="L50" s="780"/>
      <c r="M50" s="780"/>
      <c r="N50" s="884"/>
      <c r="O50" s="880"/>
      <c r="P50" s="780"/>
      <c r="Q50" s="780"/>
      <c r="R50" s="780"/>
      <c r="S50" s="780"/>
      <c r="T50" s="780"/>
      <c r="U50" s="780"/>
      <c r="V50" s="780"/>
      <c r="W50" s="780"/>
      <c r="X50" s="780"/>
      <c r="Y50" s="780"/>
      <c r="Z50" s="780"/>
      <c r="AA50" s="780"/>
      <c r="AB50" s="780"/>
      <c r="AC50" s="884"/>
    </row>
    <row r="51" spans="1:120">
      <c r="A51" s="1429"/>
      <c r="B51" s="4174"/>
      <c r="C51" s="1026" t="s">
        <v>297</v>
      </c>
      <c r="D51" s="983" t="s">
        <v>296</v>
      </c>
      <c r="E51" s="823"/>
      <c r="F51" s="780"/>
      <c r="G51" s="780"/>
      <c r="H51" s="780"/>
      <c r="I51" s="884"/>
      <c r="J51" s="823"/>
      <c r="K51" s="780"/>
      <c r="L51" s="780"/>
      <c r="M51" s="780"/>
      <c r="N51" s="884"/>
      <c r="O51" s="880"/>
      <c r="P51" s="780"/>
      <c r="Q51" s="780"/>
      <c r="R51" s="780"/>
      <c r="S51" s="780"/>
      <c r="T51" s="780"/>
      <c r="U51" s="780"/>
      <c r="V51" s="780"/>
      <c r="W51" s="780"/>
      <c r="X51" s="780"/>
      <c r="Y51" s="780"/>
      <c r="Z51" s="780"/>
      <c r="AA51" s="780"/>
      <c r="AB51" s="780"/>
      <c r="AC51" s="884"/>
    </row>
    <row r="52" spans="1:120" ht="13.5" thickBot="1">
      <c r="A52" s="1429"/>
      <c r="B52" s="4175"/>
      <c r="C52" s="1033" t="s">
        <v>297</v>
      </c>
      <c r="D52" s="1034" t="s">
        <v>296</v>
      </c>
      <c r="E52" s="1932"/>
      <c r="F52" s="886"/>
      <c r="G52" s="886"/>
      <c r="H52" s="886"/>
      <c r="I52" s="887"/>
      <c r="J52" s="1932"/>
      <c r="K52" s="886"/>
      <c r="L52" s="886"/>
      <c r="M52" s="886"/>
      <c r="N52" s="887"/>
      <c r="O52" s="889"/>
      <c r="P52" s="886"/>
      <c r="Q52" s="886"/>
      <c r="R52" s="886"/>
      <c r="S52" s="886"/>
      <c r="T52" s="886"/>
      <c r="U52" s="886"/>
      <c r="V52" s="886"/>
      <c r="W52" s="886"/>
      <c r="X52" s="886"/>
      <c r="Y52" s="886"/>
      <c r="Z52" s="886"/>
      <c r="AA52" s="886"/>
      <c r="AB52" s="886"/>
      <c r="AC52" s="887"/>
    </row>
    <row r="53" spans="1:120" ht="23.25" customHeight="1" thickBot="1">
      <c r="B53" s="1427"/>
    </row>
    <row r="54" spans="1:120" s="529" customFormat="1" ht="18" customHeight="1">
      <c r="B54" s="4196" t="s">
        <v>124</v>
      </c>
      <c r="C54" s="4197"/>
      <c r="D54" s="4198"/>
      <c r="E54" s="1989">
        <f t="shared" ref="E54:AC54" si="10">SUM(E50:E52)</f>
        <v>0</v>
      </c>
      <c r="F54" s="1063">
        <f t="shared" si="10"/>
        <v>0</v>
      </c>
      <c r="G54" s="1063">
        <f t="shared" si="10"/>
        <v>0</v>
      </c>
      <c r="H54" s="1063">
        <f t="shared" si="10"/>
        <v>0</v>
      </c>
      <c r="I54" s="1064">
        <f t="shared" si="10"/>
        <v>0</v>
      </c>
      <c r="J54" s="1067">
        <f t="shared" si="10"/>
        <v>0</v>
      </c>
      <c r="K54" s="1063">
        <f t="shared" si="10"/>
        <v>0</v>
      </c>
      <c r="L54" s="1063">
        <f t="shared" si="10"/>
        <v>0</v>
      </c>
      <c r="M54" s="1063">
        <f t="shared" si="10"/>
        <v>0</v>
      </c>
      <c r="N54" s="1082">
        <f t="shared" si="10"/>
        <v>0</v>
      </c>
      <c r="O54" s="1069">
        <f t="shared" si="10"/>
        <v>0</v>
      </c>
      <c r="P54" s="1063">
        <f t="shared" si="10"/>
        <v>0</v>
      </c>
      <c r="Q54" s="1063">
        <f t="shared" si="10"/>
        <v>0</v>
      </c>
      <c r="R54" s="1063">
        <f t="shared" si="10"/>
        <v>0</v>
      </c>
      <c r="S54" s="1063">
        <f t="shared" si="10"/>
        <v>0</v>
      </c>
      <c r="T54" s="1063">
        <f t="shared" si="10"/>
        <v>0</v>
      </c>
      <c r="U54" s="1063">
        <f t="shared" si="10"/>
        <v>0</v>
      </c>
      <c r="V54" s="1063">
        <f t="shared" si="10"/>
        <v>0</v>
      </c>
      <c r="W54" s="1063">
        <f t="shared" si="10"/>
        <v>0</v>
      </c>
      <c r="X54" s="1063">
        <f t="shared" si="10"/>
        <v>0</v>
      </c>
      <c r="Y54" s="1063">
        <f t="shared" si="10"/>
        <v>0</v>
      </c>
      <c r="Z54" s="1063">
        <f t="shared" si="10"/>
        <v>0</v>
      </c>
      <c r="AA54" s="1063">
        <f t="shared" si="10"/>
        <v>0</v>
      </c>
      <c r="AB54" s="1063">
        <f t="shared" si="10"/>
        <v>0</v>
      </c>
      <c r="AC54" s="1064">
        <f t="shared" si="10"/>
        <v>0</v>
      </c>
      <c r="AD54" s="1427"/>
      <c r="AE54" s="1427"/>
      <c r="AF54" s="1427"/>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29"/>
      <c r="CR54" s="229"/>
      <c r="CS54" s="229"/>
      <c r="CT54" s="229"/>
      <c r="CU54" s="229"/>
      <c r="CV54" s="229"/>
      <c r="CW54" s="229"/>
      <c r="CX54" s="229"/>
      <c r="CY54" s="229"/>
      <c r="CZ54" s="229"/>
      <c r="DA54" s="229"/>
      <c r="DB54" s="229"/>
      <c r="DC54" s="229"/>
      <c r="DD54" s="229"/>
      <c r="DE54" s="229"/>
      <c r="DF54" s="229"/>
      <c r="DG54" s="229"/>
      <c r="DH54" s="229"/>
      <c r="DI54" s="229"/>
      <c r="DJ54" s="229"/>
      <c r="DK54" s="229"/>
      <c r="DL54" s="229"/>
      <c r="DM54" s="229"/>
      <c r="DN54" s="229"/>
      <c r="DO54" s="229"/>
      <c r="DP54" s="229"/>
    </row>
    <row r="55" spans="1:120" s="529" customFormat="1" ht="18" customHeight="1" thickBot="1">
      <c r="B55" s="4199" t="s">
        <v>123</v>
      </c>
      <c r="C55" s="4200"/>
      <c r="D55" s="4201"/>
      <c r="E55" s="1990">
        <f t="shared" ref="E55:AC55" si="11">IF(ISERROR(E54/E49),0,(E54/E49))</f>
        <v>0</v>
      </c>
      <c r="F55" s="1065">
        <f t="shared" si="11"/>
        <v>0</v>
      </c>
      <c r="G55" s="1065">
        <f t="shared" si="11"/>
        <v>0</v>
      </c>
      <c r="H55" s="1065">
        <f t="shared" si="11"/>
        <v>0</v>
      </c>
      <c r="I55" s="1066">
        <f t="shared" si="11"/>
        <v>0</v>
      </c>
      <c r="J55" s="1068">
        <f t="shared" si="11"/>
        <v>0</v>
      </c>
      <c r="K55" s="1065">
        <f t="shared" si="11"/>
        <v>0</v>
      </c>
      <c r="L55" s="1065">
        <f t="shared" si="11"/>
        <v>0</v>
      </c>
      <c r="M55" s="1065">
        <f t="shared" si="11"/>
        <v>0</v>
      </c>
      <c r="N55" s="1083">
        <f t="shared" si="11"/>
        <v>0</v>
      </c>
      <c r="O55" s="1070">
        <f t="shared" si="11"/>
        <v>0</v>
      </c>
      <c r="P55" s="1065">
        <f t="shared" si="11"/>
        <v>0</v>
      </c>
      <c r="Q55" s="1065">
        <f t="shared" si="11"/>
        <v>0</v>
      </c>
      <c r="R55" s="1065">
        <f t="shared" si="11"/>
        <v>0</v>
      </c>
      <c r="S55" s="1065">
        <f t="shared" si="11"/>
        <v>0</v>
      </c>
      <c r="T55" s="1065">
        <f t="shared" si="11"/>
        <v>0</v>
      </c>
      <c r="U55" s="1065">
        <f t="shared" si="11"/>
        <v>0</v>
      </c>
      <c r="V55" s="1065">
        <f t="shared" si="11"/>
        <v>0</v>
      </c>
      <c r="W55" s="1065">
        <f t="shared" si="11"/>
        <v>0</v>
      </c>
      <c r="X55" s="1065">
        <f t="shared" si="11"/>
        <v>0</v>
      </c>
      <c r="Y55" s="1065">
        <f t="shared" si="11"/>
        <v>0</v>
      </c>
      <c r="Z55" s="1065">
        <f t="shared" si="11"/>
        <v>0</v>
      </c>
      <c r="AA55" s="1065">
        <f t="shared" si="11"/>
        <v>0</v>
      </c>
      <c r="AB55" s="1065">
        <f t="shared" si="11"/>
        <v>0</v>
      </c>
      <c r="AC55" s="1066">
        <f t="shared" si="11"/>
        <v>0</v>
      </c>
      <c r="AD55" s="1427"/>
      <c r="AE55" s="1427"/>
      <c r="AF55" s="1427"/>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c r="BU55" s="229"/>
      <c r="BV55" s="229"/>
      <c r="BW55" s="229"/>
      <c r="BX55" s="229"/>
      <c r="BY55" s="229"/>
      <c r="BZ55" s="229"/>
      <c r="CA55" s="229"/>
      <c r="CB55" s="229"/>
      <c r="CC55" s="229"/>
      <c r="CD55" s="229"/>
      <c r="CE55" s="229"/>
      <c r="CF55" s="229"/>
      <c r="CG55" s="229"/>
      <c r="CH55" s="229"/>
      <c r="CI55" s="229"/>
      <c r="CJ55" s="229"/>
      <c r="CK55" s="229"/>
      <c r="CL55" s="229"/>
      <c r="CM55" s="229"/>
      <c r="CN55" s="229"/>
      <c r="CO55" s="229"/>
      <c r="CP55" s="229"/>
      <c r="CQ55" s="229"/>
      <c r="CR55" s="229"/>
      <c r="CS55" s="229"/>
      <c r="CT55" s="229"/>
      <c r="CU55" s="229"/>
      <c r="CV55" s="229"/>
      <c r="CW55" s="229"/>
      <c r="CX55" s="229"/>
      <c r="CY55" s="229"/>
      <c r="CZ55" s="229"/>
      <c r="DA55" s="229"/>
      <c r="DB55" s="229"/>
      <c r="DC55" s="229"/>
      <c r="DD55" s="229"/>
      <c r="DE55" s="229"/>
      <c r="DF55" s="229"/>
      <c r="DG55" s="229"/>
      <c r="DH55" s="229"/>
      <c r="DI55" s="229"/>
      <c r="DJ55" s="229"/>
      <c r="DK55" s="229"/>
      <c r="DL55" s="229"/>
      <c r="DM55" s="229"/>
      <c r="DN55" s="229"/>
      <c r="DO55" s="229"/>
      <c r="DP55" s="229"/>
    </row>
    <row r="56" spans="1:120" ht="34.5" customHeight="1" thickBot="1">
      <c r="A56" s="1433"/>
      <c r="B56" s="3610" t="s">
        <v>125</v>
      </c>
      <c r="C56" s="3868"/>
      <c r="D56" s="4190"/>
      <c r="E56" s="4187"/>
      <c r="F56" s="4187"/>
      <c r="G56" s="4187"/>
      <c r="H56" s="4187"/>
      <c r="I56" s="4187"/>
      <c r="J56" s="4187"/>
      <c r="K56" s="4187"/>
      <c r="L56" s="4187"/>
      <c r="M56" s="4187"/>
      <c r="N56" s="4187"/>
      <c r="O56" s="4187"/>
      <c r="P56" s="4187"/>
      <c r="Q56" s="4187"/>
      <c r="R56" s="4187"/>
      <c r="S56" s="4187"/>
      <c r="T56" s="4187"/>
      <c r="U56" s="4187"/>
      <c r="V56" s="4187"/>
      <c r="W56" s="4187"/>
      <c r="X56" s="4187"/>
      <c r="Y56" s="4187"/>
      <c r="Z56" s="4187"/>
      <c r="AA56" s="4187"/>
      <c r="AB56" s="4187"/>
      <c r="AC56" s="4188"/>
    </row>
    <row r="57" spans="1:120">
      <c r="A57" s="1429"/>
    </row>
    <row r="58" spans="1:120">
      <c r="A58" s="1429"/>
    </row>
  </sheetData>
  <mergeCells count="25">
    <mergeCell ref="B22:B31"/>
    <mergeCell ref="C22:D22"/>
    <mergeCell ref="B7:H7"/>
    <mergeCell ref="B8:H8"/>
    <mergeCell ref="B9:C9"/>
    <mergeCell ref="B10:H10"/>
    <mergeCell ref="B17:B20"/>
    <mergeCell ref="C17:C20"/>
    <mergeCell ref="D17:D20"/>
    <mergeCell ref="E17:I17"/>
    <mergeCell ref="J17:N17"/>
    <mergeCell ref="O17:AC17"/>
    <mergeCell ref="E18:AC18"/>
    <mergeCell ref="E19:G19"/>
    <mergeCell ref="H19:AC19"/>
    <mergeCell ref="B54:D54"/>
    <mergeCell ref="B55:D55"/>
    <mergeCell ref="B56:D56"/>
    <mergeCell ref="E56:AC56"/>
    <mergeCell ref="B35:B44"/>
    <mergeCell ref="C35:D35"/>
    <mergeCell ref="B45:D45"/>
    <mergeCell ref="B46:D46"/>
    <mergeCell ref="B49:B52"/>
    <mergeCell ref="C49:D49"/>
  </mergeCells>
  <pageMargins left="0.75" right="0.75" top="1" bottom="1" header="0.5" footer="0.5"/>
  <pageSetup paperSize="9" orientation="portrait" r:id="rId1"/>
  <headerFooter alignWithMargins="0"/>
  <customProperties>
    <customPr name="_pios_id" r:id="rId2"/>
  </customProperties>
  <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6"/>
    <pageSetUpPr autoPageBreaks="0"/>
  </sheetPr>
  <dimension ref="A1:EE51"/>
  <sheetViews>
    <sheetView showGridLines="0" zoomScale="70" zoomScaleNormal="70" workbookViewId="0">
      <selection activeCell="C29" sqref="C29"/>
    </sheetView>
  </sheetViews>
  <sheetFormatPr defaultRowHeight="12.75"/>
  <cols>
    <col min="1" max="1" width="14.140625" style="1427" customWidth="1"/>
    <col min="2" max="2" width="54.5703125" style="1427" customWidth="1"/>
    <col min="3" max="3" width="57.7109375" style="1427" customWidth="1"/>
    <col min="4" max="27" width="12.7109375" style="1427" customWidth="1"/>
    <col min="28" max="256" width="9.140625" style="1427"/>
    <col min="257" max="257" width="14.140625" style="1427" customWidth="1"/>
    <col min="258" max="258" width="66.28515625" style="1427" bestFit="1" customWidth="1"/>
    <col min="259" max="259" width="10" style="1427" bestFit="1" customWidth="1"/>
    <col min="260" max="261" width="8.5703125" style="1427" bestFit="1" customWidth="1"/>
    <col min="262" max="262" width="17.42578125" style="1427" bestFit="1" customWidth="1"/>
    <col min="263" max="263" width="17.28515625" style="1427" bestFit="1" customWidth="1"/>
    <col min="264" max="265" width="10.7109375" style="1427" customWidth="1"/>
    <col min="266" max="267" width="10.7109375" style="1427" bestFit="1" customWidth="1"/>
    <col min="268" max="268" width="10.7109375" style="1427" customWidth="1"/>
    <col min="269" max="271" width="10.7109375" style="1427" bestFit="1" customWidth="1"/>
    <col min="272" max="273" width="10.7109375" style="1427" customWidth="1"/>
    <col min="274" max="275" width="10.7109375" style="1427" bestFit="1" customWidth="1"/>
    <col min="276" max="512" width="9.140625" style="1427"/>
    <col min="513" max="513" width="14.140625" style="1427" customWidth="1"/>
    <col min="514" max="514" width="66.28515625" style="1427" bestFit="1" customWidth="1"/>
    <col min="515" max="515" width="10" style="1427" bestFit="1" customWidth="1"/>
    <col min="516" max="517" width="8.5703125" style="1427" bestFit="1" customWidth="1"/>
    <col min="518" max="518" width="17.42578125" style="1427" bestFit="1" customWidth="1"/>
    <col min="519" max="519" width="17.28515625" style="1427" bestFit="1" customWidth="1"/>
    <col min="520" max="521" width="10.7109375" style="1427" customWidth="1"/>
    <col min="522" max="523" width="10.7109375" style="1427" bestFit="1" customWidth="1"/>
    <col min="524" max="524" width="10.7109375" style="1427" customWidth="1"/>
    <col min="525" max="527" width="10.7109375" style="1427" bestFit="1" customWidth="1"/>
    <col min="528" max="529" width="10.7109375" style="1427" customWidth="1"/>
    <col min="530" max="531" width="10.7109375" style="1427" bestFit="1" customWidth="1"/>
    <col min="532" max="768" width="9.140625" style="1427"/>
    <col min="769" max="769" width="14.140625" style="1427" customWidth="1"/>
    <col min="770" max="770" width="66.28515625" style="1427" bestFit="1" customWidth="1"/>
    <col min="771" max="771" width="10" style="1427" bestFit="1" customWidth="1"/>
    <col min="772" max="773" width="8.5703125" style="1427" bestFit="1" customWidth="1"/>
    <col min="774" max="774" width="17.42578125" style="1427" bestFit="1" customWidth="1"/>
    <col min="775" max="775" width="17.28515625" style="1427" bestFit="1" customWidth="1"/>
    <col min="776" max="777" width="10.7109375" style="1427" customWidth="1"/>
    <col min="778" max="779" width="10.7109375" style="1427" bestFit="1" customWidth="1"/>
    <col min="780" max="780" width="10.7109375" style="1427" customWidth="1"/>
    <col min="781" max="783" width="10.7109375" style="1427" bestFit="1" customWidth="1"/>
    <col min="784" max="785" width="10.7109375" style="1427" customWidth="1"/>
    <col min="786" max="787" width="10.7109375" style="1427" bestFit="1" customWidth="1"/>
    <col min="788" max="1024" width="9.140625" style="1427"/>
    <col min="1025" max="1025" width="14.140625" style="1427" customWidth="1"/>
    <col min="1026" max="1026" width="66.28515625" style="1427" bestFit="1" customWidth="1"/>
    <col min="1027" max="1027" width="10" style="1427" bestFit="1" customWidth="1"/>
    <col min="1028" max="1029" width="8.5703125" style="1427" bestFit="1" customWidth="1"/>
    <col min="1030" max="1030" width="17.42578125" style="1427" bestFit="1" customWidth="1"/>
    <col min="1031" max="1031" width="17.28515625" style="1427" bestFit="1" customWidth="1"/>
    <col min="1032" max="1033" width="10.7109375" style="1427" customWidth="1"/>
    <col min="1034" max="1035" width="10.7109375" style="1427" bestFit="1" customWidth="1"/>
    <col min="1036" max="1036" width="10.7109375" style="1427" customWidth="1"/>
    <col min="1037" max="1039" width="10.7109375" style="1427" bestFit="1" customWidth="1"/>
    <col min="1040" max="1041" width="10.7109375" style="1427" customWidth="1"/>
    <col min="1042" max="1043" width="10.7109375" style="1427" bestFit="1" customWidth="1"/>
    <col min="1044" max="1280" width="9.140625" style="1427"/>
    <col min="1281" max="1281" width="14.140625" style="1427" customWidth="1"/>
    <col min="1282" max="1282" width="66.28515625" style="1427" bestFit="1" customWidth="1"/>
    <col min="1283" max="1283" width="10" style="1427" bestFit="1" customWidth="1"/>
    <col min="1284" max="1285" width="8.5703125" style="1427" bestFit="1" customWidth="1"/>
    <col min="1286" max="1286" width="17.42578125" style="1427" bestFit="1" customWidth="1"/>
    <col min="1287" max="1287" width="17.28515625" style="1427" bestFit="1" customWidth="1"/>
    <col min="1288" max="1289" width="10.7109375" style="1427" customWidth="1"/>
    <col min="1290" max="1291" width="10.7109375" style="1427" bestFit="1" customWidth="1"/>
    <col min="1292" max="1292" width="10.7109375" style="1427" customWidth="1"/>
    <col min="1293" max="1295" width="10.7109375" style="1427" bestFit="1" customWidth="1"/>
    <col min="1296" max="1297" width="10.7109375" style="1427" customWidth="1"/>
    <col min="1298" max="1299" width="10.7109375" style="1427" bestFit="1" customWidth="1"/>
    <col min="1300" max="1536" width="9.140625" style="1427"/>
    <col min="1537" max="1537" width="14.140625" style="1427" customWidth="1"/>
    <col min="1538" max="1538" width="66.28515625" style="1427" bestFit="1" customWidth="1"/>
    <col min="1539" max="1539" width="10" style="1427" bestFit="1" customWidth="1"/>
    <col min="1540" max="1541" width="8.5703125" style="1427" bestFit="1" customWidth="1"/>
    <col min="1542" max="1542" width="17.42578125" style="1427" bestFit="1" customWidth="1"/>
    <col min="1543" max="1543" width="17.28515625" style="1427" bestFit="1" customWidth="1"/>
    <col min="1544" max="1545" width="10.7109375" style="1427" customWidth="1"/>
    <col min="1546" max="1547" width="10.7109375" style="1427" bestFit="1" customWidth="1"/>
    <col min="1548" max="1548" width="10.7109375" style="1427" customWidth="1"/>
    <col min="1549" max="1551" width="10.7109375" style="1427" bestFit="1" customWidth="1"/>
    <col min="1552" max="1553" width="10.7109375" style="1427" customWidth="1"/>
    <col min="1554" max="1555" width="10.7109375" style="1427" bestFit="1" customWidth="1"/>
    <col min="1556" max="1792" width="9.140625" style="1427"/>
    <col min="1793" max="1793" width="14.140625" style="1427" customWidth="1"/>
    <col min="1794" max="1794" width="66.28515625" style="1427" bestFit="1" customWidth="1"/>
    <col min="1795" max="1795" width="10" style="1427" bestFit="1" customWidth="1"/>
    <col min="1796" max="1797" width="8.5703125" style="1427" bestFit="1" customWidth="1"/>
    <col min="1798" max="1798" width="17.42578125" style="1427" bestFit="1" customWidth="1"/>
    <col min="1799" max="1799" width="17.28515625" style="1427" bestFit="1" customWidth="1"/>
    <col min="1800" max="1801" width="10.7109375" style="1427" customWidth="1"/>
    <col min="1802" max="1803" width="10.7109375" style="1427" bestFit="1" customWidth="1"/>
    <col min="1804" max="1804" width="10.7109375" style="1427" customWidth="1"/>
    <col min="1805" max="1807" width="10.7109375" style="1427" bestFit="1" customWidth="1"/>
    <col min="1808" max="1809" width="10.7109375" style="1427" customWidth="1"/>
    <col min="1810" max="1811" width="10.7109375" style="1427" bestFit="1" customWidth="1"/>
    <col min="1812" max="2048" width="9.140625" style="1427"/>
    <col min="2049" max="2049" width="14.140625" style="1427" customWidth="1"/>
    <col min="2050" max="2050" width="66.28515625" style="1427" bestFit="1" customWidth="1"/>
    <col min="2051" max="2051" width="10" style="1427" bestFit="1" customWidth="1"/>
    <col min="2052" max="2053" width="8.5703125" style="1427" bestFit="1" customWidth="1"/>
    <col min="2054" max="2054" width="17.42578125" style="1427" bestFit="1" customWidth="1"/>
    <col min="2055" max="2055" width="17.28515625" style="1427" bestFit="1" customWidth="1"/>
    <col min="2056" max="2057" width="10.7109375" style="1427" customWidth="1"/>
    <col min="2058" max="2059" width="10.7109375" style="1427" bestFit="1" customWidth="1"/>
    <col min="2060" max="2060" width="10.7109375" style="1427" customWidth="1"/>
    <col min="2061" max="2063" width="10.7109375" style="1427" bestFit="1" customWidth="1"/>
    <col min="2064" max="2065" width="10.7109375" style="1427" customWidth="1"/>
    <col min="2066" max="2067" width="10.7109375" style="1427" bestFit="1" customWidth="1"/>
    <col min="2068" max="2304" width="9.140625" style="1427"/>
    <col min="2305" max="2305" width="14.140625" style="1427" customWidth="1"/>
    <col min="2306" max="2306" width="66.28515625" style="1427" bestFit="1" customWidth="1"/>
    <col min="2307" max="2307" width="10" style="1427" bestFit="1" customWidth="1"/>
    <col min="2308" max="2309" width="8.5703125" style="1427" bestFit="1" customWidth="1"/>
    <col min="2310" max="2310" width="17.42578125" style="1427" bestFit="1" customWidth="1"/>
    <col min="2311" max="2311" width="17.28515625" style="1427" bestFit="1" customWidth="1"/>
    <col min="2312" max="2313" width="10.7109375" style="1427" customWidth="1"/>
    <col min="2314" max="2315" width="10.7109375" style="1427" bestFit="1" customWidth="1"/>
    <col min="2316" max="2316" width="10.7109375" style="1427" customWidth="1"/>
    <col min="2317" max="2319" width="10.7109375" style="1427" bestFit="1" customWidth="1"/>
    <col min="2320" max="2321" width="10.7109375" style="1427" customWidth="1"/>
    <col min="2322" max="2323" width="10.7109375" style="1427" bestFit="1" customWidth="1"/>
    <col min="2324" max="2560" width="9.140625" style="1427"/>
    <col min="2561" max="2561" width="14.140625" style="1427" customWidth="1"/>
    <col min="2562" max="2562" width="66.28515625" style="1427" bestFit="1" customWidth="1"/>
    <col min="2563" max="2563" width="10" style="1427" bestFit="1" customWidth="1"/>
    <col min="2564" max="2565" width="8.5703125" style="1427" bestFit="1" customWidth="1"/>
    <col min="2566" max="2566" width="17.42578125" style="1427" bestFit="1" customWidth="1"/>
    <col min="2567" max="2567" width="17.28515625" style="1427" bestFit="1" customWidth="1"/>
    <col min="2568" max="2569" width="10.7109375" style="1427" customWidth="1"/>
    <col min="2570" max="2571" width="10.7109375" style="1427" bestFit="1" customWidth="1"/>
    <col min="2572" max="2572" width="10.7109375" style="1427" customWidth="1"/>
    <col min="2573" max="2575" width="10.7109375" style="1427" bestFit="1" customWidth="1"/>
    <col min="2576" max="2577" width="10.7109375" style="1427" customWidth="1"/>
    <col min="2578" max="2579" width="10.7109375" style="1427" bestFit="1" customWidth="1"/>
    <col min="2580" max="2816" width="9.140625" style="1427"/>
    <col min="2817" max="2817" width="14.140625" style="1427" customWidth="1"/>
    <col min="2818" max="2818" width="66.28515625" style="1427" bestFit="1" customWidth="1"/>
    <col min="2819" max="2819" width="10" style="1427" bestFit="1" customWidth="1"/>
    <col min="2820" max="2821" width="8.5703125" style="1427" bestFit="1" customWidth="1"/>
    <col min="2822" max="2822" width="17.42578125" style="1427" bestFit="1" customWidth="1"/>
    <col min="2823" max="2823" width="17.28515625" style="1427" bestFit="1" customWidth="1"/>
    <col min="2824" max="2825" width="10.7109375" style="1427" customWidth="1"/>
    <col min="2826" max="2827" width="10.7109375" style="1427" bestFit="1" customWidth="1"/>
    <col min="2828" max="2828" width="10.7109375" style="1427" customWidth="1"/>
    <col min="2829" max="2831" width="10.7109375" style="1427" bestFit="1" customWidth="1"/>
    <col min="2832" max="2833" width="10.7109375" style="1427" customWidth="1"/>
    <col min="2834" max="2835" width="10.7109375" style="1427" bestFit="1" customWidth="1"/>
    <col min="2836" max="3072" width="9.140625" style="1427"/>
    <col min="3073" max="3073" width="14.140625" style="1427" customWidth="1"/>
    <col min="3074" max="3074" width="66.28515625" style="1427" bestFit="1" customWidth="1"/>
    <col min="3075" max="3075" width="10" style="1427" bestFit="1" customWidth="1"/>
    <col min="3076" max="3077" width="8.5703125" style="1427" bestFit="1" customWidth="1"/>
    <col min="3078" max="3078" width="17.42578125" style="1427" bestFit="1" customWidth="1"/>
    <col min="3079" max="3079" width="17.28515625" style="1427" bestFit="1" customWidth="1"/>
    <col min="3080" max="3081" width="10.7109375" style="1427" customWidth="1"/>
    <col min="3082" max="3083" width="10.7109375" style="1427" bestFit="1" customWidth="1"/>
    <col min="3084" max="3084" width="10.7109375" style="1427" customWidth="1"/>
    <col min="3085" max="3087" width="10.7109375" style="1427" bestFit="1" customWidth="1"/>
    <col min="3088" max="3089" width="10.7109375" style="1427" customWidth="1"/>
    <col min="3090" max="3091" width="10.7109375" style="1427" bestFit="1" customWidth="1"/>
    <col min="3092" max="3328" width="9.140625" style="1427"/>
    <col min="3329" max="3329" width="14.140625" style="1427" customWidth="1"/>
    <col min="3330" max="3330" width="66.28515625" style="1427" bestFit="1" customWidth="1"/>
    <col min="3331" max="3331" width="10" style="1427" bestFit="1" customWidth="1"/>
    <col min="3332" max="3333" width="8.5703125" style="1427" bestFit="1" customWidth="1"/>
    <col min="3334" max="3334" width="17.42578125" style="1427" bestFit="1" customWidth="1"/>
    <col min="3335" max="3335" width="17.28515625" style="1427" bestFit="1" customWidth="1"/>
    <col min="3336" max="3337" width="10.7109375" style="1427" customWidth="1"/>
    <col min="3338" max="3339" width="10.7109375" style="1427" bestFit="1" customWidth="1"/>
    <col min="3340" max="3340" width="10.7109375" style="1427" customWidth="1"/>
    <col min="3341" max="3343" width="10.7109375" style="1427" bestFit="1" customWidth="1"/>
    <col min="3344" max="3345" width="10.7109375" style="1427" customWidth="1"/>
    <col min="3346" max="3347" width="10.7109375" style="1427" bestFit="1" customWidth="1"/>
    <col min="3348" max="3584" width="9.140625" style="1427"/>
    <col min="3585" max="3585" width="14.140625" style="1427" customWidth="1"/>
    <col min="3586" max="3586" width="66.28515625" style="1427" bestFit="1" customWidth="1"/>
    <col min="3587" max="3587" width="10" style="1427" bestFit="1" customWidth="1"/>
    <col min="3588" max="3589" width="8.5703125" style="1427" bestFit="1" customWidth="1"/>
    <col min="3590" max="3590" width="17.42578125" style="1427" bestFit="1" customWidth="1"/>
    <col min="3591" max="3591" width="17.28515625" style="1427" bestFit="1" customWidth="1"/>
    <col min="3592" max="3593" width="10.7109375" style="1427" customWidth="1"/>
    <col min="3594" max="3595" width="10.7109375" style="1427" bestFit="1" customWidth="1"/>
    <col min="3596" max="3596" width="10.7109375" style="1427" customWidth="1"/>
    <col min="3597" max="3599" width="10.7109375" style="1427" bestFit="1" customWidth="1"/>
    <col min="3600" max="3601" width="10.7109375" style="1427" customWidth="1"/>
    <col min="3602" max="3603" width="10.7109375" style="1427" bestFit="1" customWidth="1"/>
    <col min="3604" max="3840" width="9.140625" style="1427"/>
    <col min="3841" max="3841" width="14.140625" style="1427" customWidth="1"/>
    <col min="3842" max="3842" width="66.28515625" style="1427" bestFit="1" customWidth="1"/>
    <col min="3843" max="3843" width="10" style="1427" bestFit="1" customWidth="1"/>
    <col min="3844" max="3845" width="8.5703125" style="1427" bestFit="1" customWidth="1"/>
    <col min="3846" max="3846" width="17.42578125" style="1427" bestFit="1" customWidth="1"/>
    <col min="3847" max="3847" width="17.28515625" style="1427" bestFit="1" customWidth="1"/>
    <col min="3848" max="3849" width="10.7109375" style="1427" customWidth="1"/>
    <col min="3850" max="3851" width="10.7109375" style="1427" bestFit="1" customWidth="1"/>
    <col min="3852" max="3852" width="10.7109375" style="1427" customWidth="1"/>
    <col min="3853" max="3855" width="10.7109375" style="1427" bestFit="1" customWidth="1"/>
    <col min="3856" max="3857" width="10.7109375" style="1427" customWidth="1"/>
    <col min="3858" max="3859" width="10.7109375" style="1427" bestFit="1" customWidth="1"/>
    <col min="3860" max="4096" width="9.140625" style="1427"/>
    <col min="4097" max="4097" width="14.140625" style="1427" customWidth="1"/>
    <col min="4098" max="4098" width="66.28515625" style="1427" bestFit="1" customWidth="1"/>
    <col min="4099" max="4099" width="10" style="1427" bestFit="1" customWidth="1"/>
    <col min="4100" max="4101" width="8.5703125" style="1427" bestFit="1" customWidth="1"/>
    <col min="4102" max="4102" width="17.42578125" style="1427" bestFit="1" customWidth="1"/>
    <col min="4103" max="4103" width="17.28515625" style="1427" bestFit="1" customWidth="1"/>
    <col min="4104" max="4105" width="10.7109375" style="1427" customWidth="1"/>
    <col min="4106" max="4107" width="10.7109375" style="1427" bestFit="1" customWidth="1"/>
    <col min="4108" max="4108" width="10.7109375" style="1427" customWidth="1"/>
    <col min="4109" max="4111" width="10.7109375" style="1427" bestFit="1" customWidth="1"/>
    <col min="4112" max="4113" width="10.7109375" style="1427" customWidth="1"/>
    <col min="4114" max="4115" width="10.7109375" style="1427" bestFit="1" customWidth="1"/>
    <col min="4116" max="4352" width="9.140625" style="1427"/>
    <col min="4353" max="4353" width="14.140625" style="1427" customWidth="1"/>
    <col min="4354" max="4354" width="66.28515625" style="1427" bestFit="1" customWidth="1"/>
    <col min="4355" max="4355" width="10" style="1427" bestFit="1" customWidth="1"/>
    <col min="4356" max="4357" width="8.5703125" style="1427" bestFit="1" customWidth="1"/>
    <col min="4358" max="4358" width="17.42578125" style="1427" bestFit="1" customWidth="1"/>
    <col min="4359" max="4359" width="17.28515625" style="1427" bestFit="1" customWidth="1"/>
    <col min="4360" max="4361" width="10.7109375" style="1427" customWidth="1"/>
    <col min="4362" max="4363" width="10.7109375" style="1427" bestFit="1" customWidth="1"/>
    <col min="4364" max="4364" width="10.7109375" style="1427" customWidth="1"/>
    <col min="4365" max="4367" width="10.7109375" style="1427" bestFit="1" customWidth="1"/>
    <col min="4368" max="4369" width="10.7109375" style="1427" customWidth="1"/>
    <col min="4370" max="4371" width="10.7109375" style="1427" bestFit="1" customWidth="1"/>
    <col min="4372" max="4608" width="9.140625" style="1427"/>
    <col min="4609" max="4609" width="14.140625" style="1427" customWidth="1"/>
    <col min="4610" max="4610" width="66.28515625" style="1427" bestFit="1" customWidth="1"/>
    <col min="4611" max="4611" width="10" style="1427" bestFit="1" customWidth="1"/>
    <col min="4612" max="4613" width="8.5703125" style="1427" bestFit="1" customWidth="1"/>
    <col min="4614" max="4614" width="17.42578125" style="1427" bestFit="1" customWidth="1"/>
    <col min="4615" max="4615" width="17.28515625" style="1427" bestFit="1" customWidth="1"/>
    <col min="4616" max="4617" width="10.7109375" style="1427" customWidth="1"/>
    <col min="4618" max="4619" width="10.7109375" style="1427" bestFit="1" customWidth="1"/>
    <col min="4620" max="4620" width="10.7109375" style="1427" customWidth="1"/>
    <col min="4621" max="4623" width="10.7109375" style="1427" bestFit="1" customWidth="1"/>
    <col min="4624" max="4625" width="10.7109375" style="1427" customWidth="1"/>
    <col min="4626" max="4627" width="10.7109375" style="1427" bestFit="1" customWidth="1"/>
    <col min="4628" max="4864" width="9.140625" style="1427"/>
    <col min="4865" max="4865" width="14.140625" style="1427" customWidth="1"/>
    <col min="4866" max="4866" width="66.28515625" style="1427" bestFit="1" customWidth="1"/>
    <col min="4867" max="4867" width="10" style="1427" bestFit="1" customWidth="1"/>
    <col min="4868" max="4869" width="8.5703125" style="1427" bestFit="1" customWidth="1"/>
    <col min="4870" max="4870" width="17.42578125" style="1427" bestFit="1" customWidth="1"/>
    <col min="4871" max="4871" width="17.28515625" style="1427" bestFit="1" customWidth="1"/>
    <col min="4872" max="4873" width="10.7109375" style="1427" customWidth="1"/>
    <col min="4874" max="4875" width="10.7109375" style="1427" bestFit="1" customWidth="1"/>
    <col min="4876" max="4876" width="10.7109375" style="1427" customWidth="1"/>
    <col min="4877" max="4879" width="10.7109375" style="1427" bestFit="1" customWidth="1"/>
    <col min="4880" max="4881" width="10.7109375" style="1427" customWidth="1"/>
    <col min="4882" max="4883" width="10.7109375" style="1427" bestFit="1" customWidth="1"/>
    <col min="4884" max="5120" width="9.140625" style="1427"/>
    <col min="5121" max="5121" width="14.140625" style="1427" customWidth="1"/>
    <col min="5122" max="5122" width="66.28515625" style="1427" bestFit="1" customWidth="1"/>
    <col min="5123" max="5123" width="10" style="1427" bestFit="1" customWidth="1"/>
    <col min="5124" max="5125" width="8.5703125" style="1427" bestFit="1" customWidth="1"/>
    <col min="5126" max="5126" width="17.42578125" style="1427" bestFit="1" customWidth="1"/>
    <col min="5127" max="5127" width="17.28515625" style="1427" bestFit="1" customWidth="1"/>
    <col min="5128" max="5129" width="10.7109375" style="1427" customWidth="1"/>
    <col min="5130" max="5131" width="10.7109375" style="1427" bestFit="1" customWidth="1"/>
    <col min="5132" max="5132" width="10.7109375" style="1427" customWidth="1"/>
    <col min="5133" max="5135" width="10.7109375" style="1427" bestFit="1" customWidth="1"/>
    <col min="5136" max="5137" width="10.7109375" style="1427" customWidth="1"/>
    <col min="5138" max="5139" width="10.7109375" style="1427" bestFit="1" customWidth="1"/>
    <col min="5140" max="5376" width="9.140625" style="1427"/>
    <col min="5377" max="5377" width="14.140625" style="1427" customWidth="1"/>
    <col min="5378" max="5378" width="66.28515625" style="1427" bestFit="1" customWidth="1"/>
    <col min="5379" max="5379" width="10" style="1427" bestFit="1" customWidth="1"/>
    <col min="5380" max="5381" width="8.5703125" style="1427" bestFit="1" customWidth="1"/>
    <col min="5382" max="5382" width="17.42578125" style="1427" bestFit="1" customWidth="1"/>
    <col min="5383" max="5383" width="17.28515625" style="1427" bestFit="1" customWidth="1"/>
    <col min="5384" max="5385" width="10.7109375" style="1427" customWidth="1"/>
    <col min="5386" max="5387" width="10.7109375" style="1427" bestFit="1" customWidth="1"/>
    <col min="5388" max="5388" width="10.7109375" style="1427" customWidth="1"/>
    <col min="5389" max="5391" width="10.7109375" style="1427" bestFit="1" customWidth="1"/>
    <col min="5392" max="5393" width="10.7109375" style="1427" customWidth="1"/>
    <col min="5394" max="5395" width="10.7109375" style="1427" bestFit="1" customWidth="1"/>
    <col min="5396" max="5632" width="9.140625" style="1427"/>
    <col min="5633" max="5633" width="14.140625" style="1427" customWidth="1"/>
    <col min="5634" max="5634" width="66.28515625" style="1427" bestFit="1" customWidth="1"/>
    <col min="5635" max="5635" width="10" style="1427" bestFit="1" customWidth="1"/>
    <col min="5636" max="5637" width="8.5703125" style="1427" bestFit="1" customWidth="1"/>
    <col min="5638" max="5638" width="17.42578125" style="1427" bestFit="1" customWidth="1"/>
    <col min="5639" max="5639" width="17.28515625" style="1427" bestFit="1" customWidth="1"/>
    <col min="5640" max="5641" width="10.7109375" style="1427" customWidth="1"/>
    <col min="5642" max="5643" width="10.7109375" style="1427" bestFit="1" customWidth="1"/>
    <col min="5644" max="5644" width="10.7109375" style="1427" customWidth="1"/>
    <col min="5645" max="5647" width="10.7109375" style="1427" bestFit="1" customWidth="1"/>
    <col min="5648" max="5649" width="10.7109375" style="1427" customWidth="1"/>
    <col min="5650" max="5651" width="10.7109375" style="1427" bestFit="1" customWidth="1"/>
    <col min="5652" max="5888" width="9.140625" style="1427"/>
    <col min="5889" max="5889" width="14.140625" style="1427" customWidth="1"/>
    <col min="5890" max="5890" width="66.28515625" style="1427" bestFit="1" customWidth="1"/>
    <col min="5891" max="5891" width="10" style="1427" bestFit="1" customWidth="1"/>
    <col min="5892" max="5893" width="8.5703125" style="1427" bestFit="1" customWidth="1"/>
    <col min="5894" max="5894" width="17.42578125" style="1427" bestFit="1" customWidth="1"/>
    <col min="5895" max="5895" width="17.28515625" style="1427" bestFit="1" customWidth="1"/>
    <col min="5896" max="5897" width="10.7109375" style="1427" customWidth="1"/>
    <col min="5898" max="5899" width="10.7109375" style="1427" bestFit="1" customWidth="1"/>
    <col min="5900" max="5900" width="10.7109375" style="1427" customWidth="1"/>
    <col min="5901" max="5903" width="10.7109375" style="1427" bestFit="1" customWidth="1"/>
    <col min="5904" max="5905" width="10.7109375" style="1427" customWidth="1"/>
    <col min="5906" max="5907" width="10.7109375" style="1427" bestFit="1" customWidth="1"/>
    <col min="5908" max="6144" width="9.140625" style="1427"/>
    <col min="6145" max="6145" width="14.140625" style="1427" customWidth="1"/>
    <col min="6146" max="6146" width="66.28515625" style="1427" bestFit="1" customWidth="1"/>
    <col min="6147" max="6147" width="10" style="1427" bestFit="1" customWidth="1"/>
    <col min="6148" max="6149" width="8.5703125" style="1427" bestFit="1" customWidth="1"/>
    <col min="6150" max="6150" width="17.42578125" style="1427" bestFit="1" customWidth="1"/>
    <col min="6151" max="6151" width="17.28515625" style="1427" bestFit="1" customWidth="1"/>
    <col min="6152" max="6153" width="10.7109375" style="1427" customWidth="1"/>
    <col min="6154" max="6155" width="10.7109375" style="1427" bestFit="1" customWidth="1"/>
    <col min="6156" max="6156" width="10.7109375" style="1427" customWidth="1"/>
    <col min="6157" max="6159" width="10.7109375" style="1427" bestFit="1" customWidth="1"/>
    <col min="6160" max="6161" width="10.7109375" style="1427" customWidth="1"/>
    <col min="6162" max="6163" width="10.7109375" style="1427" bestFit="1" customWidth="1"/>
    <col min="6164" max="6400" width="9.140625" style="1427"/>
    <col min="6401" max="6401" width="14.140625" style="1427" customWidth="1"/>
    <col min="6402" max="6402" width="66.28515625" style="1427" bestFit="1" customWidth="1"/>
    <col min="6403" max="6403" width="10" style="1427" bestFit="1" customWidth="1"/>
    <col min="6404" max="6405" width="8.5703125" style="1427" bestFit="1" customWidth="1"/>
    <col min="6406" max="6406" width="17.42578125" style="1427" bestFit="1" customWidth="1"/>
    <col min="6407" max="6407" width="17.28515625" style="1427" bestFit="1" customWidth="1"/>
    <col min="6408" max="6409" width="10.7109375" style="1427" customWidth="1"/>
    <col min="6410" max="6411" width="10.7109375" style="1427" bestFit="1" customWidth="1"/>
    <col min="6412" max="6412" width="10.7109375" style="1427" customWidth="1"/>
    <col min="6413" max="6415" width="10.7109375" style="1427" bestFit="1" customWidth="1"/>
    <col min="6416" max="6417" width="10.7109375" style="1427" customWidth="1"/>
    <col min="6418" max="6419" width="10.7109375" style="1427" bestFit="1" customWidth="1"/>
    <col min="6420" max="6656" width="9.140625" style="1427"/>
    <col min="6657" max="6657" width="14.140625" style="1427" customWidth="1"/>
    <col min="6658" max="6658" width="66.28515625" style="1427" bestFit="1" customWidth="1"/>
    <col min="6659" max="6659" width="10" style="1427" bestFit="1" customWidth="1"/>
    <col min="6660" max="6661" width="8.5703125" style="1427" bestFit="1" customWidth="1"/>
    <col min="6662" max="6662" width="17.42578125" style="1427" bestFit="1" customWidth="1"/>
    <col min="6663" max="6663" width="17.28515625" style="1427" bestFit="1" customWidth="1"/>
    <col min="6664" max="6665" width="10.7109375" style="1427" customWidth="1"/>
    <col min="6666" max="6667" width="10.7109375" style="1427" bestFit="1" customWidth="1"/>
    <col min="6668" max="6668" width="10.7109375" style="1427" customWidth="1"/>
    <col min="6669" max="6671" width="10.7109375" style="1427" bestFit="1" customWidth="1"/>
    <col min="6672" max="6673" width="10.7109375" style="1427" customWidth="1"/>
    <col min="6674" max="6675" width="10.7109375" style="1427" bestFit="1" customWidth="1"/>
    <col min="6676" max="6912" width="9.140625" style="1427"/>
    <col min="6913" max="6913" width="14.140625" style="1427" customWidth="1"/>
    <col min="6914" max="6914" width="66.28515625" style="1427" bestFit="1" customWidth="1"/>
    <col min="6915" max="6915" width="10" style="1427" bestFit="1" customWidth="1"/>
    <col min="6916" max="6917" width="8.5703125" style="1427" bestFit="1" customWidth="1"/>
    <col min="6918" max="6918" width="17.42578125" style="1427" bestFit="1" customWidth="1"/>
    <col min="6919" max="6919" width="17.28515625" style="1427" bestFit="1" customWidth="1"/>
    <col min="6920" max="6921" width="10.7109375" style="1427" customWidth="1"/>
    <col min="6922" max="6923" width="10.7109375" style="1427" bestFit="1" customWidth="1"/>
    <col min="6924" max="6924" width="10.7109375" style="1427" customWidth="1"/>
    <col min="6925" max="6927" width="10.7109375" style="1427" bestFit="1" customWidth="1"/>
    <col min="6928" max="6929" width="10.7109375" style="1427" customWidth="1"/>
    <col min="6930" max="6931" width="10.7109375" style="1427" bestFit="1" customWidth="1"/>
    <col min="6932" max="7168" width="9.140625" style="1427"/>
    <col min="7169" max="7169" width="14.140625" style="1427" customWidth="1"/>
    <col min="7170" max="7170" width="66.28515625" style="1427" bestFit="1" customWidth="1"/>
    <col min="7171" max="7171" width="10" style="1427" bestFit="1" customWidth="1"/>
    <col min="7172" max="7173" width="8.5703125" style="1427" bestFit="1" customWidth="1"/>
    <col min="7174" max="7174" width="17.42578125" style="1427" bestFit="1" customWidth="1"/>
    <col min="7175" max="7175" width="17.28515625" style="1427" bestFit="1" customWidth="1"/>
    <col min="7176" max="7177" width="10.7109375" style="1427" customWidth="1"/>
    <col min="7178" max="7179" width="10.7109375" style="1427" bestFit="1" customWidth="1"/>
    <col min="7180" max="7180" width="10.7109375" style="1427" customWidth="1"/>
    <col min="7181" max="7183" width="10.7109375" style="1427" bestFit="1" customWidth="1"/>
    <col min="7184" max="7185" width="10.7109375" style="1427" customWidth="1"/>
    <col min="7186" max="7187" width="10.7109375" style="1427" bestFit="1" customWidth="1"/>
    <col min="7188" max="7424" width="9.140625" style="1427"/>
    <col min="7425" max="7425" width="14.140625" style="1427" customWidth="1"/>
    <col min="7426" max="7426" width="66.28515625" style="1427" bestFit="1" customWidth="1"/>
    <col min="7427" max="7427" width="10" style="1427" bestFit="1" customWidth="1"/>
    <col min="7428" max="7429" width="8.5703125" style="1427" bestFit="1" customWidth="1"/>
    <col min="7430" max="7430" width="17.42578125" style="1427" bestFit="1" customWidth="1"/>
    <col min="7431" max="7431" width="17.28515625" style="1427" bestFit="1" customWidth="1"/>
    <col min="7432" max="7433" width="10.7109375" style="1427" customWidth="1"/>
    <col min="7434" max="7435" width="10.7109375" style="1427" bestFit="1" customWidth="1"/>
    <col min="7436" max="7436" width="10.7109375" style="1427" customWidth="1"/>
    <col min="7437" max="7439" width="10.7109375" style="1427" bestFit="1" customWidth="1"/>
    <col min="7440" max="7441" width="10.7109375" style="1427" customWidth="1"/>
    <col min="7442" max="7443" width="10.7109375" style="1427" bestFit="1" customWidth="1"/>
    <col min="7444" max="7680" width="9.140625" style="1427"/>
    <col min="7681" max="7681" width="14.140625" style="1427" customWidth="1"/>
    <col min="7682" max="7682" width="66.28515625" style="1427" bestFit="1" customWidth="1"/>
    <col min="7683" max="7683" width="10" style="1427" bestFit="1" customWidth="1"/>
    <col min="7684" max="7685" width="8.5703125" style="1427" bestFit="1" customWidth="1"/>
    <col min="7686" max="7686" width="17.42578125" style="1427" bestFit="1" customWidth="1"/>
    <col min="7687" max="7687" width="17.28515625" style="1427" bestFit="1" customWidth="1"/>
    <col min="7688" max="7689" width="10.7109375" style="1427" customWidth="1"/>
    <col min="7690" max="7691" width="10.7109375" style="1427" bestFit="1" customWidth="1"/>
    <col min="7692" max="7692" width="10.7109375" style="1427" customWidth="1"/>
    <col min="7693" max="7695" width="10.7109375" style="1427" bestFit="1" customWidth="1"/>
    <col min="7696" max="7697" width="10.7109375" style="1427" customWidth="1"/>
    <col min="7698" max="7699" width="10.7109375" style="1427" bestFit="1" customWidth="1"/>
    <col min="7700" max="7936" width="9.140625" style="1427"/>
    <col min="7937" max="7937" width="14.140625" style="1427" customWidth="1"/>
    <col min="7938" max="7938" width="66.28515625" style="1427" bestFit="1" customWidth="1"/>
    <col min="7939" max="7939" width="10" style="1427" bestFit="1" customWidth="1"/>
    <col min="7940" max="7941" width="8.5703125" style="1427" bestFit="1" customWidth="1"/>
    <col min="7942" max="7942" width="17.42578125" style="1427" bestFit="1" customWidth="1"/>
    <col min="7943" max="7943" width="17.28515625" style="1427" bestFit="1" customWidth="1"/>
    <col min="7944" max="7945" width="10.7109375" style="1427" customWidth="1"/>
    <col min="7946" max="7947" width="10.7109375" style="1427" bestFit="1" customWidth="1"/>
    <col min="7948" max="7948" width="10.7109375" style="1427" customWidth="1"/>
    <col min="7949" max="7951" width="10.7109375" style="1427" bestFit="1" customWidth="1"/>
    <col min="7952" max="7953" width="10.7109375" style="1427" customWidth="1"/>
    <col min="7954" max="7955" width="10.7109375" style="1427" bestFit="1" customWidth="1"/>
    <col min="7956" max="8192" width="9.140625" style="1427"/>
    <col min="8193" max="8193" width="14.140625" style="1427" customWidth="1"/>
    <col min="8194" max="8194" width="66.28515625" style="1427" bestFit="1" customWidth="1"/>
    <col min="8195" max="8195" width="10" style="1427" bestFit="1" customWidth="1"/>
    <col min="8196" max="8197" width="8.5703125" style="1427" bestFit="1" customWidth="1"/>
    <col min="8198" max="8198" width="17.42578125" style="1427" bestFit="1" customWidth="1"/>
    <col min="8199" max="8199" width="17.28515625" style="1427" bestFit="1" customWidth="1"/>
    <col min="8200" max="8201" width="10.7109375" style="1427" customWidth="1"/>
    <col min="8202" max="8203" width="10.7109375" style="1427" bestFit="1" customWidth="1"/>
    <col min="8204" max="8204" width="10.7109375" style="1427" customWidth="1"/>
    <col min="8205" max="8207" width="10.7109375" style="1427" bestFit="1" customWidth="1"/>
    <col min="8208" max="8209" width="10.7109375" style="1427" customWidth="1"/>
    <col min="8210" max="8211" width="10.7109375" style="1427" bestFit="1" customWidth="1"/>
    <col min="8212" max="8448" width="9.140625" style="1427"/>
    <col min="8449" max="8449" width="14.140625" style="1427" customWidth="1"/>
    <col min="8450" max="8450" width="66.28515625" style="1427" bestFit="1" customWidth="1"/>
    <col min="8451" max="8451" width="10" style="1427" bestFit="1" customWidth="1"/>
    <col min="8452" max="8453" width="8.5703125" style="1427" bestFit="1" customWidth="1"/>
    <col min="8454" max="8454" width="17.42578125" style="1427" bestFit="1" customWidth="1"/>
    <col min="8455" max="8455" width="17.28515625" style="1427" bestFit="1" customWidth="1"/>
    <col min="8456" max="8457" width="10.7109375" style="1427" customWidth="1"/>
    <col min="8458" max="8459" width="10.7109375" style="1427" bestFit="1" customWidth="1"/>
    <col min="8460" max="8460" width="10.7109375" style="1427" customWidth="1"/>
    <col min="8461" max="8463" width="10.7109375" style="1427" bestFit="1" customWidth="1"/>
    <col min="8464" max="8465" width="10.7109375" style="1427" customWidth="1"/>
    <col min="8466" max="8467" width="10.7109375" style="1427" bestFit="1" customWidth="1"/>
    <col min="8468" max="8704" width="9.140625" style="1427"/>
    <col min="8705" max="8705" width="14.140625" style="1427" customWidth="1"/>
    <col min="8706" max="8706" width="66.28515625" style="1427" bestFit="1" customWidth="1"/>
    <col min="8707" max="8707" width="10" style="1427" bestFit="1" customWidth="1"/>
    <col min="8708" max="8709" width="8.5703125" style="1427" bestFit="1" customWidth="1"/>
    <col min="8710" max="8710" width="17.42578125" style="1427" bestFit="1" customWidth="1"/>
    <col min="8711" max="8711" width="17.28515625" style="1427" bestFit="1" customWidth="1"/>
    <col min="8712" max="8713" width="10.7109375" style="1427" customWidth="1"/>
    <col min="8714" max="8715" width="10.7109375" style="1427" bestFit="1" customWidth="1"/>
    <col min="8716" max="8716" width="10.7109375" style="1427" customWidth="1"/>
    <col min="8717" max="8719" width="10.7109375" style="1427" bestFit="1" customWidth="1"/>
    <col min="8720" max="8721" width="10.7109375" style="1427" customWidth="1"/>
    <col min="8722" max="8723" width="10.7109375" style="1427" bestFit="1" customWidth="1"/>
    <col min="8724" max="8960" width="9.140625" style="1427"/>
    <col min="8961" max="8961" width="14.140625" style="1427" customWidth="1"/>
    <col min="8962" max="8962" width="66.28515625" style="1427" bestFit="1" customWidth="1"/>
    <col min="8963" max="8963" width="10" style="1427" bestFit="1" customWidth="1"/>
    <col min="8964" max="8965" width="8.5703125" style="1427" bestFit="1" customWidth="1"/>
    <col min="8966" max="8966" width="17.42578125" style="1427" bestFit="1" customWidth="1"/>
    <col min="8967" max="8967" width="17.28515625" style="1427" bestFit="1" customWidth="1"/>
    <col min="8968" max="8969" width="10.7109375" style="1427" customWidth="1"/>
    <col min="8970" max="8971" width="10.7109375" style="1427" bestFit="1" customWidth="1"/>
    <col min="8972" max="8972" width="10.7109375" style="1427" customWidth="1"/>
    <col min="8973" max="8975" width="10.7109375" style="1427" bestFit="1" customWidth="1"/>
    <col min="8976" max="8977" width="10.7109375" style="1427" customWidth="1"/>
    <col min="8978" max="8979" width="10.7109375" style="1427" bestFit="1" customWidth="1"/>
    <col min="8980" max="9216" width="9.140625" style="1427"/>
    <col min="9217" max="9217" width="14.140625" style="1427" customWidth="1"/>
    <col min="9218" max="9218" width="66.28515625" style="1427" bestFit="1" customWidth="1"/>
    <col min="9219" max="9219" width="10" style="1427" bestFit="1" customWidth="1"/>
    <col min="9220" max="9221" width="8.5703125" style="1427" bestFit="1" customWidth="1"/>
    <col min="9222" max="9222" width="17.42578125" style="1427" bestFit="1" customWidth="1"/>
    <col min="9223" max="9223" width="17.28515625" style="1427" bestFit="1" customWidth="1"/>
    <col min="9224" max="9225" width="10.7109375" style="1427" customWidth="1"/>
    <col min="9226" max="9227" width="10.7109375" style="1427" bestFit="1" customWidth="1"/>
    <col min="9228" max="9228" width="10.7109375" style="1427" customWidth="1"/>
    <col min="9229" max="9231" width="10.7109375" style="1427" bestFit="1" customWidth="1"/>
    <col min="9232" max="9233" width="10.7109375" style="1427" customWidth="1"/>
    <col min="9234" max="9235" width="10.7109375" style="1427" bestFit="1" customWidth="1"/>
    <col min="9236" max="9472" width="9.140625" style="1427"/>
    <col min="9473" max="9473" width="14.140625" style="1427" customWidth="1"/>
    <col min="9474" max="9474" width="66.28515625" style="1427" bestFit="1" customWidth="1"/>
    <col min="9475" max="9475" width="10" style="1427" bestFit="1" customWidth="1"/>
    <col min="9476" max="9477" width="8.5703125" style="1427" bestFit="1" customWidth="1"/>
    <col min="9478" max="9478" width="17.42578125" style="1427" bestFit="1" customWidth="1"/>
    <col min="9479" max="9479" width="17.28515625" style="1427" bestFit="1" customWidth="1"/>
    <col min="9480" max="9481" width="10.7109375" style="1427" customWidth="1"/>
    <col min="9482" max="9483" width="10.7109375" style="1427" bestFit="1" customWidth="1"/>
    <col min="9484" max="9484" width="10.7109375" style="1427" customWidth="1"/>
    <col min="9485" max="9487" width="10.7109375" style="1427" bestFit="1" customWidth="1"/>
    <col min="9488" max="9489" width="10.7109375" style="1427" customWidth="1"/>
    <col min="9490" max="9491" width="10.7109375" style="1427" bestFit="1" customWidth="1"/>
    <col min="9492" max="9728" width="9.140625" style="1427"/>
    <col min="9729" max="9729" width="14.140625" style="1427" customWidth="1"/>
    <col min="9730" max="9730" width="66.28515625" style="1427" bestFit="1" customWidth="1"/>
    <col min="9731" max="9731" width="10" style="1427" bestFit="1" customWidth="1"/>
    <col min="9732" max="9733" width="8.5703125" style="1427" bestFit="1" customWidth="1"/>
    <col min="9734" max="9734" width="17.42578125" style="1427" bestFit="1" customWidth="1"/>
    <col min="9735" max="9735" width="17.28515625" style="1427" bestFit="1" customWidth="1"/>
    <col min="9736" max="9737" width="10.7109375" style="1427" customWidth="1"/>
    <col min="9738" max="9739" width="10.7109375" style="1427" bestFit="1" customWidth="1"/>
    <col min="9740" max="9740" width="10.7109375" style="1427" customWidth="1"/>
    <col min="9741" max="9743" width="10.7109375" style="1427" bestFit="1" customWidth="1"/>
    <col min="9744" max="9745" width="10.7109375" style="1427" customWidth="1"/>
    <col min="9746" max="9747" width="10.7109375" style="1427" bestFit="1" customWidth="1"/>
    <col min="9748" max="9984" width="9.140625" style="1427"/>
    <col min="9985" max="9985" width="14.140625" style="1427" customWidth="1"/>
    <col min="9986" max="9986" width="66.28515625" style="1427" bestFit="1" customWidth="1"/>
    <col min="9987" max="9987" width="10" style="1427" bestFit="1" customWidth="1"/>
    <col min="9988" max="9989" width="8.5703125" style="1427" bestFit="1" customWidth="1"/>
    <col min="9990" max="9990" width="17.42578125" style="1427" bestFit="1" customWidth="1"/>
    <col min="9991" max="9991" width="17.28515625" style="1427" bestFit="1" customWidth="1"/>
    <col min="9992" max="9993" width="10.7109375" style="1427" customWidth="1"/>
    <col min="9994" max="9995" width="10.7109375" style="1427" bestFit="1" customWidth="1"/>
    <col min="9996" max="9996" width="10.7109375" style="1427" customWidth="1"/>
    <col min="9997" max="9999" width="10.7109375" style="1427" bestFit="1" customWidth="1"/>
    <col min="10000" max="10001" width="10.7109375" style="1427" customWidth="1"/>
    <col min="10002" max="10003" width="10.7109375" style="1427" bestFit="1" customWidth="1"/>
    <col min="10004" max="10240" width="9.140625" style="1427"/>
    <col min="10241" max="10241" width="14.140625" style="1427" customWidth="1"/>
    <col min="10242" max="10242" width="66.28515625" style="1427" bestFit="1" customWidth="1"/>
    <col min="10243" max="10243" width="10" style="1427" bestFit="1" customWidth="1"/>
    <col min="10244" max="10245" width="8.5703125" style="1427" bestFit="1" customWidth="1"/>
    <col min="10246" max="10246" width="17.42578125" style="1427" bestFit="1" customWidth="1"/>
    <col min="10247" max="10247" width="17.28515625" style="1427" bestFit="1" customWidth="1"/>
    <col min="10248" max="10249" width="10.7109375" style="1427" customWidth="1"/>
    <col min="10250" max="10251" width="10.7109375" style="1427" bestFit="1" customWidth="1"/>
    <col min="10252" max="10252" width="10.7109375" style="1427" customWidth="1"/>
    <col min="10253" max="10255" width="10.7109375" style="1427" bestFit="1" customWidth="1"/>
    <col min="10256" max="10257" width="10.7109375" style="1427" customWidth="1"/>
    <col min="10258" max="10259" width="10.7109375" style="1427" bestFit="1" customWidth="1"/>
    <col min="10260" max="10496" width="9.140625" style="1427"/>
    <col min="10497" max="10497" width="14.140625" style="1427" customWidth="1"/>
    <col min="10498" max="10498" width="66.28515625" style="1427" bestFit="1" customWidth="1"/>
    <col min="10499" max="10499" width="10" style="1427" bestFit="1" customWidth="1"/>
    <col min="10500" max="10501" width="8.5703125" style="1427" bestFit="1" customWidth="1"/>
    <col min="10502" max="10502" width="17.42578125" style="1427" bestFit="1" customWidth="1"/>
    <col min="10503" max="10503" width="17.28515625" style="1427" bestFit="1" customWidth="1"/>
    <col min="10504" max="10505" width="10.7109375" style="1427" customWidth="1"/>
    <col min="10506" max="10507" width="10.7109375" style="1427" bestFit="1" customWidth="1"/>
    <col min="10508" max="10508" width="10.7109375" style="1427" customWidth="1"/>
    <col min="10509" max="10511" width="10.7109375" style="1427" bestFit="1" customWidth="1"/>
    <col min="10512" max="10513" width="10.7109375" style="1427" customWidth="1"/>
    <col min="10514" max="10515" width="10.7109375" style="1427" bestFit="1" customWidth="1"/>
    <col min="10516" max="10752" width="9.140625" style="1427"/>
    <col min="10753" max="10753" width="14.140625" style="1427" customWidth="1"/>
    <col min="10754" max="10754" width="66.28515625" style="1427" bestFit="1" customWidth="1"/>
    <col min="10755" max="10755" width="10" style="1427" bestFit="1" customWidth="1"/>
    <col min="10756" max="10757" width="8.5703125" style="1427" bestFit="1" customWidth="1"/>
    <col min="10758" max="10758" width="17.42578125" style="1427" bestFit="1" customWidth="1"/>
    <col min="10759" max="10759" width="17.28515625" style="1427" bestFit="1" customWidth="1"/>
    <col min="10760" max="10761" width="10.7109375" style="1427" customWidth="1"/>
    <col min="10762" max="10763" width="10.7109375" style="1427" bestFit="1" customWidth="1"/>
    <col min="10764" max="10764" width="10.7109375" style="1427" customWidth="1"/>
    <col min="10765" max="10767" width="10.7109375" style="1427" bestFit="1" customWidth="1"/>
    <col min="10768" max="10769" width="10.7109375" style="1427" customWidth="1"/>
    <col min="10770" max="10771" width="10.7109375" style="1427" bestFit="1" customWidth="1"/>
    <col min="10772" max="11008" width="9.140625" style="1427"/>
    <col min="11009" max="11009" width="14.140625" style="1427" customWidth="1"/>
    <col min="11010" max="11010" width="66.28515625" style="1427" bestFit="1" customWidth="1"/>
    <col min="11011" max="11011" width="10" style="1427" bestFit="1" customWidth="1"/>
    <col min="11012" max="11013" width="8.5703125" style="1427" bestFit="1" customWidth="1"/>
    <col min="11014" max="11014" width="17.42578125" style="1427" bestFit="1" customWidth="1"/>
    <col min="11015" max="11015" width="17.28515625" style="1427" bestFit="1" customWidth="1"/>
    <col min="11016" max="11017" width="10.7109375" style="1427" customWidth="1"/>
    <col min="11018" max="11019" width="10.7109375" style="1427" bestFit="1" customWidth="1"/>
    <col min="11020" max="11020" width="10.7109375" style="1427" customWidth="1"/>
    <col min="11021" max="11023" width="10.7109375" style="1427" bestFit="1" customWidth="1"/>
    <col min="11024" max="11025" width="10.7109375" style="1427" customWidth="1"/>
    <col min="11026" max="11027" width="10.7109375" style="1427" bestFit="1" customWidth="1"/>
    <col min="11028" max="11264" width="9.140625" style="1427"/>
    <col min="11265" max="11265" width="14.140625" style="1427" customWidth="1"/>
    <col min="11266" max="11266" width="66.28515625" style="1427" bestFit="1" customWidth="1"/>
    <col min="11267" max="11267" width="10" style="1427" bestFit="1" customWidth="1"/>
    <col min="11268" max="11269" width="8.5703125" style="1427" bestFit="1" customWidth="1"/>
    <col min="11270" max="11270" width="17.42578125" style="1427" bestFit="1" customWidth="1"/>
    <col min="11271" max="11271" width="17.28515625" style="1427" bestFit="1" customWidth="1"/>
    <col min="11272" max="11273" width="10.7109375" style="1427" customWidth="1"/>
    <col min="11274" max="11275" width="10.7109375" style="1427" bestFit="1" customWidth="1"/>
    <col min="11276" max="11276" width="10.7109375" style="1427" customWidth="1"/>
    <col min="11277" max="11279" width="10.7109375" style="1427" bestFit="1" customWidth="1"/>
    <col min="11280" max="11281" width="10.7109375" style="1427" customWidth="1"/>
    <col min="11282" max="11283" width="10.7109375" style="1427" bestFit="1" customWidth="1"/>
    <col min="11284" max="11520" width="9.140625" style="1427"/>
    <col min="11521" max="11521" width="14.140625" style="1427" customWidth="1"/>
    <col min="11522" max="11522" width="66.28515625" style="1427" bestFit="1" customWidth="1"/>
    <col min="11523" max="11523" width="10" style="1427" bestFit="1" customWidth="1"/>
    <col min="11524" max="11525" width="8.5703125" style="1427" bestFit="1" customWidth="1"/>
    <col min="11526" max="11526" width="17.42578125" style="1427" bestFit="1" customWidth="1"/>
    <col min="11527" max="11527" width="17.28515625" style="1427" bestFit="1" customWidth="1"/>
    <col min="11528" max="11529" width="10.7109375" style="1427" customWidth="1"/>
    <col min="11530" max="11531" width="10.7109375" style="1427" bestFit="1" customWidth="1"/>
    <col min="11532" max="11532" width="10.7109375" style="1427" customWidth="1"/>
    <col min="11533" max="11535" width="10.7109375" style="1427" bestFit="1" customWidth="1"/>
    <col min="11536" max="11537" width="10.7109375" style="1427" customWidth="1"/>
    <col min="11538" max="11539" width="10.7109375" style="1427" bestFit="1" customWidth="1"/>
    <col min="11540" max="11776" width="9.140625" style="1427"/>
    <col min="11777" max="11777" width="14.140625" style="1427" customWidth="1"/>
    <col min="11778" max="11778" width="66.28515625" style="1427" bestFit="1" customWidth="1"/>
    <col min="11779" max="11779" width="10" style="1427" bestFit="1" customWidth="1"/>
    <col min="11780" max="11781" width="8.5703125" style="1427" bestFit="1" customWidth="1"/>
    <col min="11782" max="11782" width="17.42578125" style="1427" bestFit="1" customWidth="1"/>
    <col min="11783" max="11783" width="17.28515625" style="1427" bestFit="1" customWidth="1"/>
    <col min="11784" max="11785" width="10.7109375" style="1427" customWidth="1"/>
    <col min="11786" max="11787" width="10.7109375" style="1427" bestFit="1" customWidth="1"/>
    <col min="11788" max="11788" width="10.7109375" style="1427" customWidth="1"/>
    <col min="11789" max="11791" width="10.7109375" style="1427" bestFit="1" customWidth="1"/>
    <col min="11792" max="11793" width="10.7109375" style="1427" customWidth="1"/>
    <col min="11794" max="11795" width="10.7109375" style="1427" bestFit="1" customWidth="1"/>
    <col min="11796" max="12032" width="9.140625" style="1427"/>
    <col min="12033" max="12033" width="14.140625" style="1427" customWidth="1"/>
    <col min="12034" max="12034" width="66.28515625" style="1427" bestFit="1" customWidth="1"/>
    <col min="12035" max="12035" width="10" style="1427" bestFit="1" customWidth="1"/>
    <col min="12036" max="12037" width="8.5703125" style="1427" bestFit="1" customWidth="1"/>
    <col min="12038" max="12038" width="17.42578125" style="1427" bestFit="1" customWidth="1"/>
    <col min="12039" max="12039" width="17.28515625" style="1427" bestFit="1" customWidth="1"/>
    <col min="12040" max="12041" width="10.7109375" style="1427" customWidth="1"/>
    <col min="12042" max="12043" width="10.7109375" style="1427" bestFit="1" customWidth="1"/>
    <col min="12044" max="12044" width="10.7109375" style="1427" customWidth="1"/>
    <col min="12045" max="12047" width="10.7109375" style="1427" bestFit="1" customWidth="1"/>
    <col min="12048" max="12049" width="10.7109375" style="1427" customWidth="1"/>
    <col min="12050" max="12051" width="10.7109375" style="1427" bestFit="1" customWidth="1"/>
    <col min="12052" max="12288" width="9.140625" style="1427"/>
    <col min="12289" max="12289" width="14.140625" style="1427" customWidth="1"/>
    <col min="12290" max="12290" width="66.28515625" style="1427" bestFit="1" customWidth="1"/>
    <col min="12291" max="12291" width="10" style="1427" bestFit="1" customWidth="1"/>
    <col min="12292" max="12293" width="8.5703125" style="1427" bestFit="1" customWidth="1"/>
    <col min="12294" max="12294" width="17.42578125" style="1427" bestFit="1" customWidth="1"/>
    <col min="12295" max="12295" width="17.28515625" style="1427" bestFit="1" customWidth="1"/>
    <col min="12296" max="12297" width="10.7109375" style="1427" customWidth="1"/>
    <col min="12298" max="12299" width="10.7109375" style="1427" bestFit="1" customWidth="1"/>
    <col min="12300" max="12300" width="10.7109375" style="1427" customWidth="1"/>
    <col min="12301" max="12303" width="10.7109375" style="1427" bestFit="1" customWidth="1"/>
    <col min="12304" max="12305" width="10.7109375" style="1427" customWidth="1"/>
    <col min="12306" max="12307" width="10.7109375" style="1427" bestFit="1" customWidth="1"/>
    <col min="12308" max="12544" width="9.140625" style="1427"/>
    <col min="12545" max="12545" width="14.140625" style="1427" customWidth="1"/>
    <col min="12546" max="12546" width="66.28515625" style="1427" bestFit="1" customWidth="1"/>
    <col min="12547" max="12547" width="10" style="1427" bestFit="1" customWidth="1"/>
    <col min="12548" max="12549" width="8.5703125" style="1427" bestFit="1" customWidth="1"/>
    <col min="12550" max="12550" width="17.42578125" style="1427" bestFit="1" customWidth="1"/>
    <col min="12551" max="12551" width="17.28515625" style="1427" bestFit="1" customWidth="1"/>
    <col min="12552" max="12553" width="10.7109375" style="1427" customWidth="1"/>
    <col min="12554" max="12555" width="10.7109375" style="1427" bestFit="1" customWidth="1"/>
    <col min="12556" max="12556" width="10.7109375" style="1427" customWidth="1"/>
    <col min="12557" max="12559" width="10.7109375" style="1427" bestFit="1" customWidth="1"/>
    <col min="12560" max="12561" width="10.7109375" style="1427" customWidth="1"/>
    <col min="12562" max="12563" width="10.7109375" style="1427" bestFit="1" customWidth="1"/>
    <col min="12564" max="12800" width="9.140625" style="1427"/>
    <col min="12801" max="12801" width="14.140625" style="1427" customWidth="1"/>
    <col min="12802" max="12802" width="66.28515625" style="1427" bestFit="1" customWidth="1"/>
    <col min="12803" max="12803" width="10" style="1427" bestFit="1" customWidth="1"/>
    <col min="12804" max="12805" width="8.5703125" style="1427" bestFit="1" customWidth="1"/>
    <col min="12806" max="12806" width="17.42578125" style="1427" bestFit="1" customWidth="1"/>
    <col min="12807" max="12807" width="17.28515625" style="1427" bestFit="1" customWidth="1"/>
    <col min="12808" max="12809" width="10.7109375" style="1427" customWidth="1"/>
    <col min="12810" max="12811" width="10.7109375" style="1427" bestFit="1" customWidth="1"/>
    <col min="12812" max="12812" width="10.7109375" style="1427" customWidth="1"/>
    <col min="12813" max="12815" width="10.7109375" style="1427" bestFit="1" customWidth="1"/>
    <col min="12816" max="12817" width="10.7109375" style="1427" customWidth="1"/>
    <col min="12818" max="12819" width="10.7109375" style="1427" bestFit="1" customWidth="1"/>
    <col min="12820" max="13056" width="9.140625" style="1427"/>
    <col min="13057" max="13057" width="14.140625" style="1427" customWidth="1"/>
    <col min="13058" max="13058" width="66.28515625" style="1427" bestFit="1" customWidth="1"/>
    <col min="13059" max="13059" width="10" style="1427" bestFit="1" customWidth="1"/>
    <col min="13060" max="13061" width="8.5703125" style="1427" bestFit="1" customWidth="1"/>
    <col min="13062" max="13062" width="17.42578125" style="1427" bestFit="1" customWidth="1"/>
    <col min="13063" max="13063" width="17.28515625" style="1427" bestFit="1" customWidth="1"/>
    <col min="13064" max="13065" width="10.7109375" style="1427" customWidth="1"/>
    <col min="13066" max="13067" width="10.7109375" style="1427" bestFit="1" customWidth="1"/>
    <col min="13068" max="13068" width="10.7109375" style="1427" customWidth="1"/>
    <col min="13069" max="13071" width="10.7109375" style="1427" bestFit="1" customWidth="1"/>
    <col min="13072" max="13073" width="10.7109375" style="1427" customWidth="1"/>
    <col min="13074" max="13075" width="10.7109375" style="1427" bestFit="1" customWidth="1"/>
    <col min="13076" max="13312" width="9.140625" style="1427"/>
    <col min="13313" max="13313" width="14.140625" style="1427" customWidth="1"/>
    <col min="13314" max="13314" width="66.28515625" style="1427" bestFit="1" customWidth="1"/>
    <col min="13315" max="13315" width="10" style="1427" bestFit="1" customWidth="1"/>
    <col min="13316" max="13317" width="8.5703125" style="1427" bestFit="1" customWidth="1"/>
    <col min="13318" max="13318" width="17.42578125" style="1427" bestFit="1" customWidth="1"/>
    <col min="13319" max="13319" width="17.28515625" style="1427" bestFit="1" customWidth="1"/>
    <col min="13320" max="13321" width="10.7109375" style="1427" customWidth="1"/>
    <col min="13322" max="13323" width="10.7109375" style="1427" bestFit="1" customWidth="1"/>
    <col min="13324" max="13324" width="10.7109375" style="1427" customWidth="1"/>
    <col min="13325" max="13327" width="10.7109375" style="1427" bestFit="1" customWidth="1"/>
    <col min="13328" max="13329" width="10.7109375" style="1427" customWidth="1"/>
    <col min="13330" max="13331" width="10.7109375" style="1427" bestFit="1" customWidth="1"/>
    <col min="13332" max="13568" width="9.140625" style="1427"/>
    <col min="13569" max="13569" width="14.140625" style="1427" customWidth="1"/>
    <col min="13570" max="13570" width="66.28515625" style="1427" bestFit="1" customWidth="1"/>
    <col min="13571" max="13571" width="10" style="1427" bestFit="1" customWidth="1"/>
    <col min="13572" max="13573" width="8.5703125" style="1427" bestFit="1" customWidth="1"/>
    <col min="13574" max="13574" width="17.42578125" style="1427" bestFit="1" customWidth="1"/>
    <col min="13575" max="13575" width="17.28515625" style="1427" bestFit="1" customWidth="1"/>
    <col min="13576" max="13577" width="10.7109375" style="1427" customWidth="1"/>
    <col min="13578" max="13579" width="10.7109375" style="1427" bestFit="1" customWidth="1"/>
    <col min="13580" max="13580" width="10.7109375" style="1427" customWidth="1"/>
    <col min="13581" max="13583" width="10.7109375" style="1427" bestFit="1" customWidth="1"/>
    <col min="13584" max="13585" width="10.7109375" style="1427" customWidth="1"/>
    <col min="13586" max="13587" width="10.7109375" style="1427" bestFit="1" customWidth="1"/>
    <col min="13588" max="13824" width="9.140625" style="1427"/>
    <col min="13825" max="13825" width="14.140625" style="1427" customWidth="1"/>
    <col min="13826" max="13826" width="66.28515625" style="1427" bestFit="1" customWidth="1"/>
    <col min="13827" max="13827" width="10" style="1427" bestFit="1" customWidth="1"/>
    <col min="13828" max="13829" width="8.5703125" style="1427" bestFit="1" customWidth="1"/>
    <col min="13830" max="13830" width="17.42578125" style="1427" bestFit="1" customWidth="1"/>
    <col min="13831" max="13831" width="17.28515625" style="1427" bestFit="1" customWidth="1"/>
    <col min="13832" max="13833" width="10.7109375" style="1427" customWidth="1"/>
    <col min="13834" max="13835" width="10.7109375" style="1427" bestFit="1" customWidth="1"/>
    <col min="13836" max="13836" width="10.7109375" style="1427" customWidth="1"/>
    <col min="13837" max="13839" width="10.7109375" style="1427" bestFit="1" customWidth="1"/>
    <col min="13840" max="13841" width="10.7109375" style="1427" customWidth="1"/>
    <col min="13842" max="13843" width="10.7109375" style="1427" bestFit="1" customWidth="1"/>
    <col min="13844" max="14080" width="9.140625" style="1427"/>
    <col min="14081" max="14081" width="14.140625" style="1427" customWidth="1"/>
    <col min="14082" max="14082" width="66.28515625" style="1427" bestFit="1" customWidth="1"/>
    <col min="14083" max="14083" width="10" style="1427" bestFit="1" customWidth="1"/>
    <col min="14084" max="14085" width="8.5703125" style="1427" bestFit="1" customWidth="1"/>
    <col min="14086" max="14086" width="17.42578125" style="1427" bestFit="1" customWidth="1"/>
    <col min="14087" max="14087" width="17.28515625" style="1427" bestFit="1" customWidth="1"/>
    <col min="14088" max="14089" width="10.7109375" style="1427" customWidth="1"/>
    <col min="14090" max="14091" width="10.7109375" style="1427" bestFit="1" customWidth="1"/>
    <col min="14092" max="14092" width="10.7109375" style="1427" customWidth="1"/>
    <col min="14093" max="14095" width="10.7109375" style="1427" bestFit="1" customWidth="1"/>
    <col min="14096" max="14097" width="10.7109375" style="1427" customWidth="1"/>
    <col min="14098" max="14099" width="10.7109375" style="1427" bestFit="1" customWidth="1"/>
    <col min="14100" max="14336" width="9.140625" style="1427"/>
    <col min="14337" max="14337" width="14.140625" style="1427" customWidth="1"/>
    <col min="14338" max="14338" width="66.28515625" style="1427" bestFit="1" customWidth="1"/>
    <col min="14339" max="14339" width="10" style="1427" bestFit="1" customWidth="1"/>
    <col min="14340" max="14341" width="8.5703125" style="1427" bestFit="1" customWidth="1"/>
    <col min="14342" max="14342" width="17.42578125" style="1427" bestFit="1" customWidth="1"/>
    <col min="14343" max="14343" width="17.28515625" style="1427" bestFit="1" customWidth="1"/>
    <col min="14344" max="14345" width="10.7109375" style="1427" customWidth="1"/>
    <col min="14346" max="14347" width="10.7109375" style="1427" bestFit="1" customWidth="1"/>
    <col min="14348" max="14348" width="10.7109375" style="1427" customWidth="1"/>
    <col min="14349" max="14351" width="10.7109375" style="1427" bestFit="1" customWidth="1"/>
    <col min="14352" max="14353" width="10.7109375" style="1427" customWidth="1"/>
    <col min="14354" max="14355" width="10.7109375" style="1427" bestFit="1" customWidth="1"/>
    <col min="14356" max="14592" width="9.140625" style="1427"/>
    <col min="14593" max="14593" width="14.140625" style="1427" customWidth="1"/>
    <col min="14594" max="14594" width="66.28515625" style="1427" bestFit="1" customWidth="1"/>
    <col min="14595" max="14595" width="10" style="1427" bestFit="1" customWidth="1"/>
    <col min="14596" max="14597" width="8.5703125" style="1427" bestFit="1" customWidth="1"/>
    <col min="14598" max="14598" width="17.42578125" style="1427" bestFit="1" customWidth="1"/>
    <col min="14599" max="14599" width="17.28515625" style="1427" bestFit="1" customWidth="1"/>
    <col min="14600" max="14601" width="10.7109375" style="1427" customWidth="1"/>
    <col min="14602" max="14603" width="10.7109375" style="1427" bestFit="1" customWidth="1"/>
    <col min="14604" max="14604" width="10.7109375" style="1427" customWidth="1"/>
    <col min="14605" max="14607" width="10.7109375" style="1427" bestFit="1" customWidth="1"/>
    <col min="14608" max="14609" width="10.7109375" style="1427" customWidth="1"/>
    <col min="14610" max="14611" width="10.7109375" style="1427" bestFit="1" customWidth="1"/>
    <col min="14612" max="14848" width="9.140625" style="1427"/>
    <col min="14849" max="14849" width="14.140625" style="1427" customWidth="1"/>
    <col min="14850" max="14850" width="66.28515625" style="1427" bestFit="1" customWidth="1"/>
    <col min="14851" max="14851" width="10" style="1427" bestFit="1" customWidth="1"/>
    <col min="14852" max="14853" width="8.5703125" style="1427" bestFit="1" customWidth="1"/>
    <col min="14854" max="14854" width="17.42578125" style="1427" bestFit="1" customWidth="1"/>
    <col min="14855" max="14855" width="17.28515625" style="1427" bestFit="1" customWidth="1"/>
    <col min="14856" max="14857" width="10.7109375" style="1427" customWidth="1"/>
    <col min="14858" max="14859" width="10.7109375" style="1427" bestFit="1" customWidth="1"/>
    <col min="14860" max="14860" width="10.7109375" style="1427" customWidth="1"/>
    <col min="14861" max="14863" width="10.7109375" style="1427" bestFit="1" customWidth="1"/>
    <col min="14864" max="14865" width="10.7109375" style="1427" customWidth="1"/>
    <col min="14866" max="14867" width="10.7109375" style="1427" bestFit="1" customWidth="1"/>
    <col min="14868" max="15104" width="9.140625" style="1427"/>
    <col min="15105" max="15105" width="14.140625" style="1427" customWidth="1"/>
    <col min="15106" max="15106" width="66.28515625" style="1427" bestFit="1" customWidth="1"/>
    <col min="15107" max="15107" width="10" style="1427" bestFit="1" customWidth="1"/>
    <col min="15108" max="15109" width="8.5703125" style="1427" bestFit="1" customWidth="1"/>
    <col min="15110" max="15110" width="17.42578125" style="1427" bestFit="1" customWidth="1"/>
    <col min="15111" max="15111" width="17.28515625" style="1427" bestFit="1" customWidth="1"/>
    <col min="15112" max="15113" width="10.7109375" style="1427" customWidth="1"/>
    <col min="15114" max="15115" width="10.7109375" style="1427" bestFit="1" customWidth="1"/>
    <col min="15116" max="15116" width="10.7109375" style="1427" customWidth="1"/>
    <col min="15117" max="15119" width="10.7109375" style="1427" bestFit="1" customWidth="1"/>
    <col min="15120" max="15121" width="10.7109375" style="1427" customWidth="1"/>
    <col min="15122" max="15123" width="10.7109375" style="1427" bestFit="1" customWidth="1"/>
    <col min="15124" max="15360" width="9.140625" style="1427"/>
    <col min="15361" max="15361" width="14.140625" style="1427" customWidth="1"/>
    <col min="15362" max="15362" width="66.28515625" style="1427" bestFit="1" customWidth="1"/>
    <col min="15363" max="15363" width="10" style="1427" bestFit="1" customWidth="1"/>
    <col min="15364" max="15365" width="8.5703125" style="1427" bestFit="1" customWidth="1"/>
    <col min="15366" max="15366" width="17.42578125" style="1427" bestFit="1" customWidth="1"/>
    <col min="15367" max="15367" width="17.28515625" style="1427" bestFit="1" customWidth="1"/>
    <col min="15368" max="15369" width="10.7109375" style="1427" customWidth="1"/>
    <col min="15370" max="15371" width="10.7109375" style="1427" bestFit="1" customWidth="1"/>
    <col min="15372" max="15372" width="10.7109375" style="1427" customWidth="1"/>
    <col min="15373" max="15375" width="10.7109375" style="1427" bestFit="1" customWidth="1"/>
    <col min="15376" max="15377" width="10.7109375" style="1427" customWidth="1"/>
    <col min="15378" max="15379" width="10.7109375" style="1427" bestFit="1" customWidth="1"/>
    <col min="15380" max="15616" width="9.140625" style="1427"/>
    <col min="15617" max="15617" width="14.140625" style="1427" customWidth="1"/>
    <col min="15618" max="15618" width="66.28515625" style="1427" bestFit="1" customWidth="1"/>
    <col min="15619" max="15619" width="10" style="1427" bestFit="1" customWidth="1"/>
    <col min="15620" max="15621" width="8.5703125" style="1427" bestFit="1" customWidth="1"/>
    <col min="15622" max="15622" width="17.42578125" style="1427" bestFit="1" customWidth="1"/>
    <col min="15623" max="15623" width="17.28515625" style="1427" bestFit="1" customWidth="1"/>
    <col min="15624" max="15625" width="10.7109375" style="1427" customWidth="1"/>
    <col min="15626" max="15627" width="10.7109375" style="1427" bestFit="1" customWidth="1"/>
    <col min="15628" max="15628" width="10.7109375" style="1427" customWidth="1"/>
    <col min="15629" max="15631" width="10.7109375" style="1427" bestFit="1" customWidth="1"/>
    <col min="15632" max="15633" width="10.7109375" style="1427" customWidth="1"/>
    <col min="15634" max="15635" width="10.7109375" style="1427" bestFit="1" customWidth="1"/>
    <col min="15636" max="15872" width="9.140625" style="1427"/>
    <col min="15873" max="15873" width="14.140625" style="1427" customWidth="1"/>
    <col min="15874" max="15874" width="66.28515625" style="1427" bestFit="1" customWidth="1"/>
    <col min="15875" max="15875" width="10" style="1427" bestFit="1" customWidth="1"/>
    <col min="15876" max="15877" width="8.5703125" style="1427" bestFit="1" customWidth="1"/>
    <col min="15878" max="15878" width="17.42578125" style="1427" bestFit="1" customWidth="1"/>
    <col min="15879" max="15879" width="17.28515625" style="1427" bestFit="1" customWidth="1"/>
    <col min="15880" max="15881" width="10.7109375" style="1427" customWidth="1"/>
    <col min="15882" max="15883" width="10.7109375" style="1427" bestFit="1" customWidth="1"/>
    <col min="15884" max="15884" width="10.7109375" style="1427" customWidth="1"/>
    <col min="15885" max="15887" width="10.7109375" style="1427" bestFit="1" customWidth="1"/>
    <col min="15888" max="15889" width="10.7109375" style="1427" customWidth="1"/>
    <col min="15890" max="15891" width="10.7109375" style="1427" bestFit="1" customWidth="1"/>
    <col min="15892" max="16128" width="9.140625" style="1427"/>
    <col min="16129" max="16129" width="14.140625" style="1427" customWidth="1"/>
    <col min="16130" max="16130" width="66.28515625" style="1427" bestFit="1" customWidth="1"/>
    <col min="16131" max="16131" width="10" style="1427" bestFit="1" customWidth="1"/>
    <col min="16132" max="16133" width="8.5703125" style="1427" bestFit="1" customWidth="1"/>
    <col min="16134" max="16134" width="17.42578125" style="1427" bestFit="1" customWidth="1"/>
    <col min="16135" max="16135" width="17.28515625" style="1427" bestFit="1" customWidth="1"/>
    <col min="16136" max="16137" width="10.7109375" style="1427" customWidth="1"/>
    <col min="16138" max="16139" width="10.7109375" style="1427" bestFit="1" customWidth="1"/>
    <col min="16140" max="16140" width="10.7109375" style="1427" customWidth="1"/>
    <col min="16141" max="16143" width="10.7109375" style="1427" bestFit="1" customWidth="1"/>
    <col min="16144" max="16145" width="10.7109375" style="1427" customWidth="1"/>
    <col min="16146" max="16147" width="10.7109375" style="1427" bestFit="1" customWidth="1"/>
    <col min="16148" max="16384" width="9.140625" style="1427"/>
  </cols>
  <sheetData>
    <row r="1" spans="1:135" s="1435"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1427"/>
      <c r="AC1" s="1427"/>
      <c r="AD1" s="1427"/>
      <c r="AE1" s="1427"/>
    </row>
    <row r="2" spans="1:135" s="1435" customFormat="1" ht="24.95" customHeight="1">
      <c r="B2" s="3054" t="str">
        <f>INDEX(dms_TradingNameFull_List,MATCH(dms_TradingName,dms_TradingName_List))</f>
        <v>AusNet Gas Services</v>
      </c>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7"/>
      <c r="AC2" s="1427"/>
      <c r="AD2" s="1427"/>
      <c r="AE2" s="1427"/>
    </row>
    <row r="3" spans="1:135" s="1435" customFormat="1" ht="24.95" customHeight="1">
      <c r="B3" s="3054" t="str">
        <f ca="1">IF(SUM(dms_SingleYear_Model)&gt;0,CRY,CONCATENATE(FRCP_y1," to ",dms_MultiYear_FinalYear_Result))</f>
        <v>2018 to 2022</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7"/>
      <c r="AC3" s="1427"/>
      <c r="AD3" s="1427"/>
      <c r="AE3" s="1427"/>
    </row>
    <row r="4" spans="1:135" s="1435" customFormat="1" ht="24" customHeight="1">
      <c r="B4" s="10" t="s">
        <v>1539</v>
      </c>
      <c r="C4" s="12"/>
      <c r="D4" s="12"/>
      <c r="E4" s="12"/>
      <c r="F4" s="12"/>
      <c r="G4" s="12"/>
      <c r="H4" s="12"/>
      <c r="I4" s="12"/>
      <c r="J4" s="12"/>
      <c r="K4" s="12"/>
      <c r="L4" s="12"/>
      <c r="M4" s="12"/>
      <c r="N4" s="12"/>
      <c r="O4" s="12"/>
      <c r="P4" s="12"/>
      <c r="Q4" s="12"/>
      <c r="R4" s="12"/>
      <c r="S4" s="12"/>
      <c r="T4" s="12"/>
      <c r="U4" s="12"/>
      <c r="V4" s="12"/>
      <c r="W4" s="12"/>
      <c r="X4" s="12"/>
      <c r="Y4" s="12"/>
      <c r="Z4" s="12"/>
      <c r="AA4" s="12"/>
      <c r="AB4" s="1427"/>
      <c r="AC4" s="1427"/>
      <c r="AD4" s="1427"/>
      <c r="AE4" s="1427"/>
    </row>
    <row r="5" spans="1:135">
      <c r="A5" s="409"/>
      <c r="B5" s="1429"/>
      <c r="C5" s="1429"/>
      <c r="D5" s="1429"/>
      <c r="E5" s="1429"/>
      <c r="F5" s="1429"/>
      <c r="G5" s="1429"/>
      <c r="H5" s="1429"/>
      <c r="I5" s="1429"/>
      <c r="J5" s="1429"/>
      <c r="K5" s="1429"/>
      <c r="L5" s="1429"/>
      <c r="M5" s="1429"/>
      <c r="N5" s="1429"/>
      <c r="O5" s="1429"/>
      <c r="P5" s="1429"/>
      <c r="Q5" s="1429"/>
      <c r="R5" s="1429"/>
      <c r="S5" s="1429"/>
      <c r="T5" s="1429"/>
      <c r="U5" s="1429"/>
      <c r="V5" s="1429"/>
      <c r="W5" s="1429"/>
      <c r="X5" s="1429"/>
      <c r="Y5" s="1429"/>
      <c r="Z5" s="1429"/>
      <c r="AA5" s="1429"/>
    </row>
    <row r="6" spans="1:135">
      <c r="A6" s="1429"/>
      <c r="B6" s="1429"/>
      <c r="C6" s="1429"/>
      <c r="D6" s="1429"/>
      <c r="E6" s="1429"/>
      <c r="F6" s="1429"/>
      <c r="G6" s="1429"/>
      <c r="H6" s="1429"/>
      <c r="I6" s="1429"/>
      <c r="J6" s="1429"/>
      <c r="K6" s="1429"/>
      <c r="L6" s="1429"/>
      <c r="M6" s="1429"/>
      <c r="N6" s="1429"/>
      <c r="O6" s="1429"/>
      <c r="P6" s="1429"/>
      <c r="Q6" s="1429"/>
      <c r="R6" s="1429"/>
      <c r="S6" s="1429"/>
      <c r="T6" s="1429"/>
      <c r="U6" s="1429"/>
      <c r="V6" s="1429"/>
      <c r="W6" s="1429"/>
      <c r="X6" s="1429"/>
      <c r="Y6" s="1429"/>
      <c r="Z6" s="1429"/>
      <c r="AA6" s="1429"/>
    </row>
    <row r="7" spans="1:135">
      <c r="A7" s="1429"/>
      <c r="B7" s="4097" t="s">
        <v>59</v>
      </c>
      <c r="C7" s="4097"/>
      <c r="D7" s="4097"/>
      <c r="E7" s="4097"/>
      <c r="F7" s="4097"/>
      <c r="G7" s="4097"/>
      <c r="H7" s="1429"/>
      <c r="I7" s="1429"/>
      <c r="J7" s="1429"/>
      <c r="K7" s="1429"/>
      <c r="L7" s="1429"/>
      <c r="M7" s="1429"/>
      <c r="N7" s="1429"/>
      <c r="O7" s="1429"/>
      <c r="P7" s="1429"/>
      <c r="Q7" s="1429"/>
      <c r="R7" s="1429"/>
      <c r="S7" s="1429"/>
      <c r="T7" s="1429"/>
      <c r="U7" s="1429"/>
      <c r="V7" s="1429"/>
      <c r="W7" s="1429"/>
      <c r="X7" s="1429"/>
      <c r="Y7" s="1429"/>
      <c r="Z7" s="1429"/>
      <c r="AA7" s="1429"/>
    </row>
    <row r="8" spans="1:135">
      <c r="A8" s="1429"/>
      <c r="B8" s="4061" t="s">
        <v>244</v>
      </c>
      <c r="C8" s="4061"/>
      <c r="D8" s="4061"/>
      <c r="E8" s="4061"/>
      <c r="F8" s="4061"/>
      <c r="G8" s="4061"/>
      <c r="H8" s="1429"/>
      <c r="I8" s="1429"/>
      <c r="J8" s="1429"/>
      <c r="K8" s="1429"/>
      <c r="L8" s="1429"/>
      <c r="M8" s="1429"/>
      <c r="N8" s="1429"/>
      <c r="O8" s="1429"/>
      <c r="P8" s="1429"/>
      <c r="Q8" s="1429"/>
      <c r="R8" s="1429"/>
      <c r="S8" s="1429"/>
      <c r="T8" s="1429"/>
      <c r="U8" s="1429"/>
      <c r="V8" s="1429"/>
      <c r="W8" s="1429"/>
      <c r="X8" s="1429"/>
      <c r="Y8" s="1429"/>
      <c r="Z8" s="1429"/>
      <c r="AA8" s="1429"/>
    </row>
    <row r="9" spans="1:135" ht="29.25" customHeight="1">
      <c r="A9" s="1429"/>
      <c r="B9" s="4061" t="s">
        <v>511</v>
      </c>
      <c r="C9" s="4061"/>
      <c r="D9" s="4061"/>
      <c r="E9" s="4061"/>
      <c r="F9" s="4061"/>
      <c r="G9" s="4061"/>
      <c r="H9" s="1429"/>
      <c r="I9" s="1429"/>
      <c r="J9" s="1429"/>
      <c r="K9" s="1429"/>
      <c r="L9" s="1429"/>
      <c r="M9" s="1429"/>
      <c r="N9" s="1429"/>
      <c r="O9" s="1429"/>
      <c r="P9" s="1429"/>
      <c r="Q9" s="1429"/>
      <c r="R9" s="1429"/>
      <c r="S9" s="1429"/>
      <c r="T9" s="1429"/>
      <c r="U9" s="1429"/>
      <c r="V9" s="1429"/>
      <c r="W9" s="1429"/>
      <c r="X9" s="1429"/>
      <c r="Y9" s="1429"/>
      <c r="Z9" s="1429"/>
      <c r="AA9" s="1429"/>
    </row>
    <row r="10" spans="1:135" ht="27" customHeight="1">
      <c r="A10" s="1429"/>
      <c r="B10" s="4144" t="s">
        <v>421</v>
      </c>
      <c r="C10" s="4145"/>
      <c r="D10" s="4145"/>
      <c r="E10" s="4145"/>
      <c r="F10" s="4145"/>
      <c r="G10" s="4145"/>
      <c r="H10" s="1429"/>
      <c r="I10" s="1429"/>
      <c r="J10" s="1429"/>
      <c r="K10" s="1429"/>
      <c r="L10" s="1429"/>
      <c r="M10" s="1429"/>
      <c r="N10" s="1429"/>
      <c r="O10" s="1429"/>
      <c r="P10" s="1429"/>
      <c r="Q10" s="1429"/>
      <c r="R10" s="1429"/>
      <c r="S10" s="1429"/>
      <c r="T10" s="1429"/>
      <c r="U10" s="1429"/>
      <c r="V10" s="1429"/>
      <c r="W10" s="1429"/>
      <c r="X10" s="1429"/>
      <c r="Y10" s="1429"/>
      <c r="Z10" s="1429"/>
      <c r="AA10" s="1429"/>
    </row>
    <row r="11" spans="1:135" ht="35.25" customHeight="1">
      <c r="A11" s="1429"/>
      <c r="C11" s="1429"/>
      <c r="D11" s="1429"/>
      <c r="E11" s="1429"/>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row>
    <row r="12" spans="1:135">
      <c r="A12" s="1429"/>
      <c r="B12" s="1059" t="s">
        <v>270</v>
      </c>
      <c r="C12" s="1429"/>
      <c r="D12" s="1429"/>
      <c r="E12" s="1429"/>
      <c r="F12" s="1429"/>
      <c r="G12" s="1429"/>
      <c r="H12" s="1429"/>
      <c r="I12" s="1429"/>
      <c r="J12" s="1429"/>
      <c r="K12" s="1429"/>
      <c r="L12" s="1429"/>
      <c r="M12" s="1429"/>
      <c r="N12" s="1429"/>
      <c r="O12" s="1429"/>
      <c r="P12" s="1429"/>
      <c r="Q12" s="1429"/>
      <c r="R12" s="1429"/>
      <c r="S12" s="1429"/>
      <c r="T12" s="1429"/>
      <c r="U12" s="1429"/>
      <c r="V12" s="1429"/>
      <c r="W12" s="1429"/>
      <c r="X12" s="1429"/>
      <c r="Y12" s="1429"/>
      <c r="Z12" s="1429"/>
      <c r="AA12" s="1429"/>
    </row>
    <row r="13" spans="1:135" ht="24.75" customHeight="1">
      <c r="A13" s="1429"/>
      <c r="B13" s="1060" t="s">
        <v>1538</v>
      </c>
      <c r="C13" s="1429"/>
      <c r="D13" s="1429"/>
      <c r="E13" s="1429"/>
      <c r="F13" s="1429"/>
      <c r="G13" s="1429"/>
      <c r="H13" s="1429"/>
      <c r="I13" s="1429"/>
      <c r="J13" s="1429"/>
      <c r="K13" s="1429"/>
      <c r="L13" s="1429"/>
      <c r="M13" s="1429"/>
      <c r="N13" s="1429"/>
      <c r="O13" s="1429"/>
      <c r="P13" s="1429"/>
      <c r="Q13" s="1429"/>
      <c r="R13" s="1429"/>
      <c r="S13" s="1429"/>
      <c r="T13" s="1429"/>
      <c r="U13" s="1429"/>
      <c r="V13" s="1429"/>
      <c r="W13" s="1429"/>
      <c r="X13" s="1429"/>
      <c r="Y13" s="1429"/>
      <c r="Z13" s="1429"/>
      <c r="AA13" s="1429"/>
    </row>
    <row r="14" spans="1:135" ht="32.25" customHeight="1">
      <c r="A14" s="1429"/>
      <c r="C14" s="1429"/>
      <c r="D14" s="1429"/>
      <c r="E14" s="1429"/>
      <c r="F14" s="1429"/>
      <c r="G14" s="1429"/>
      <c r="H14" s="1429"/>
      <c r="I14" s="1429"/>
      <c r="J14" s="1429"/>
      <c r="K14" s="1429"/>
      <c r="L14" s="1429"/>
      <c r="M14" s="1429"/>
      <c r="N14" s="1429"/>
      <c r="O14" s="1429"/>
      <c r="P14" s="1429"/>
      <c r="Q14" s="1429"/>
      <c r="R14" s="1429"/>
      <c r="S14" s="1429"/>
      <c r="T14" s="1429"/>
      <c r="U14" s="1429"/>
      <c r="V14" s="1429"/>
      <c r="W14" s="1429"/>
      <c r="X14" s="1429"/>
      <c r="Y14" s="1429"/>
      <c r="Z14" s="1429"/>
      <c r="AA14" s="1429"/>
    </row>
    <row r="15" spans="1:135" ht="13.5" thickBot="1">
      <c r="A15" s="1429"/>
    </row>
    <row r="16" spans="1:135" s="94" customFormat="1" ht="18.75" customHeight="1" thickBot="1">
      <c r="A16" s="308"/>
      <c r="B16" s="856" t="s">
        <v>1541</v>
      </c>
      <c r="C16" s="1976"/>
      <c r="D16" s="1680"/>
      <c r="E16" s="1680"/>
      <c r="F16" s="1680"/>
      <c r="G16" s="1680"/>
      <c r="H16" s="1680"/>
      <c r="I16" s="1680"/>
      <c r="J16" s="1680"/>
      <c r="K16" s="1680"/>
      <c r="L16" s="1680"/>
      <c r="M16" s="1680"/>
      <c r="N16" s="1680"/>
      <c r="O16" s="1680"/>
      <c r="P16" s="1680"/>
      <c r="Q16" s="1680"/>
      <c r="R16" s="1680"/>
      <c r="S16" s="1680"/>
      <c r="T16" s="1680"/>
      <c r="U16" s="1680"/>
      <c r="V16" s="1680"/>
      <c r="W16" s="1680"/>
      <c r="X16" s="1680"/>
      <c r="Y16" s="1680"/>
      <c r="Z16" s="1680"/>
      <c r="AA16" s="1680"/>
      <c r="AB16" s="1681"/>
      <c r="AC16" s="1427"/>
      <c r="AD16" s="1427"/>
      <c r="AE16" s="1427"/>
      <c r="AF16" s="1427"/>
      <c r="DF16" s="1427"/>
      <c r="DG16" s="1427"/>
      <c r="DH16" s="1427"/>
      <c r="DI16" s="1427"/>
      <c r="DJ16" s="1427"/>
      <c r="DK16" s="1427"/>
      <c r="DL16" s="1427"/>
      <c r="DM16" s="1427"/>
      <c r="DN16" s="1427"/>
      <c r="DO16" s="1427"/>
      <c r="DP16" s="1427"/>
      <c r="DQ16" s="1427"/>
      <c r="DR16" s="1427"/>
      <c r="DS16" s="1427"/>
      <c r="DT16" s="1427"/>
      <c r="DU16" s="1427"/>
      <c r="DV16" s="1427"/>
      <c r="DW16" s="1427"/>
      <c r="DX16" s="1427"/>
      <c r="DY16" s="1427"/>
      <c r="DZ16" s="1427"/>
      <c r="EA16" s="1427"/>
      <c r="EB16" s="1427"/>
      <c r="EC16" s="1427"/>
      <c r="ED16" s="1427"/>
      <c r="EE16" s="1427"/>
    </row>
    <row r="17" spans="1:135" ht="20.25" customHeight="1">
      <c r="A17" s="1429"/>
      <c r="B17" s="4148"/>
      <c r="C17" s="4149"/>
      <c r="D17" s="4146" t="s">
        <v>37</v>
      </c>
      <c r="E17" s="4147"/>
      <c r="F17" s="4147"/>
      <c r="G17" s="4147"/>
      <c r="H17" s="4147"/>
      <c r="I17" s="4080" t="s">
        <v>73</v>
      </c>
      <c r="J17" s="4080"/>
      <c r="K17" s="4080"/>
      <c r="L17" s="4080"/>
      <c r="M17" s="4080"/>
      <c r="N17" s="4154" t="s">
        <v>272</v>
      </c>
      <c r="O17" s="4154"/>
      <c r="P17" s="4154"/>
      <c r="Q17" s="4154"/>
      <c r="R17" s="4154"/>
      <c r="S17" s="4154"/>
      <c r="T17" s="4154"/>
      <c r="U17" s="4154"/>
      <c r="V17" s="4154"/>
      <c r="W17" s="4154"/>
      <c r="X17" s="4154"/>
      <c r="Y17" s="4154"/>
      <c r="Z17" s="4154"/>
      <c r="AA17" s="4154"/>
      <c r="AB17" s="4155"/>
    </row>
    <row r="18" spans="1:135" ht="20.25" customHeight="1">
      <c r="A18" s="1429"/>
      <c r="B18" s="4150"/>
      <c r="C18" s="4151"/>
      <c r="D18" s="4156" t="s">
        <v>366</v>
      </c>
      <c r="E18" s="4157"/>
      <c r="F18" s="4157"/>
      <c r="G18" s="4157"/>
      <c r="H18" s="4157"/>
      <c r="I18" s="4157"/>
      <c r="J18" s="4157"/>
      <c r="K18" s="4157"/>
      <c r="L18" s="4157"/>
      <c r="M18" s="4157"/>
      <c r="N18" s="4157"/>
      <c r="O18" s="4157"/>
      <c r="P18" s="4157"/>
      <c r="Q18" s="4157"/>
      <c r="R18" s="4157"/>
      <c r="S18" s="4157"/>
      <c r="T18" s="4157"/>
      <c r="U18" s="4157"/>
      <c r="V18" s="4157"/>
      <c r="W18" s="4157"/>
      <c r="X18" s="4157"/>
      <c r="Y18" s="4157"/>
      <c r="Z18" s="4157"/>
      <c r="AA18" s="4157"/>
      <c r="AB18" s="4158"/>
    </row>
    <row r="19" spans="1:135" ht="20.25" customHeight="1">
      <c r="A19" s="1429"/>
      <c r="B19" s="4150"/>
      <c r="C19" s="4151"/>
      <c r="D19" s="4156" t="s">
        <v>54</v>
      </c>
      <c r="E19" s="4157"/>
      <c r="F19" s="4162"/>
      <c r="G19" s="4159" t="s">
        <v>411</v>
      </c>
      <c r="H19" s="4160"/>
      <c r="I19" s="4160"/>
      <c r="J19" s="4160"/>
      <c r="K19" s="4160"/>
      <c r="L19" s="4160"/>
      <c r="M19" s="4160"/>
      <c r="N19" s="4160"/>
      <c r="O19" s="4160"/>
      <c r="P19" s="4160"/>
      <c r="Q19" s="4160"/>
      <c r="R19" s="4160"/>
      <c r="S19" s="4160"/>
      <c r="T19" s="4160"/>
      <c r="U19" s="4160"/>
      <c r="V19" s="4160"/>
      <c r="W19" s="4160"/>
      <c r="X19" s="4160"/>
      <c r="Y19" s="4160"/>
      <c r="Z19" s="4160"/>
      <c r="AA19" s="4160"/>
      <c r="AB19" s="4161"/>
    </row>
    <row r="20" spans="1:135" ht="20.25" customHeight="1" thickBot="1">
      <c r="A20" s="1429"/>
      <c r="B20" s="4152"/>
      <c r="C20" s="4153"/>
      <c r="D20" s="1028">
        <f>CRCP_y1</f>
        <v>2013</v>
      </c>
      <c r="E20" s="1028">
        <f>CRCP_y2</f>
        <v>2014</v>
      </c>
      <c r="F20" s="1028">
        <f>CRCP_y3</f>
        <v>2015</v>
      </c>
      <c r="G20" s="1028">
        <f>CRCP_y4</f>
        <v>2016</v>
      </c>
      <c r="H20" s="1028">
        <f>CRCP_y5</f>
        <v>2017</v>
      </c>
      <c r="I20" s="1027" t="str">
        <f>CONCATENATE(IF(dms_RPT="Calendar",H20+1,(LEFT(H20,4)+1&amp;"-"&amp;IF(MID(H20,6,2)&lt;"09","0"&amp;RIGHT(H20,1)+1,RIGHT(H20,2)+1))))</f>
        <v>2018</v>
      </c>
      <c r="J20" s="1027" t="str">
        <f t="shared" ref="J20:AB20" si="0">CONCATENATE(IF(dms_RPT="Calendar",I20+1,(LEFT(I20,4)+1&amp;"-"&amp;IF(MID(I20,6,2)&lt;"09","0"&amp;RIGHT(I20,1)+1,RIGHT(I20,2)+1))))</f>
        <v>2019</v>
      </c>
      <c r="K20" s="1027" t="str">
        <f t="shared" si="0"/>
        <v>2020</v>
      </c>
      <c r="L20" s="1027" t="str">
        <f t="shared" si="0"/>
        <v>2021</v>
      </c>
      <c r="M20" s="1027" t="str">
        <f t="shared" si="0"/>
        <v>2022</v>
      </c>
      <c r="N20" s="1028" t="str">
        <f t="shared" si="0"/>
        <v>2023</v>
      </c>
      <c r="O20" s="1028" t="str">
        <f t="shared" si="0"/>
        <v>2024</v>
      </c>
      <c r="P20" s="1028" t="str">
        <f t="shared" si="0"/>
        <v>2025</v>
      </c>
      <c r="Q20" s="1028" t="str">
        <f t="shared" si="0"/>
        <v>2026</v>
      </c>
      <c r="R20" s="1028" t="str">
        <f t="shared" si="0"/>
        <v>2027</v>
      </c>
      <c r="S20" s="1028" t="str">
        <f t="shared" si="0"/>
        <v>2028</v>
      </c>
      <c r="T20" s="1028" t="str">
        <f t="shared" si="0"/>
        <v>2029</v>
      </c>
      <c r="U20" s="1028" t="str">
        <f t="shared" si="0"/>
        <v>2030</v>
      </c>
      <c r="V20" s="1028" t="str">
        <f t="shared" si="0"/>
        <v>2031</v>
      </c>
      <c r="W20" s="1028" t="str">
        <f t="shared" si="0"/>
        <v>2032</v>
      </c>
      <c r="X20" s="1028" t="str">
        <f t="shared" si="0"/>
        <v>2033</v>
      </c>
      <c r="Y20" s="1028" t="str">
        <f t="shared" si="0"/>
        <v>2034</v>
      </c>
      <c r="Z20" s="1028" t="str">
        <f t="shared" si="0"/>
        <v>2035</v>
      </c>
      <c r="AA20" s="1028" t="str">
        <f t="shared" si="0"/>
        <v>2036</v>
      </c>
      <c r="AB20" s="1028" t="str">
        <f t="shared" si="0"/>
        <v>2037</v>
      </c>
    </row>
    <row r="21" spans="1:135" s="94" customFormat="1" ht="18.75" customHeight="1" thickBot="1">
      <c r="A21" s="308"/>
      <c r="B21" s="1607" t="s">
        <v>1542</v>
      </c>
      <c r="C21" s="1605"/>
      <c r="D21" s="1605"/>
      <c r="E21" s="1605"/>
      <c r="F21" s="1605"/>
      <c r="G21" s="1605"/>
      <c r="H21" s="1605"/>
      <c r="I21" s="1605"/>
      <c r="J21" s="1605"/>
      <c r="K21" s="1605"/>
      <c r="L21" s="1605"/>
      <c r="M21" s="1605"/>
      <c r="N21" s="1605"/>
      <c r="O21" s="1605"/>
      <c r="P21" s="1605"/>
      <c r="Q21" s="1605"/>
      <c r="R21" s="1605"/>
      <c r="S21" s="1605"/>
      <c r="T21" s="1605"/>
      <c r="U21" s="1605"/>
      <c r="V21" s="1605"/>
      <c r="W21" s="1605"/>
      <c r="X21" s="1605"/>
      <c r="Y21" s="1605"/>
      <c r="Z21" s="1605"/>
      <c r="AA21" s="1605"/>
      <c r="AB21" s="1606"/>
      <c r="AC21" s="1427"/>
      <c r="AD21" s="1427"/>
      <c r="AE21" s="1427"/>
      <c r="AF21" s="1427"/>
      <c r="DF21" s="1427"/>
      <c r="DG21" s="1427"/>
      <c r="DH21" s="1427"/>
      <c r="DI21" s="1427"/>
      <c r="DJ21" s="1427"/>
      <c r="DK21" s="1427"/>
      <c r="DL21" s="1427"/>
      <c r="DM21" s="1427"/>
      <c r="DN21" s="1427"/>
      <c r="DO21" s="1427"/>
      <c r="DP21" s="1427"/>
      <c r="DQ21" s="1427"/>
      <c r="DR21" s="1427"/>
      <c r="DS21" s="1427"/>
      <c r="DT21" s="1427"/>
      <c r="DU21" s="1427"/>
      <c r="DV21" s="1427"/>
      <c r="DW21" s="1427"/>
      <c r="DX21" s="1427"/>
      <c r="DY21" s="1427"/>
      <c r="DZ21" s="1427"/>
      <c r="EA21" s="1427"/>
      <c r="EB21" s="1427"/>
      <c r="EC21" s="1427"/>
      <c r="ED21" s="1427"/>
      <c r="EE21" s="1427"/>
    </row>
    <row r="22" spans="1:135" s="1960" customFormat="1" ht="25.5" customHeight="1">
      <c r="A22" s="1958"/>
      <c r="B22" s="1961" t="s">
        <v>1543</v>
      </c>
      <c r="C22" s="1975"/>
      <c r="D22" s="1962"/>
      <c r="E22" s="1962"/>
      <c r="F22" s="1962"/>
      <c r="G22" s="1962"/>
      <c r="H22" s="1962"/>
      <c r="I22" s="1962"/>
      <c r="J22" s="1962"/>
      <c r="K22" s="1962"/>
      <c r="L22" s="1962"/>
      <c r="M22" s="1962"/>
      <c r="N22" s="1962"/>
      <c r="O22" s="1962"/>
      <c r="P22" s="1962"/>
      <c r="Q22" s="1962"/>
      <c r="R22" s="1962"/>
      <c r="S22" s="1962"/>
      <c r="T22" s="1962"/>
      <c r="U22" s="1962"/>
      <c r="V22" s="1962"/>
      <c r="W22" s="1962"/>
      <c r="X22" s="1962"/>
      <c r="Y22" s="1962"/>
      <c r="Z22" s="1962"/>
      <c r="AA22" s="1962"/>
      <c r="AB22" s="1963"/>
      <c r="AC22" s="1959"/>
      <c r="AD22" s="1959"/>
      <c r="AE22" s="1959"/>
      <c r="AF22" s="1959"/>
      <c r="DF22" s="1959"/>
      <c r="DG22" s="1959"/>
      <c r="DH22" s="1959"/>
      <c r="DI22" s="1959"/>
      <c r="DJ22" s="1959"/>
      <c r="DK22" s="1959"/>
      <c r="DL22" s="1959"/>
      <c r="DM22" s="1959"/>
      <c r="DN22" s="1959"/>
      <c r="DO22" s="1959"/>
      <c r="DP22" s="1959"/>
      <c r="DQ22" s="1959"/>
      <c r="DR22" s="1959"/>
      <c r="DS22" s="1959"/>
      <c r="DT22" s="1959"/>
      <c r="DU22" s="1959"/>
      <c r="DV22" s="1959"/>
      <c r="DW22" s="1959"/>
      <c r="DX22" s="1959"/>
      <c r="DY22" s="1959"/>
      <c r="DZ22" s="1959"/>
      <c r="EA22" s="1959"/>
      <c r="EB22" s="1959"/>
      <c r="EC22" s="1959"/>
      <c r="ED22" s="1959"/>
      <c r="EE22" s="1959"/>
    </row>
    <row r="23" spans="1:135" s="94" customFormat="1">
      <c r="A23" s="308"/>
      <c r="B23" s="4163" t="s">
        <v>1502</v>
      </c>
      <c r="C23" s="3398" t="s">
        <v>756</v>
      </c>
      <c r="D23" s="517">
        <v>0</v>
      </c>
      <c r="E23" s="518">
        <f>D24</f>
        <v>0</v>
      </c>
      <c r="F23" s="518">
        <f t="shared" ref="F23" si="1">E24</f>
        <v>186</v>
      </c>
      <c r="G23" s="518">
        <f>+F24</f>
        <v>342</v>
      </c>
      <c r="H23" s="519">
        <f t="shared" ref="H23:AB23" si="2">+G24</f>
        <v>400.5</v>
      </c>
      <c r="I23" s="517">
        <f t="shared" si="2"/>
        <v>444.375</v>
      </c>
      <c r="J23" s="518">
        <f t="shared" si="2"/>
        <v>477.28125</v>
      </c>
      <c r="K23" s="518">
        <f t="shared" si="2"/>
        <v>501.9609375</v>
      </c>
      <c r="L23" s="518">
        <f t="shared" si="2"/>
        <v>520.470703125</v>
      </c>
      <c r="M23" s="519">
        <f t="shared" si="2"/>
        <v>534.35302734375</v>
      </c>
      <c r="N23" s="571">
        <f t="shared" si="2"/>
        <v>544.7647705078125</v>
      </c>
      <c r="O23" s="518">
        <f t="shared" si="2"/>
        <v>552.57357788085937</v>
      </c>
      <c r="P23" s="518">
        <f t="shared" si="2"/>
        <v>558.43018341064453</v>
      </c>
      <c r="Q23" s="518">
        <f t="shared" si="2"/>
        <v>562.8226375579834</v>
      </c>
      <c r="R23" s="518">
        <f t="shared" si="2"/>
        <v>566.11697816848755</v>
      </c>
      <c r="S23" s="518">
        <f t="shared" si="2"/>
        <v>568.58773362636566</v>
      </c>
      <c r="T23" s="518">
        <f t="shared" si="2"/>
        <v>570.44080021977425</v>
      </c>
      <c r="U23" s="518">
        <f t="shared" si="2"/>
        <v>571.83060016483068</v>
      </c>
      <c r="V23" s="518">
        <f t="shared" si="2"/>
        <v>572.87295012362301</v>
      </c>
      <c r="W23" s="518">
        <f t="shared" si="2"/>
        <v>573.65471259271726</v>
      </c>
      <c r="X23" s="518">
        <f t="shared" si="2"/>
        <v>574.24103444453795</v>
      </c>
      <c r="Y23" s="518">
        <f t="shared" si="2"/>
        <v>574.68077583340346</v>
      </c>
      <c r="Z23" s="518">
        <f t="shared" si="2"/>
        <v>575.01058187505259</v>
      </c>
      <c r="AA23" s="518">
        <f t="shared" si="2"/>
        <v>575.25793640628945</v>
      </c>
      <c r="AB23" s="519">
        <f t="shared" si="2"/>
        <v>575.44345230471708</v>
      </c>
      <c r="AC23" s="1427"/>
      <c r="AD23" s="1427"/>
      <c r="AE23" s="1427"/>
      <c r="AF23" s="1427"/>
    </row>
    <row r="24" spans="1:135" s="94" customFormat="1">
      <c r="A24" s="308"/>
      <c r="B24" s="4164"/>
      <c r="C24" s="3398" t="s">
        <v>757</v>
      </c>
      <c r="D24" s="514">
        <v>0</v>
      </c>
      <c r="E24" s="513">
        <v>186</v>
      </c>
      <c r="F24" s="513">
        <v>342</v>
      </c>
      <c r="G24" s="513">
        <f>G23+(580-G23-$AB$36)*0.25</f>
        <v>400.5</v>
      </c>
      <c r="H24" s="515">
        <f t="shared" ref="H24:AB24" si="3">H23+(580-H23-$AB$36)*0.25</f>
        <v>444.375</v>
      </c>
      <c r="I24" s="514">
        <f t="shared" si="3"/>
        <v>477.28125</v>
      </c>
      <c r="J24" s="513">
        <f t="shared" si="3"/>
        <v>501.9609375</v>
      </c>
      <c r="K24" s="513">
        <f t="shared" si="3"/>
        <v>520.470703125</v>
      </c>
      <c r="L24" s="513">
        <f t="shared" si="3"/>
        <v>534.35302734375</v>
      </c>
      <c r="M24" s="515">
        <f t="shared" si="3"/>
        <v>544.7647705078125</v>
      </c>
      <c r="N24" s="467">
        <f t="shared" si="3"/>
        <v>552.57357788085937</v>
      </c>
      <c r="O24" s="467">
        <f t="shared" si="3"/>
        <v>558.43018341064453</v>
      </c>
      <c r="P24" s="467">
        <f t="shared" si="3"/>
        <v>562.8226375579834</v>
      </c>
      <c r="Q24" s="467">
        <f t="shared" si="3"/>
        <v>566.11697816848755</v>
      </c>
      <c r="R24" s="467">
        <f t="shared" si="3"/>
        <v>568.58773362636566</v>
      </c>
      <c r="S24" s="467">
        <f t="shared" si="3"/>
        <v>570.44080021977425</v>
      </c>
      <c r="T24" s="467">
        <f t="shared" si="3"/>
        <v>571.83060016483068</v>
      </c>
      <c r="U24" s="467">
        <f t="shared" si="3"/>
        <v>572.87295012362301</v>
      </c>
      <c r="V24" s="467">
        <f t="shared" si="3"/>
        <v>573.65471259271726</v>
      </c>
      <c r="W24" s="467">
        <f t="shared" si="3"/>
        <v>574.24103444453795</v>
      </c>
      <c r="X24" s="467">
        <f t="shared" si="3"/>
        <v>574.68077583340346</v>
      </c>
      <c r="Y24" s="467">
        <f t="shared" si="3"/>
        <v>575.01058187505259</v>
      </c>
      <c r="Z24" s="467">
        <f t="shared" si="3"/>
        <v>575.25793640628945</v>
      </c>
      <c r="AA24" s="513">
        <f t="shared" si="3"/>
        <v>575.44345230471708</v>
      </c>
      <c r="AB24" s="515">
        <f t="shared" si="3"/>
        <v>575.58258922853781</v>
      </c>
      <c r="AC24" s="1427"/>
      <c r="AD24" s="1427"/>
      <c r="AE24" s="1427"/>
      <c r="AF24" s="1427"/>
    </row>
    <row r="25" spans="1:135" s="94" customFormat="1">
      <c r="A25" s="308"/>
      <c r="B25" s="4164"/>
      <c r="C25" s="3398" t="s">
        <v>68</v>
      </c>
      <c r="D25" s="517">
        <f t="shared" ref="D25:AB25" si="4">IF(ISERROR(AVERAGE(D23:D24)),0,AVERAGE(D23:D24))</f>
        <v>0</v>
      </c>
      <c r="E25" s="518">
        <f>IF(ISERROR(AVERAGE(E23:E24)),0,AVERAGE(E23:E24))</f>
        <v>93</v>
      </c>
      <c r="F25" s="518">
        <f t="shared" si="4"/>
        <v>264</v>
      </c>
      <c r="G25" s="518">
        <f t="shared" si="4"/>
        <v>371.25</v>
      </c>
      <c r="H25" s="519">
        <f t="shared" si="4"/>
        <v>422.4375</v>
      </c>
      <c r="I25" s="517">
        <f t="shared" si="4"/>
        <v>460.828125</v>
      </c>
      <c r="J25" s="518">
        <f t="shared" si="4"/>
        <v>489.62109375</v>
      </c>
      <c r="K25" s="518">
        <f t="shared" si="4"/>
        <v>511.2158203125</v>
      </c>
      <c r="L25" s="518">
        <f t="shared" si="4"/>
        <v>527.411865234375</v>
      </c>
      <c r="M25" s="519">
        <f t="shared" si="4"/>
        <v>539.55889892578125</v>
      </c>
      <c r="N25" s="571">
        <f t="shared" si="4"/>
        <v>548.66917419433594</v>
      </c>
      <c r="O25" s="518">
        <f t="shared" si="4"/>
        <v>555.50188064575195</v>
      </c>
      <c r="P25" s="518">
        <f t="shared" si="4"/>
        <v>560.62641048431396</v>
      </c>
      <c r="Q25" s="518">
        <f t="shared" si="4"/>
        <v>564.46980786323547</v>
      </c>
      <c r="R25" s="518">
        <f t="shared" si="4"/>
        <v>567.35235589742661</v>
      </c>
      <c r="S25" s="518">
        <f t="shared" si="4"/>
        <v>569.51426692306995</v>
      </c>
      <c r="T25" s="518">
        <f t="shared" si="4"/>
        <v>571.13570019230247</v>
      </c>
      <c r="U25" s="518">
        <f t="shared" si="4"/>
        <v>572.35177514422685</v>
      </c>
      <c r="V25" s="518">
        <f t="shared" si="4"/>
        <v>573.26383135817014</v>
      </c>
      <c r="W25" s="518">
        <f t="shared" si="4"/>
        <v>573.9478735186276</v>
      </c>
      <c r="X25" s="518">
        <f t="shared" si="4"/>
        <v>574.4609051389707</v>
      </c>
      <c r="Y25" s="518">
        <f t="shared" si="4"/>
        <v>574.84567885422803</v>
      </c>
      <c r="Z25" s="518">
        <f t="shared" si="4"/>
        <v>575.13425914067102</v>
      </c>
      <c r="AA25" s="518">
        <f t="shared" si="4"/>
        <v>575.35069435550326</v>
      </c>
      <c r="AB25" s="519">
        <f t="shared" si="4"/>
        <v>575.51302076662751</v>
      </c>
      <c r="AC25" s="1427"/>
      <c r="AD25" s="1427"/>
      <c r="AE25" s="1427"/>
      <c r="AF25" s="1427"/>
    </row>
    <row r="26" spans="1:135" s="94" customFormat="1">
      <c r="A26" s="308"/>
      <c r="B26" s="4164"/>
      <c r="C26" s="3398" t="s">
        <v>69</v>
      </c>
      <c r="D26" s="514">
        <f>+D24-D23+D27</f>
        <v>0</v>
      </c>
      <c r="E26" s="513">
        <f>+E24-E23+E27</f>
        <v>186</v>
      </c>
      <c r="F26" s="513">
        <f>+F24-F23+F27</f>
        <v>157</v>
      </c>
      <c r="G26" s="513">
        <f t="shared" ref="G26:AB26" si="5">+G24-G23+G27</f>
        <v>58.5</v>
      </c>
      <c r="H26" s="515">
        <f t="shared" si="5"/>
        <v>43.875</v>
      </c>
      <c r="I26" s="514">
        <f t="shared" si="5"/>
        <v>32.90625</v>
      </c>
      <c r="J26" s="513">
        <f t="shared" si="5"/>
        <v>24.6796875</v>
      </c>
      <c r="K26" s="513">
        <f t="shared" si="5"/>
        <v>18.509765625</v>
      </c>
      <c r="L26" s="513">
        <f t="shared" si="5"/>
        <v>13.88232421875</v>
      </c>
      <c r="M26" s="515">
        <f t="shared" si="5"/>
        <v>10.4117431640625</v>
      </c>
      <c r="N26" s="467">
        <f t="shared" si="5"/>
        <v>7.808807373046875</v>
      </c>
      <c r="O26" s="513">
        <f t="shared" si="5"/>
        <v>5.8566055297851562</v>
      </c>
      <c r="P26" s="513">
        <f t="shared" si="5"/>
        <v>4.3924541473388672</v>
      </c>
      <c r="Q26" s="513">
        <f t="shared" si="5"/>
        <v>3.2943406105041504</v>
      </c>
      <c r="R26" s="513">
        <f t="shared" si="5"/>
        <v>2.4707554578781128</v>
      </c>
      <c r="S26" s="513">
        <f t="shared" si="5"/>
        <v>1.8530665934085846</v>
      </c>
      <c r="T26" s="513">
        <f t="shared" si="5"/>
        <v>1.3897999450564384</v>
      </c>
      <c r="U26" s="513">
        <f t="shared" si="5"/>
        <v>1.0423499587923288</v>
      </c>
      <c r="V26" s="513">
        <f t="shared" si="5"/>
        <v>0.78176246909424663</v>
      </c>
      <c r="W26" s="513">
        <f t="shared" si="5"/>
        <v>0.58632185182068497</v>
      </c>
      <c r="X26" s="513">
        <f t="shared" si="5"/>
        <v>0.43974138886551373</v>
      </c>
      <c r="Y26" s="513">
        <f t="shared" si="5"/>
        <v>0.3298060416491353</v>
      </c>
      <c r="Z26" s="513">
        <f t="shared" si="5"/>
        <v>0.24735453123685147</v>
      </c>
      <c r="AA26" s="513">
        <f t="shared" si="5"/>
        <v>0.1855158984276386</v>
      </c>
      <c r="AB26" s="515">
        <f t="shared" si="5"/>
        <v>0.13913692382072895</v>
      </c>
      <c r="AC26" s="1427"/>
      <c r="AD26" s="1427"/>
      <c r="AE26" s="1427"/>
      <c r="AF26" s="1427"/>
    </row>
    <row r="27" spans="1:135" s="94" customFormat="1" ht="13.5" thickBot="1">
      <c r="A27" s="308"/>
      <c r="B27" s="4165"/>
      <c r="C27" s="1974" t="s">
        <v>58</v>
      </c>
      <c r="D27" s="1932">
        <v>0</v>
      </c>
      <c r="E27" s="886">
        <v>0</v>
      </c>
      <c r="F27" s="886">
        <v>1</v>
      </c>
      <c r="G27" s="886"/>
      <c r="H27" s="887">
        <v>0</v>
      </c>
      <c r="I27" s="1932">
        <v>0</v>
      </c>
      <c r="J27" s="886">
        <v>0</v>
      </c>
      <c r="K27" s="886">
        <v>0</v>
      </c>
      <c r="L27" s="886">
        <v>0</v>
      </c>
      <c r="M27" s="887">
        <v>0</v>
      </c>
      <c r="N27" s="1790">
        <v>0</v>
      </c>
      <c r="O27" s="465">
        <v>0</v>
      </c>
      <c r="P27" s="465">
        <v>0</v>
      </c>
      <c r="Q27" s="465">
        <v>0</v>
      </c>
      <c r="R27" s="465">
        <v>0</v>
      </c>
      <c r="S27" s="465">
        <v>0</v>
      </c>
      <c r="T27" s="465">
        <v>0</v>
      </c>
      <c r="U27" s="465">
        <v>0</v>
      </c>
      <c r="V27" s="465">
        <v>0</v>
      </c>
      <c r="W27" s="465">
        <v>0</v>
      </c>
      <c r="X27" s="465">
        <v>0</v>
      </c>
      <c r="Y27" s="465">
        <v>0</v>
      </c>
      <c r="Z27" s="465">
        <v>0</v>
      </c>
      <c r="AA27" s="465">
        <v>0</v>
      </c>
      <c r="AB27" s="643">
        <v>0</v>
      </c>
      <c r="AC27" s="1427"/>
      <c r="AD27" s="1427"/>
      <c r="AE27" s="1427"/>
      <c r="AF27" s="1427"/>
    </row>
    <row r="28" spans="1:135" s="94" customFormat="1">
      <c r="A28" s="308"/>
      <c r="B28" s="4166" t="s">
        <v>63</v>
      </c>
      <c r="C28" s="1964" t="s">
        <v>756</v>
      </c>
      <c r="D28" s="533">
        <f>+D23</f>
        <v>0</v>
      </c>
      <c r="E28" s="534">
        <f t="shared" ref="E28:AB28" si="6">+E23</f>
        <v>0</v>
      </c>
      <c r="F28" s="534">
        <f t="shared" si="6"/>
        <v>186</v>
      </c>
      <c r="G28" s="534">
        <f t="shared" si="6"/>
        <v>342</v>
      </c>
      <c r="H28" s="1464">
        <f t="shared" si="6"/>
        <v>400.5</v>
      </c>
      <c r="I28" s="533">
        <f t="shared" si="6"/>
        <v>444.375</v>
      </c>
      <c r="J28" s="534">
        <f t="shared" si="6"/>
        <v>477.28125</v>
      </c>
      <c r="K28" s="534">
        <f t="shared" si="6"/>
        <v>501.9609375</v>
      </c>
      <c r="L28" s="534">
        <f t="shared" si="6"/>
        <v>520.470703125</v>
      </c>
      <c r="M28" s="479">
        <f t="shared" si="6"/>
        <v>534.35302734375</v>
      </c>
      <c r="N28" s="1286">
        <f t="shared" si="6"/>
        <v>544.7647705078125</v>
      </c>
      <c r="O28" s="534">
        <f t="shared" si="6"/>
        <v>552.57357788085937</v>
      </c>
      <c r="P28" s="534">
        <f t="shared" si="6"/>
        <v>558.43018341064453</v>
      </c>
      <c r="Q28" s="534">
        <f t="shared" si="6"/>
        <v>562.8226375579834</v>
      </c>
      <c r="R28" s="534">
        <f t="shared" si="6"/>
        <v>566.11697816848755</v>
      </c>
      <c r="S28" s="534">
        <f t="shared" si="6"/>
        <v>568.58773362636566</v>
      </c>
      <c r="T28" s="534">
        <f t="shared" si="6"/>
        <v>570.44080021977425</v>
      </c>
      <c r="U28" s="534">
        <f t="shared" si="6"/>
        <v>571.83060016483068</v>
      </c>
      <c r="V28" s="534">
        <f t="shared" si="6"/>
        <v>572.87295012362301</v>
      </c>
      <c r="W28" s="534">
        <f t="shared" si="6"/>
        <v>573.65471259271726</v>
      </c>
      <c r="X28" s="534">
        <f t="shared" si="6"/>
        <v>574.24103444453795</v>
      </c>
      <c r="Y28" s="534">
        <f t="shared" si="6"/>
        <v>574.68077583340346</v>
      </c>
      <c r="Z28" s="534">
        <f t="shared" si="6"/>
        <v>575.01058187505259</v>
      </c>
      <c r="AA28" s="534">
        <f t="shared" si="6"/>
        <v>575.25793640628945</v>
      </c>
      <c r="AB28" s="1966">
        <f t="shared" si="6"/>
        <v>575.44345230471708</v>
      </c>
      <c r="AC28" s="1427"/>
      <c r="AD28" s="1427"/>
      <c r="AE28" s="1427"/>
      <c r="AF28" s="1427"/>
    </row>
    <row r="29" spans="1:135" s="94" customFormat="1">
      <c r="A29" s="308"/>
      <c r="B29" s="4167"/>
      <c r="C29" s="1964" t="s">
        <v>757</v>
      </c>
      <c r="D29" s="533">
        <f t="shared" ref="D29:AB32" si="7">+D24</f>
        <v>0</v>
      </c>
      <c r="E29" s="534">
        <f t="shared" si="7"/>
        <v>186</v>
      </c>
      <c r="F29" s="534">
        <f t="shared" si="7"/>
        <v>342</v>
      </c>
      <c r="G29" s="534">
        <f t="shared" si="7"/>
        <v>400.5</v>
      </c>
      <c r="H29" s="1464">
        <f t="shared" si="7"/>
        <v>444.375</v>
      </c>
      <c r="I29" s="533">
        <f t="shared" si="7"/>
        <v>477.28125</v>
      </c>
      <c r="J29" s="534">
        <f t="shared" si="7"/>
        <v>501.9609375</v>
      </c>
      <c r="K29" s="534">
        <f t="shared" si="7"/>
        <v>520.470703125</v>
      </c>
      <c r="L29" s="534">
        <f t="shared" si="7"/>
        <v>534.35302734375</v>
      </c>
      <c r="M29" s="479">
        <f t="shared" si="7"/>
        <v>544.7647705078125</v>
      </c>
      <c r="N29" s="1286">
        <f t="shared" si="7"/>
        <v>552.57357788085937</v>
      </c>
      <c r="O29" s="534">
        <f t="shared" si="7"/>
        <v>558.43018341064453</v>
      </c>
      <c r="P29" s="534">
        <f t="shared" si="7"/>
        <v>562.8226375579834</v>
      </c>
      <c r="Q29" s="534">
        <f t="shared" si="7"/>
        <v>566.11697816848755</v>
      </c>
      <c r="R29" s="534">
        <f t="shared" si="7"/>
        <v>568.58773362636566</v>
      </c>
      <c r="S29" s="534">
        <f t="shared" si="7"/>
        <v>570.44080021977425</v>
      </c>
      <c r="T29" s="534">
        <f t="shared" si="7"/>
        <v>571.83060016483068</v>
      </c>
      <c r="U29" s="534">
        <f t="shared" si="7"/>
        <v>572.87295012362301</v>
      </c>
      <c r="V29" s="534">
        <f t="shared" si="7"/>
        <v>573.65471259271726</v>
      </c>
      <c r="W29" s="534">
        <f t="shared" si="7"/>
        <v>574.24103444453795</v>
      </c>
      <c r="X29" s="534">
        <f t="shared" si="7"/>
        <v>574.68077583340346</v>
      </c>
      <c r="Y29" s="534">
        <f t="shared" si="7"/>
        <v>575.01058187505259</v>
      </c>
      <c r="Z29" s="534">
        <f t="shared" si="7"/>
        <v>575.25793640628945</v>
      </c>
      <c r="AA29" s="534">
        <f t="shared" si="7"/>
        <v>575.44345230471708</v>
      </c>
      <c r="AB29" s="1966">
        <f t="shared" si="7"/>
        <v>575.58258922853781</v>
      </c>
      <c r="AC29" s="1427"/>
      <c r="AD29" s="1427"/>
      <c r="AE29" s="1427"/>
      <c r="AF29" s="1427"/>
    </row>
    <row r="30" spans="1:135" s="94" customFormat="1">
      <c r="A30" s="308"/>
      <c r="B30" s="4167"/>
      <c r="C30" s="1965" t="s">
        <v>68</v>
      </c>
      <c r="D30" s="533">
        <f t="shared" si="7"/>
        <v>0</v>
      </c>
      <c r="E30" s="534">
        <f t="shared" si="7"/>
        <v>93</v>
      </c>
      <c r="F30" s="534">
        <f t="shared" si="7"/>
        <v>264</v>
      </c>
      <c r="G30" s="534">
        <f t="shared" si="7"/>
        <v>371.25</v>
      </c>
      <c r="H30" s="1464">
        <f t="shared" si="7"/>
        <v>422.4375</v>
      </c>
      <c r="I30" s="533">
        <f t="shared" si="7"/>
        <v>460.828125</v>
      </c>
      <c r="J30" s="534">
        <f t="shared" si="7"/>
        <v>489.62109375</v>
      </c>
      <c r="K30" s="534">
        <f t="shared" si="7"/>
        <v>511.2158203125</v>
      </c>
      <c r="L30" s="534">
        <f t="shared" si="7"/>
        <v>527.411865234375</v>
      </c>
      <c r="M30" s="479">
        <f t="shared" si="7"/>
        <v>539.55889892578125</v>
      </c>
      <c r="N30" s="1286">
        <f t="shared" si="7"/>
        <v>548.66917419433594</v>
      </c>
      <c r="O30" s="534">
        <f t="shared" si="7"/>
        <v>555.50188064575195</v>
      </c>
      <c r="P30" s="534">
        <f t="shared" si="7"/>
        <v>560.62641048431396</v>
      </c>
      <c r="Q30" s="534">
        <f t="shared" si="7"/>
        <v>564.46980786323547</v>
      </c>
      <c r="R30" s="534">
        <f t="shared" si="7"/>
        <v>567.35235589742661</v>
      </c>
      <c r="S30" s="534">
        <f t="shared" si="7"/>
        <v>569.51426692306995</v>
      </c>
      <c r="T30" s="534">
        <f t="shared" si="7"/>
        <v>571.13570019230247</v>
      </c>
      <c r="U30" s="534">
        <f t="shared" si="7"/>
        <v>572.35177514422685</v>
      </c>
      <c r="V30" s="534">
        <f t="shared" si="7"/>
        <v>573.26383135817014</v>
      </c>
      <c r="W30" s="534">
        <f t="shared" si="7"/>
        <v>573.9478735186276</v>
      </c>
      <c r="X30" s="534">
        <f t="shared" si="7"/>
        <v>574.4609051389707</v>
      </c>
      <c r="Y30" s="534">
        <f t="shared" si="7"/>
        <v>574.84567885422803</v>
      </c>
      <c r="Z30" s="534">
        <f t="shared" si="7"/>
        <v>575.13425914067102</v>
      </c>
      <c r="AA30" s="534">
        <f t="shared" si="7"/>
        <v>575.35069435550326</v>
      </c>
      <c r="AB30" s="1966">
        <f t="shared" si="7"/>
        <v>575.51302076662751</v>
      </c>
      <c r="AC30" s="1427"/>
      <c r="AD30" s="1427"/>
      <c r="AE30" s="1427"/>
      <c r="AF30" s="1427"/>
    </row>
    <row r="31" spans="1:135" s="94" customFormat="1">
      <c r="A31" s="308"/>
      <c r="B31" s="4167"/>
      <c r="C31" s="1965" t="s">
        <v>69</v>
      </c>
      <c r="D31" s="533">
        <f t="shared" si="7"/>
        <v>0</v>
      </c>
      <c r="E31" s="534">
        <f t="shared" si="7"/>
        <v>186</v>
      </c>
      <c r="F31" s="534">
        <f t="shared" si="7"/>
        <v>157</v>
      </c>
      <c r="G31" s="534">
        <f t="shared" si="7"/>
        <v>58.5</v>
      </c>
      <c r="H31" s="1464">
        <f t="shared" si="7"/>
        <v>43.875</v>
      </c>
      <c r="I31" s="533">
        <f t="shared" si="7"/>
        <v>32.90625</v>
      </c>
      <c r="J31" s="534">
        <f t="shared" si="7"/>
        <v>24.6796875</v>
      </c>
      <c r="K31" s="534">
        <f t="shared" si="7"/>
        <v>18.509765625</v>
      </c>
      <c r="L31" s="534">
        <f t="shared" si="7"/>
        <v>13.88232421875</v>
      </c>
      <c r="M31" s="479">
        <f t="shared" si="7"/>
        <v>10.4117431640625</v>
      </c>
      <c r="N31" s="1286">
        <f t="shared" si="7"/>
        <v>7.808807373046875</v>
      </c>
      <c r="O31" s="534">
        <f t="shared" si="7"/>
        <v>5.8566055297851562</v>
      </c>
      <c r="P31" s="534">
        <f t="shared" si="7"/>
        <v>4.3924541473388672</v>
      </c>
      <c r="Q31" s="534">
        <f t="shared" si="7"/>
        <v>3.2943406105041504</v>
      </c>
      <c r="R31" s="534">
        <f t="shared" si="7"/>
        <v>2.4707554578781128</v>
      </c>
      <c r="S31" s="534">
        <f t="shared" si="7"/>
        <v>1.8530665934085846</v>
      </c>
      <c r="T31" s="534">
        <f t="shared" si="7"/>
        <v>1.3897999450564384</v>
      </c>
      <c r="U31" s="534">
        <f t="shared" si="7"/>
        <v>1.0423499587923288</v>
      </c>
      <c r="V31" s="534">
        <f t="shared" si="7"/>
        <v>0.78176246909424663</v>
      </c>
      <c r="W31" s="534">
        <f t="shared" si="7"/>
        <v>0.58632185182068497</v>
      </c>
      <c r="X31" s="534">
        <f t="shared" si="7"/>
        <v>0.43974138886551373</v>
      </c>
      <c r="Y31" s="534">
        <f t="shared" si="7"/>
        <v>0.3298060416491353</v>
      </c>
      <c r="Z31" s="534">
        <f t="shared" si="7"/>
        <v>0.24735453123685147</v>
      </c>
      <c r="AA31" s="534">
        <f t="shared" si="7"/>
        <v>0.1855158984276386</v>
      </c>
      <c r="AB31" s="1966">
        <f t="shared" si="7"/>
        <v>0.13913692382072895</v>
      </c>
      <c r="AC31" s="1427"/>
      <c r="AD31" s="1427"/>
      <c r="AE31" s="1427"/>
      <c r="AF31" s="1427"/>
    </row>
    <row r="32" spans="1:135" s="94" customFormat="1" ht="13.5" thickBot="1">
      <c r="A32" s="308"/>
      <c r="B32" s="4168"/>
      <c r="C32" s="1967" t="s">
        <v>58</v>
      </c>
      <c r="D32" s="533">
        <f t="shared" si="7"/>
        <v>0</v>
      </c>
      <c r="E32" s="1969">
        <f t="shared" si="7"/>
        <v>0</v>
      </c>
      <c r="F32" s="1969">
        <f t="shared" si="7"/>
        <v>1</v>
      </c>
      <c r="G32" s="1969">
        <f t="shared" si="7"/>
        <v>0</v>
      </c>
      <c r="H32" s="1970">
        <f t="shared" si="7"/>
        <v>0</v>
      </c>
      <c r="I32" s="3441">
        <f t="shared" si="7"/>
        <v>0</v>
      </c>
      <c r="J32" s="1969">
        <f t="shared" si="7"/>
        <v>0</v>
      </c>
      <c r="K32" s="1969">
        <f t="shared" si="7"/>
        <v>0</v>
      </c>
      <c r="L32" s="1969">
        <f t="shared" si="7"/>
        <v>0</v>
      </c>
      <c r="M32" s="1971">
        <f t="shared" si="7"/>
        <v>0</v>
      </c>
      <c r="N32" s="1972">
        <f t="shared" si="7"/>
        <v>0</v>
      </c>
      <c r="O32" s="1969">
        <f t="shared" si="7"/>
        <v>0</v>
      </c>
      <c r="P32" s="1969">
        <f t="shared" si="7"/>
        <v>0</v>
      </c>
      <c r="Q32" s="1969">
        <f t="shared" si="7"/>
        <v>0</v>
      </c>
      <c r="R32" s="1969">
        <f t="shared" si="7"/>
        <v>0</v>
      </c>
      <c r="S32" s="1969">
        <f t="shared" si="7"/>
        <v>0</v>
      </c>
      <c r="T32" s="1969">
        <f t="shared" si="7"/>
        <v>0</v>
      </c>
      <c r="U32" s="1969">
        <f t="shared" si="7"/>
        <v>0</v>
      </c>
      <c r="V32" s="1969">
        <f t="shared" si="7"/>
        <v>0</v>
      </c>
      <c r="W32" s="1969">
        <f t="shared" si="7"/>
        <v>0</v>
      </c>
      <c r="X32" s="1969">
        <f t="shared" si="7"/>
        <v>0</v>
      </c>
      <c r="Y32" s="1969">
        <f t="shared" si="7"/>
        <v>0</v>
      </c>
      <c r="Z32" s="1969">
        <f t="shared" si="7"/>
        <v>0</v>
      </c>
      <c r="AA32" s="1969">
        <f t="shared" si="7"/>
        <v>0</v>
      </c>
      <c r="AB32" s="1973">
        <f t="shared" si="7"/>
        <v>0</v>
      </c>
      <c r="AC32" s="1427"/>
      <c r="AD32" s="1427"/>
      <c r="AE32" s="1427"/>
      <c r="AF32" s="1427"/>
    </row>
    <row r="33" spans="1:135" s="1960" customFormat="1" ht="25.5" customHeight="1">
      <c r="A33" s="1958"/>
      <c r="B33" s="1961" t="s">
        <v>1544</v>
      </c>
      <c r="C33" s="1975"/>
      <c r="D33" s="1962"/>
      <c r="E33" s="1962"/>
      <c r="F33" s="1962"/>
      <c r="G33" s="1962"/>
      <c r="H33" s="1962"/>
      <c r="I33" s="1962"/>
      <c r="J33" s="1962"/>
      <c r="K33" s="1962"/>
      <c r="L33" s="1962"/>
      <c r="M33" s="1962"/>
      <c r="N33" s="1962"/>
      <c r="O33" s="1962"/>
      <c r="P33" s="1962"/>
      <c r="Q33" s="1962"/>
      <c r="R33" s="1962"/>
      <c r="S33" s="1962"/>
      <c r="T33" s="1962"/>
      <c r="U33" s="1962"/>
      <c r="V33" s="1962"/>
      <c r="W33" s="1962"/>
      <c r="X33" s="1962"/>
      <c r="Y33" s="1962"/>
      <c r="Z33" s="1962"/>
      <c r="AA33" s="1962"/>
      <c r="AB33" s="1963"/>
      <c r="AC33" s="1959"/>
      <c r="AD33" s="1959"/>
      <c r="AE33" s="1959"/>
      <c r="AF33" s="1959"/>
      <c r="DF33" s="1959"/>
      <c r="DG33" s="1959"/>
      <c r="DH33" s="1959"/>
      <c r="DI33" s="1959"/>
      <c r="DJ33" s="1959"/>
      <c r="DK33" s="1959"/>
      <c r="DL33" s="1959"/>
      <c r="DM33" s="1959"/>
      <c r="DN33" s="1959"/>
      <c r="DO33" s="1959"/>
      <c r="DP33" s="1959"/>
      <c r="DQ33" s="1959"/>
      <c r="DR33" s="1959"/>
      <c r="DS33" s="1959"/>
      <c r="DT33" s="1959"/>
      <c r="DU33" s="1959"/>
      <c r="DV33" s="1959"/>
      <c r="DW33" s="1959"/>
      <c r="DX33" s="1959"/>
      <c r="DY33" s="1959"/>
      <c r="DZ33" s="1959"/>
      <c r="EA33" s="1959"/>
      <c r="EB33" s="1959"/>
      <c r="EC33" s="1959"/>
      <c r="ED33" s="1959"/>
      <c r="EE33" s="1959"/>
    </row>
    <row r="34" spans="1:135" s="94" customFormat="1">
      <c r="A34" s="308"/>
      <c r="B34" s="4163" t="s">
        <v>1502</v>
      </c>
      <c r="C34" s="1954" t="s">
        <v>756</v>
      </c>
      <c r="D34" s="517"/>
      <c r="E34" s="518">
        <f>D35</f>
        <v>0</v>
      </c>
      <c r="F34" s="518">
        <f t="shared" ref="F34" si="8">E35</f>
        <v>0</v>
      </c>
      <c r="G34" s="518">
        <f>E35</f>
        <v>0</v>
      </c>
      <c r="H34" s="519">
        <f>F35</f>
        <v>4</v>
      </c>
      <c r="I34" s="517">
        <f t="shared" ref="I34:AB34" si="9">H35</f>
        <v>4</v>
      </c>
      <c r="J34" s="518">
        <f t="shared" si="9"/>
        <v>4</v>
      </c>
      <c r="K34" s="518">
        <f t="shared" si="9"/>
        <v>4</v>
      </c>
      <c r="L34" s="518">
        <f t="shared" si="9"/>
        <v>4</v>
      </c>
      <c r="M34" s="519">
        <f t="shared" si="9"/>
        <v>4</v>
      </c>
      <c r="N34" s="571">
        <f t="shared" si="9"/>
        <v>4</v>
      </c>
      <c r="O34" s="518">
        <f t="shared" si="9"/>
        <v>4</v>
      </c>
      <c r="P34" s="518">
        <f t="shared" si="9"/>
        <v>4</v>
      </c>
      <c r="Q34" s="518">
        <f t="shared" si="9"/>
        <v>4</v>
      </c>
      <c r="R34" s="518">
        <f t="shared" si="9"/>
        <v>4</v>
      </c>
      <c r="S34" s="518">
        <f t="shared" si="9"/>
        <v>4</v>
      </c>
      <c r="T34" s="518">
        <f t="shared" si="9"/>
        <v>4</v>
      </c>
      <c r="U34" s="518">
        <f t="shared" si="9"/>
        <v>4</v>
      </c>
      <c r="V34" s="518">
        <f t="shared" si="9"/>
        <v>4</v>
      </c>
      <c r="W34" s="518">
        <f t="shared" si="9"/>
        <v>4</v>
      </c>
      <c r="X34" s="518">
        <f t="shared" si="9"/>
        <v>4</v>
      </c>
      <c r="Y34" s="518">
        <f t="shared" si="9"/>
        <v>4</v>
      </c>
      <c r="Z34" s="518">
        <f t="shared" si="9"/>
        <v>4</v>
      </c>
      <c r="AA34" s="518">
        <f t="shared" si="9"/>
        <v>4</v>
      </c>
      <c r="AB34" s="519">
        <f t="shared" si="9"/>
        <v>4</v>
      </c>
      <c r="AC34" s="1427"/>
      <c r="AD34" s="1427"/>
      <c r="AE34" s="1427"/>
      <c r="AF34" s="1427"/>
    </row>
    <row r="35" spans="1:135" s="94" customFormat="1">
      <c r="A35" s="308"/>
      <c r="B35" s="4164"/>
      <c r="C35" s="825" t="s">
        <v>757</v>
      </c>
      <c r="D35" s="514"/>
      <c r="E35" s="513">
        <v>0</v>
      </c>
      <c r="F35" s="513">
        <v>4</v>
      </c>
      <c r="G35" s="513">
        <f>+F35</f>
        <v>4</v>
      </c>
      <c r="H35" s="515">
        <f t="shared" ref="H35:AB35" si="10">+G35</f>
        <v>4</v>
      </c>
      <c r="I35" s="514">
        <f t="shared" si="10"/>
        <v>4</v>
      </c>
      <c r="J35" s="513">
        <f t="shared" si="10"/>
        <v>4</v>
      </c>
      <c r="K35" s="513">
        <f t="shared" si="10"/>
        <v>4</v>
      </c>
      <c r="L35" s="513">
        <f t="shared" si="10"/>
        <v>4</v>
      </c>
      <c r="M35" s="515">
        <f t="shared" si="10"/>
        <v>4</v>
      </c>
      <c r="N35" s="467">
        <f t="shared" si="10"/>
        <v>4</v>
      </c>
      <c r="O35" s="513">
        <f t="shared" si="10"/>
        <v>4</v>
      </c>
      <c r="P35" s="513">
        <f t="shared" si="10"/>
        <v>4</v>
      </c>
      <c r="Q35" s="513">
        <f t="shared" si="10"/>
        <v>4</v>
      </c>
      <c r="R35" s="513">
        <f t="shared" si="10"/>
        <v>4</v>
      </c>
      <c r="S35" s="513">
        <f t="shared" si="10"/>
        <v>4</v>
      </c>
      <c r="T35" s="513">
        <f t="shared" si="10"/>
        <v>4</v>
      </c>
      <c r="U35" s="513">
        <f t="shared" si="10"/>
        <v>4</v>
      </c>
      <c r="V35" s="513">
        <f t="shared" si="10"/>
        <v>4</v>
      </c>
      <c r="W35" s="513">
        <f t="shared" si="10"/>
        <v>4</v>
      </c>
      <c r="X35" s="513">
        <f t="shared" si="10"/>
        <v>4</v>
      </c>
      <c r="Y35" s="513">
        <f t="shared" si="10"/>
        <v>4</v>
      </c>
      <c r="Z35" s="513">
        <f t="shared" si="10"/>
        <v>4</v>
      </c>
      <c r="AA35" s="513">
        <f t="shared" si="10"/>
        <v>4</v>
      </c>
      <c r="AB35" s="515">
        <f t="shared" si="10"/>
        <v>4</v>
      </c>
      <c r="AC35" s="1427"/>
      <c r="AD35" s="1427"/>
      <c r="AE35" s="1427"/>
      <c r="AF35" s="1427"/>
    </row>
    <row r="36" spans="1:135" s="94" customFormat="1">
      <c r="A36" s="308"/>
      <c r="B36" s="4164"/>
      <c r="C36" s="825" t="s">
        <v>68</v>
      </c>
      <c r="D36" s="517">
        <f t="shared" ref="D36:AB36" si="11">IF(ISERROR(AVERAGE(D34:D35)),0,AVERAGE(D34:D35))</f>
        <v>0</v>
      </c>
      <c r="E36" s="518">
        <f t="shared" si="11"/>
        <v>0</v>
      </c>
      <c r="F36" s="518">
        <f t="shared" si="11"/>
        <v>2</v>
      </c>
      <c r="G36" s="518">
        <f t="shared" si="11"/>
        <v>2</v>
      </c>
      <c r="H36" s="519">
        <f t="shared" si="11"/>
        <v>4</v>
      </c>
      <c r="I36" s="517">
        <f t="shared" si="11"/>
        <v>4</v>
      </c>
      <c r="J36" s="518">
        <f t="shared" si="11"/>
        <v>4</v>
      </c>
      <c r="K36" s="518">
        <f t="shared" si="11"/>
        <v>4</v>
      </c>
      <c r="L36" s="518">
        <f t="shared" si="11"/>
        <v>4</v>
      </c>
      <c r="M36" s="519">
        <f t="shared" si="11"/>
        <v>4</v>
      </c>
      <c r="N36" s="571">
        <f t="shared" si="11"/>
        <v>4</v>
      </c>
      <c r="O36" s="518">
        <f t="shared" si="11"/>
        <v>4</v>
      </c>
      <c r="P36" s="518">
        <f t="shared" si="11"/>
        <v>4</v>
      </c>
      <c r="Q36" s="518">
        <f t="shared" si="11"/>
        <v>4</v>
      </c>
      <c r="R36" s="518">
        <f t="shared" si="11"/>
        <v>4</v>
      </c>
      <c r="S36" s="518">
        <f t="shared" si="11"/>
        <v>4</v>
      </c>
      <c r="T36" s="518">
        <f t="shared" si="11"/>
        <v>4</v>
      </c>
      <c r="U36" s="518">
        <f t="shared" si="11"/>
        <v>4</v>
      </c>
      <c r="V36" s="518">
        <f t="shared" si="11"/>
        <v>4</v>
      </c>
      <c r="W36" s="518">
        <f t="shared" si="11"/>
        <v>4</v>
      </c>
      <c r="X36" s="518">
        <f t="shared" si="11"/>
        <v>4</v>
      </c>
      <c r="Y36" s="518">
        <f t="shared" si="11"/>
        <v>4</v>
      </c>
      <c r="Z36" s="518">
        <f t="shared" si="11"/>
        <v>4</v>
      </c>
      <c r="AA36" s="518">
        <f t="shared" si="11"/>
        <v>4</v>
      </c>
      <c r="AB36" s="519">
        <f t="shared" si="11"/>
        <v>4</v>
      </c>
      <c r="AC36" s="1427"/>
      <c r="AD36" s="1427"/>
      <c r="AE36" s="1427"/>
      <c r="AF36" s="1427"/>
    </row>
    <row r="37" spans="1:135" s="94" customFormat="1">
      <c r="A37" s="308"/>
      <c r="B37" s="4164"/>
      <c r="C37" s="825" t="s">
        <v>69</v>
      </c>
      <c r="D37" s="514">
        <f>+D35-D34+D38</f>
        <v>0</v>
      </c>
      <c r="E37" s="513">
        <f t="shared" ref="E37:H37" si="12">+E35-E34+E38</f>
        <v>0</v>
      </c>
      <c r="F37" s="513">
        <f t="shared" si="12"/>
        <v>4</v>
      </c>
      <c r="G37" s="513">
        <f t="shared" si="12"/>
        <v>4</v>
      </c>
      <c r="H37" s="515">
        <f t="shared" si="12"/>
        <v>0</v>
      </c>
      <c r="I37" s="514">
        <f>+I35-I34+I38</f>
        <v>0</v>
      </c>
      <c r="J37" s="513">
        <f t="shared" ref="J37:AB37" si="13">+J35-J34+J38</f>
        <v>0</v>
      </c>
      <c r="K37" s="513">
        <f t="shared" si="13"/>
        <v>0</v>
      </c>
      <c r="L37" s="513">
        <f t="shared" si="13"/>
        <v>0</v>
      </c>
      <c r="M37" s="515">
        <f t="shared" si="13"/>
        <v>0</v>
      </c>
      <c r="N37" s="467">
        <f t="shared" si="13"/>
        <v>0</v>
      </c>
      <c r="O37" s="513">
        <f t="shared" si="13"/>
        <v>0</v>
      </c>
      <c r="P37" s="513">
        <f t="shared" si="13"/>
        <v>0</v>
      </c>
      <c r="Q37" s="513">
        <f t="shared" si="13"/>
        <v>0</v>
      </c>
      <c r="R37" s="513">
        <f t="shared" si="13"/>
        <v>0</v>
      </c>
      <c r="S37" s="513">
        <f t="shared" si="13"/>
        <v>0</v>
      </c>
      <c r="T37" s="513">
        <f t="shared" si="13"/>
        <v>0</v>
      </c>
      <c r="U37" s="513">
        <f t="shared" si="13"/>
        <v>0</v>
      </c>
      <c r="V37" s="513">
        <f t="shared" si="13"/>
        <v>0</v>
      </c>
      <c r="W37" s="513">
        <f t="shared" si="13"/>
        <v>0</v>
      </c>
      <c r="X37" s="513">
        <f t="shared" si="13"/>
        <v>0</v>
      </c>
      <c r="Y37" s="513">
        <f t="shared" si="13"/>
        <v>0</v>
      </c>
      <c r="Z37" s="513">
        <f t="shared" si="13"/>
        <v>0</v>
      </c>
      <c r="AA37" s="513">
        <f t="shared" si="13"/>
        <v>0</v>
      </c>
      <c r="AB37" s="515">
        <f t="shared" si="13"/>
        <v>0</v>
      </c>
      <c r="AC37" s="1427"/>
      <c r="AD37" s="1427"/>
      <c r="AE37" s="1427"/>
      <c r="AF37" s="1427"/>
    </row>
    <row r="38" spans="1:135" s="94" customFormat="1" ht="13.5" thickBot="1">
      <c r="A38" s="308"/>
      <c r="B38" s="4165"/>
      <c r="C38" s="1957" t="s">
        <v>58</v>
      </c>
      <c r="D38" s="1792">
        <v>0</v>
      </c>
      <c r="E38" s="465">
        <v>0</v>
      </c>
      <c r="F38" s="465">
        <v>0</v>
      </c>
      <c r="G38" s="465">
        <v>0</v>
      </c>
      <c r="H38" s="643">
        <v>0</v>
      </c>
      <c r="I38" s="1792">
        <v>0</v>
      </c>
      <c r="J38" s="465">
        <v>0</v>
      </c>
      <c r="K38" s="465">
        <v>0</v>
      </c>
      <c r="L38" s="465">
        <v>0</v>
      </c>
      <c r="M38" s="643">
        <v>0</v>
      </c>
      <c r="N38" s="1790">
        <v>0</v>
      </c>
      <c r="O38" s="465">
        <v>0</v>
      </c>
      <c r="P38" s="465">
        <v>0</v>
      </c>
      <c r="Q38" s="465">
        <v>0</v>
      </c>
      <c r="R38" s="465">
        <v>0</v>
      </c>
      <c r="S38" s="465">
        <v>0</v>
      </c>
      <c r="T38" s="465">
        <v>0</v>
      </c>
      <c r="U38" s="465">
        <v>0</v>
      </c>
      <c r="V38" s="465">
        <v>0</v>
      </c>
      <c r="W38" s="465">
        <v>0</v>
      </c>
      <c r="X38" s="465">
        <v>0</v>
      </c>
      <c r="Y38" s="465">
        <v>0</v>
      </c>
      <c r="Z38" s="465">
        <v>0</v>
      </c>
      <c r="AA38" s="465">
        <v>0</v>
      </c>
      <c r="AB38" s="643">
        <v>0</v>
      </c>
      <c r="AC38" s="1427"/>
      <c r="AD38" s="1427"/>
      <c r="AE38" s="1427"/>
      <c r="AF38" s="1427"/>
    </row>
    <row r="39" spans="1:135" s="94" customFormat="1">
      <c r="A39" s="308"/>
      <c r="B39" s="4166" t="s">
        <v>63</v>
      </c>
      <c r="C39" s="1964" t="s">
        <v>756</v>
      </c>
      <c r="D39" s="533">
        <f>+D34</f>
        <v>0</v>
      </c>
      <c r="E39" s="534">
        <f t="shared" ref="E39:AB39" si="14">+E34</f>
        <v>0</v>
      </c>
      <c r="F39" s="534">
        <f t="shared" si="14"/>
        <v>0</v>
      </c>
      <c r="G39" s="534">
        <f t="shared" si="14"/>
        <v>0</v>
      </c>
      <c r="H39" s="1464">
        <f t="shared" si="14"/>
        <v>4</v>
      </c>
      <c r="I39" s="533">
        <f t="shared" si="14"/>
        <v>4</v>
      </c>
      <c r="J39" s="534">
        <f t="shared" si="14"/>
        <v>4</v>
      </c>
      <c r="K39" s="534">
        <f t="shared" si="14"/>
        <v>4</v>
      </c>
      <c r="L39" s="534">
        <f t="shared" si="14"/>
        <v>4</v>
      </c>
      <c r="M39" s="479">
        <f t="shared" si="14"/>
        <v>4</v>
      </c>
      <c r="N39" s="1286">
        <f t="shared" si="14"/>
        <v>4</v>
      </c>
      <c r="O39" s="534">
        <f t="shared" si="14"/>
        <v>4</v>
      </c>
      <c r="P39" s="534">
        <f t="shared" si="14"/>
        <v>4</v>
      </c>
      <c r="Q39" s="534">
        <f t="shared" si="14"/>
        <v>4</v>
      </c>
      <c r="R39" s="534">
        <f t="shared" si="14"/>
        <v>4</v>
      </c>
      <c r="S39" s="534">
        <f t="shared" si="14"/>
        <v>4</v>
      </c>
      <c r="T39" s="534">
        <f t="shared" si="14"/>
        <v>4</v>
      </c>
      <c r="U39" s="534">
        <f t="shared" si="14"/>
        <v>4</v>
      </c>
      <c r="V39" s="534">
        <f t="shared" si="14"/>
        <v>4</v>
      </c>
      <c r="W39" s="534">
        <f t="shared" si="14"/>
        <v>4</v>
      </c>
      <c r="X39" s="534">
        <f t="shared" si="14"/>
        <v>4</v>
      </c>
      <c r="Y39" s="534">
        <f t="shared" si="14"/>
        <v>4</v>
      </c>
      <c r="Z39" s="534">
        <f t="shared" si="14"/>
        <v>4</v>
      </c>
      <c r="AA39" s="534">
        <f t="shared" si="14"/>
        <v>4</v>
      </c>
      <c r="AB39" s="1966">
        <f t="shared" si="14"/>
        <v>4</v>
      </c>
      <c r="AC39" s="1427"/>
      <c r="AD39" s="1427"/>
      <c r="AE39" s="1427"/>
      <c r="AF39" s="1427"/>
    </row>
    <row r="40" spans="1:135" s="94" customFormat="1">
      <c r="A40" s="308"/>
      <c r="B40" s="4167"/>
      <c r="C40" s="1964" t="s">
        <v>757</v>
      </c>
      <c r="D40" s="533">
        <f t="shared" ref="D40:AB43" si="15">+D35</f>
        <v>0</v>
      </c>
      <c r="E40" s="534">
        <f t="shared" si="15"/>
        <v>0</v>
      </c>
      <c r="F40" s="534">
        <f t="shared" si="15"/>
        <v>4</v>
      </c>
      <c r="G40" s="534">
        <f t="shared" si="15"/>
        <v>4</v>
      </c>
      <c r="H40" s="1464">
        <f t="shared" si="15"/>
        <v>4</v>
      </c>
      <c r="I40" s="533">
        <f t="shared" si="15"/>
        <v>4</v>
      </c>
      <c r="J40" s="534">
        <f t="shared" si="15"/>
        <v>4</v>
      </c>
      <c r="K40" s="534">
        <f t="shared" si="15"/>
        <v>4</v>
      </c>
      <c r="L40" s="534">
        <f t="shared" si="15"/>
        <v>4</v>
      </c>
      <c r="M40" s="479">
        <f t="shared" si="15"/>
        <v>4</v>
      </c>
      <c r="N40" s="1286">
        <f t="shared" si="15"/>
        <v>4</v>
      </c>
      <c r="O40" s="534">
        <f t="shared" si="15"/>
        <v>4</v>
      </c>
      <c r="P40" s="534">
        <f t="shared" si="15"/>
        <v>4</v>
      </c>
      <c r="Q40" s="534">
        <f t="shared" si="15"/>
        <v>4</v>
      </c>
      <c r="R40" s="534">
        <f t="shared" si="15"/>
        <v>4</v>
      </c>
      <c r="S40" s="534">
        <f t="shared" si="15"/>
        <v>4</v>
      </c>
      <c r="T40" s="534">
        <f t="shared" si="15"/>
        <v>4</v>
      </c>
      <c r="U40" s="534">
        <f t="shared" si="15"/>
        <v>4</v>
      </c>
      <c r="V40" s="534">
        <f t="shared" si="15"/>
        <v>4</v>
      </c>
      <c r="W40" s="534">
        <f t="shared" si="15"/>
        <v>4</v>
      </c>
      <c r="X40" s="534">
        <f t="shared" si="15"/>
        <v>4</v>
      </c>
      <c r="Y40" s="534">
        <f t="shared" si="15"/>
        <v>4</v>
      </c>
      <c r="Z40" s="534">
        <f t="shared" si="15"/>
        <v>4</v>
      </c>
      <c r="AA40" s="534">
        <f t="shared" si="15"/>
        <v>4</v>
      </c>
      <c r="AB40" s="1966">
        <f t="shared" si="15"/>
        <v>4</v>
      </c>
      <c r="AC40" s="1427"/>
      <c r="AD40" s="1427"/>
      <c r="AE40" s="1427"/>
      <c r="AF40" s="1427"/>
    </row>
    <row r="41" spans="1:135" s="94" customFormat="1">
      <c r="A41" s="308"/>
      <c r="B41" s="4167"/>
      <c r="C41" s="1965" t="s">
        <v>68</v>
      </c>
      <c r="D41" s="533">
        <f t="shared" si="15"/>
        <v>0</v>
      </c>
      <c r="E41" s="534">
        <f t="shared" si="15"/>
        <v>0</v>
      </c>
      <c r="F41" s="534">
        <f t="shared" si="15"/>
        <v>2</v>
      </c>
      <c r="G41" s="534">
        <f t="shared" si="15"/>
        <v>2</v>
      </c>
      <c r="H41" s="1464">
        <f t="shared" si="15"/>
        <v>4</v>
      </c>
      <c r="I41" s="533">
        <f t="shared" si="15"/>
        <v>4</v>
      </c>
      <c r="J41" s="534">
        <f t="shared" si="15"/>
        <v>4</v>
      </c>
      <c r="K41" s="534">
        <f t="shared" si="15"/>
        <v>4</v>
      </c>
      <c r="L41" s="534">
        <f t="shared" si="15"/>
        <v>4</v>
      </c>
      <c r="M41" s="479">
        <f t="shared" si="15"/>
        <v>4</v>
      </c>
      <c r="N41" s="1286">
        <f t="shared" si="15"/>
        <v>4</v>
      </c>
      <c r="O41" s="534">
        <f t="shared" si="15"/>
        <v>4</v>
      </c>
      <c r="P41" s="534">
        <f t="shared" si="15"/>
        <v>4</v>
      </c>
      <c r="Q41" s="534">
        <f t="shared" si="15"/>
        <v>4</v>
      </c>
      <c r="R41" s="534">
        <f t="shared" si="15"/>
        <v>4</v>
      </c>
      <c r="S41" s="534">
        <f t="shared" si="15"/>
        <v>4</v>
      </c>
      <c r="T41" s="534">
        <f t="shared" si="15"/>
        <v>4</v>
      </c>
      <c r="U41" s="534">
        <f t="shared" si="15"/>
        <v>4</v>
      </c>
      <c r="V41" s="534">
        <f t="shared" si="15"/>
        <v>4</v>
      </c>
      <c r="W41" s="534">
        <f t="shared" si="15"/>
        <v>4</v>
      </c>
      <c r="X41" s="534">
        <f t="shared" si="15"/>
        <v>4</v>
      </c>
      <c r="Y41" s="534">
        <f t="shared" si="15"/>
        <v>4</v>
      </c>
      <c r="Z41" s="534">
        <f t="shared" si="15"/>
        <v>4</v>
      </c>
      <c r="AA41" s="534">
        <f t="shared" si="15"/>
        <v>4</v>
      </c>
      <c r="AB41" s="1966">
        <f t="shared" si="15"/>
        <v>4</v>
      </c>
      <c r="AC41" s="1427"/>
      <c r="AD41" s="1427"/>
      <c r="AE41" s="1427"/>
      <c r="AF41" s="1427"/>
    </row>
    <row r="42" spans="1:135" s="94" customFormat="1">
      <c r="A42" s="308"/>
      <c r="B42" s="4167"/>
      <c r="C42" s="1965" t="s">
        <v>69</v>
      </c>
      <c r="D42" s="533">
        <f t="shared" si="15"/>
        <v>0</v>
      </c>
      <c r="E42" s="534">
        <f t="shared" si="15"/>
        <v>0</v>
      </c>
      <c r="F42" s="534">
        <f t="shared" si="15"/>
        <v>4</v>
      </c>
      <c r="G42" s="534">
        <f t="shared" si="15"/>
        <v>4</v>
      </c>
      <c r="H42" s="1464">
        <f t="shared" si="15"/>
        <v>0</v>
      </c>
      <c r="I42" s="533">
        <f t="shared" si="15"/>
        <v>0</v>
      </c>
      <c r="J42" s="534">
        <f t="shared" si="15"/>
        <v>0</v>
      </c>
      <c r="K42" s="534">
        <f t="shared" si="15"/>
        <v>0</v>
      </c>
      <c r="L42" s="534">
        <f t="shared" si="15"/>
        <v>0</v>
      </c>
      <c r="M42" s="479">
        <f t="shared" si="15"/>
        <v>0</v>
      </c>
      <c r="N42" s="1286">
        <f t="shared" si="15"/>
        <v>0</v>
      </c>
      <c r="O42" s="534">
        <f t="shared" si="15"/>
        <v>0</v>
      </c>
      <c r="P42" s="534">
        <f t="shared" si="15"/>
        <v>0</v>
      </c>
      <c r="Q42" s="534">
        <f t="shared" si="15"/>
        <v>0</v>
      </c>
      <c r="R42" s="534">
        <f t="shared" si="15"/>
        <v>0</v>
      </c>
      <c r="S42" s="534">
        <f t="shared" si="15"/>
        <v>0</v>
      </c>
      <c r="T42" s="534">
        <f t="shared" si="15"/>
        <v>0</v>
      </c>
      <c r="U42" s="534">
        <f t="shared" si="15"/>
        <v>0</v>
      </c>
      <c r="V42" s="534">
        <f t="shared" si="15"/>
        <v>0</v>
      </c>
      <c r="W42" s="534">
        <f t="shared" si="15"/>
        <v>0</v>
      </c>
      <c r="X42" s="534">
        <f t="shared" si="15"/>
        <v>0</v>
      </c>
      <c r="Y42" s="534">
        <f t="shared" si="15"/>
        <v>0</v>
      </c>
      <c r="Z42" s="534">
        <f t="shared" si="15"/>
        <v>0</v>
      </c>
      <c r="AA42" s="534">
        <f t="shared" si="15"/>
        <v>0</v>
      </c>
      <c r="AB42" s="1966">
        <f t="shared" si="15"/>
        <v>0</v>
      </c>
      <c r="AC42" s="1427"/>
      <c r="AD42" s="1427"/>
      <c r="AE42" s="1427"/>
      <c r="AF42" s="1427"/>
    </row>
    <row r="43" spans="1:135" s="94" customFormat="1" ht="13.5" thickBot="1">
      <c r="A43" s="308"/>
      <c r="B43" s="4168"/>
      <c r="C43" s="1967" t="s">
        <v>58</v>
      </c>
      <c r="D43" s="533">
        <f t="shared" si="15"/>
        <v>0</v>
      </c>
      <c r="E43" s="1969">
        <f t="shared" si="15"/>
        <v>0</v>
      </c>
      <c r="F43" s="1969">
        <f t="shared" si="15"/>
        <v>0</v>
      </c>
      <c r="G43" s="1969">
        <f t="shared" si="15"/>
        <v>0</v>
      </c>
      <c r="H43" s="1970">
        <f t="shared" si="15"/>
        <v>0</v>
      </c>
      <c r="I43" s="3441">
        <f t="shared" si="15"/>
        <v>0</v>
      </c>
      <c r="J43" s="1969">
        <f t="shared" si="15"/>
        <v>0</v>
      </c>
      <c r="K43" s="1969">
        <f t="shared" si="15"/>
        <v>0</v>
      </c>
      <c r="L43" s="1969">
        <f t="shared" si="15"/>
        <v>0</v>
      </c>
      <c r="M43" s="1971">
        <f t="shared" si="15"/>
        <v>0</v>
      </c>
      <c r="N43" s="1972">
        <f t="shared" si="15"/>
        <v>0</v>
      </c>
      <c r="O43" s="1969">
        <f t="shared" si="15"/>
        <v>0</v>
      </c>
      <c r="P43" s="1969">
        <f t="shared" si="15"/>
        <v>0</v>
      </c>
      <c r="Q43" s="1969">
        <f t="shared" si="15"/>
        <v>0</v>
      </c>
      <c r="R43" s="1969">
        <f t="shared" si="15"/>
        <v>0</v>
      </c>
      <c r="S43" s="1969">
        <f t="shared" si="15"/>
        <v>0</v>
      </c>
      <c r="T43" s="1969">
        <f t="shared" si="15"/>
        <v>0</v>
      </c>
      <c r="U43" s="1969">
        <f t="shared" si="15"/>
        <v>0</v>
      </c>
      <c r="V43" s="1969">
        <f t="shared" si="15"/>
        <v>0</v>
      </c>
      <c r="W43" s="1969">
        <f t="shared" si="15"/>
        <v>0</v>
      </c>
      <c r="X43" s="1969">
        <f t="shared" si="15"/>
        <v>0</v>
      </c>
      <c r="Y43" s="1969">
        <f t="shared" si="15"/>
        <v>0</v>
      </c>
      <c r="Z43" s="1969">
        <f t="shared" si="15"/>
        <v>0</v>
      </c>
      <c r="AA43" s="1969">
        <f t="shared" si="15"/>
        <v>0</v>
      </c>
      <c r="AB43" s="1973">
        <f t="shared" si="15"/>
        <v>0</v>
      </c>
      <c r="AC43" s="1427"/>
      <c r="AD43" s="1427"/>
      <c r="AE43" s="1427"/>
      <c r="AF43" s="1427"/>
    </row>
    <row r="44" spans="1:135" ht="47.25" customHeight="1" thickBot="1">
      <c r="D44" s="529"/>
      <c r="E44" s="529"/>
      <c r="F44" s="529"/>
      <c r="G44" s="529"/>
      <c r="H44" s="529"/>
      <c r="I44" s="529"/>
      <c r="J44" s="529"/>
      <c r="K44" s="529"/>
      <c r="L44" s="529"/>
      <c r="M44" s="529"/>
      <c r="N44" s="529"/>
      <c r="O44" s="529"/>
      <c r="P44" s="529"/>
      <c r="Q44" s="529"/>
      <c r="R44" s="529"/>
      <c r="S44" s="529"/>
      <c r="T44" s="529"/>
      <c r="U44" s="529"/>
      <c r="V44" s="529"/>
      <c r="W44" s="529"/>
      <c r="X44" s="529"/>
      <c r="Y44" s="529"/>
      <c r="Z44" s="529"/>
      <c r="AA44" s="529"/>
      <c r="AB44" s="529"/>
    </row>
    <row r="45" spans="1:135" s="94" customFormat="1" ht="18.75" customHeight="1" thickBot="1">
      <c r="A45" s="308"/>
      <c r="B45" s="1607" t="s">
        <v>1545</v>
      </c>
      <c r="C45" s="1605"/>
      <c r="D45" s="1605"/>
      <c r="E45" s="1605"/>
      <c r="F45" s="1605"/>
      <c r="G45" s="1605"/>
      <c r="H45" s="1605"/>
      <c r="I45" s="1605"/>
      <c r="J45" s="1605"/>
      <c r="K45" s="1605"/>
      <c r="L45" s="1605"/>
      <c r="M45" s="1605"/>
      <c r="N45" s="1605"/>
      <c r="O45" s="1605"/>
      <c r="P45" s="1605"/>
      <c r="Q45" s="1605"/>
      <c r="R45" s="1605"/>
      <c r="S45" s="1605"/>
      <c r="T45" s="1605"/>
      <c r="U45" s="1605"/>
      <c r="V45" s="1605"/>
      <c r="W45" s="1605"/>
      <c r="X45" s="1605"/>
      <c r="Y45" s="1605"/>
      <c r="Z45" s="1605"/>
      <c r="AA45" s="1605"/>
      <c r="AB45" s="1606"/>
      <c r="AC45" s="1427"/>
      <c r="AD45" s="1427"/>
      <c r="AE45" s="1427"/>
      <c r="AF45" s="1427"/>
      <c r="DF45" s="1427"/>
      <c r="DG45" s="1427"/>
      <c r="DH45" s="1427"/>
      <c r="DI45" s="1427"/>
      <c r="DJ45" s="1427"/>
      <c r="DK45" s="1427"/>
      <c r="DL45" s="1427"/>
      <c r="DM45" s="1427"/>
      <c r="DN45" s="1427"/>
      <c r="DO45" s="1427"/>
      <c r="DP45" s="1427"/>
      <c r="DQ45" s="1427"/>
      <c r="DR45" s="1427"/>
      <c r="DS45" s="1427"/>
      <c r="DT45" s="1427"/>
      <c r="DU45" s="1427"/>
      <c r="DV45" s="1427"/>
      <c r="DW45" s="1427"/>
      <c r="DX45" s="1427"/>
      <c r="DY45" s="1427"/>
      <c r="DZ45" s="1427"/>
      <c r="EA45" s="1427"/>
      <c r="EB45" s="1427"/>
      <c r="EC45" s="1427"/>
      <c r="ED45" s="1427"/>
      <c r="EE45" s="1427"/>
    </row>
    <row r="46" spans="1:135" s="94" customFormat="1">
      <c r="A46" s="308"/>
      <c r="B46" s="3749" t="s">
        <v>756</v>
      </c>
      <c r="C46" s="3750"/>
      <c r="D46" s="881"/>
      <c r="E46" s="518">
        <f>D47</f>
        <v>0</v>
      </c>
      <c r="F46" s="518">
        <f t="shared" ref="F46:AB46" si="16">E47</f>
        <v>0</v>
      </c>
      <c r="G46" s="518">
        <f>E47</f>
        <v>0</v>
      </c>
      <c r="H46" s="518">
        <f>F47</f>
        <v>0</v>
      </c>
      <c r="I46" s="518">
        <f t="shared" si="16"/>
        <v>0</v>
      </c>
      <c r="J46" s="518">
        <f t="shared" si="16"/>
        <v>0</v>
      </c>
      <c r="K46" s="518">
        <f t="shared" si="16"/>
        <v>0</v>
      </c>
      <c r="L46" s="518">
        <f t="shared" si="16"/>
        <v>0</v>
      </c>
      <c r="M46" s="519">
        <f t="shared" si="16"/>
        <v>0</v>
      </c>
      <c r="N46" s="571">
        <f t="shared" si="16"/>
        <v>0</v>
      </c>
      <c r="O46" s="518">
        <f t="shared" si="16"/>
        <v>0</v>
      </c>
      <c r="P46" s="518">
        <f t="shared" si="16"/>
        <v>0</v>
      </c>
      <c r="Q46" s="518">
        <f t="shared" si="16"/>
        <v>0</v>
      </c>
      <c r="R46" s="518">
        <f t="shared" si="16"/>
        <v>0</v>
      </c>
      <c r="S46" s="518">
        <f t="shared" si="16"/>
        <v>0</v>
      </c>
      <c r="T46" s="518">
        <f t="shared" si="16"/>
        <v>0</v>
      </c>
      <c r="U46" s="518">
        <f t="shared" si="16"/>
        <v>0</v>
      </c>
      <c r="V46" s="518">
        <f t="shared" si="16"/>
        <v>0</v>
      </c>
      <c r="W46" s="518">
        <f t="shared" si="16"/>
        <v>0</v>
      </c>
      <c r="X46" s="518">
        <f t="shared" si="16"/>
        <v>0</v>
      </c>
      <c r="Y46" s="518">
        <f t="shared" si="16"/>
        <v>0</v>
      </c>
      <c r="Z46" s="518">
        <f t="shared" si="16"/>
        <v>0</v>
      </c>
      <c r="AA46" s="518">
        <f t="shared" si="16"/>
        <v>0</v>
      </c>
      <c r="AB46" s="519">
        <f t="shared" si="16"/>
        <v>0</v>
      </c>
      <c r="AC46" s="1427"/>
      <c r="AD46" s="1427"/>
      <c r="AE46" s="1427"/>
      <c r="AF46" s="1427"/>
    </row>
    <row r="47" spans="1:135" s="94" customFormat="1">
      <c r="A47" s="308"/>
      <c r="B47" s="4171" t="s">
        <v>757</v>
      </c>
      <c r="C47" s="4172"/>
      <c r="D47" s="823"/>
      <c r="E47" s="780"/>
      <c r="F47" s="780"/>
      <c r="G47" s="780"/>
      <c r="H47" s="780"/>
      <c r="I47" s="823"/>
      <c r="J47" s="780"/>
      <c r="K47" s="780"/>
      <c r="L47" s="780"/>
      <c r="M47" s="884"/>
      <c r="N47" s="880"/>
      <c r="O47" s="780"/>
      <c r="P47" s="780"/>
      <c r="Q47" s="780"/>
      <c r="R47" s="780"/>
      <c r="S47" s="780"/>
      <c r="T47" s="780"/>
      <c r="U47" s="780"/>
      <c r="V47" s="780"/>
      <c r="W47" s="780"/>
      <c r="X47" s="780"/>
      <c r="Y47" s="780"/>
      <c r="Z47" s="780"/>
      <c r="AA47" s="780"/>
      <c r="AB47" s="884"/>
      <c r="AC47" s="1427"/>
      <c r="AD47" s="1427"/>
      <c r="AE47" s="1427"/>
      <c r="AF47" s="1427"/>
    </row>
    <row r="48" spans="1:135" s="94" customFormat="1">
      <c r="A48" s="308"/>
      <c r="B48" s="4171" t="s">
        <v>68</v>
      </c>
      <c r="C48" s="4172"/>
      <c r="D48" s="517">
        <f t="shared" ref="D48:AB48" si="17">IF(ISERROR(AVERAGE(D46:D47)),0,AVERAGE(D46:D47))</f>
        <v>0</v>
      </c>
      <c r="E48" s="518">
        <f t="shared" si="17"/>
        <v>0</v>
      </c>
      <c r="F48" s="518">
        <f t="shared" si="17"/>
        <v>0</v>
      </c>
      <c r="G48" s="518">
        <f t="shared" si="17"/>
        <v>0</v>
      </c>
      <c r="H48" s="518">
        <f t="shared" si="17"/>
        <v>0</v>
      </c>
      <c r="I48" s="517">
        <f t="shared" si="17"/>
        <v>0</v>
      </c>
      <c r="J48" s="518">
        <f t="shared" si="17"/>
        <v>0</v>
      </c>
      <c r="K48" s="518">
        <f t="shared" si="17"/>
        <v>0</v>
      </c>
      <c r="L48" s="518">
        <f t="shared" si="17"/>
        <v>0</v>
      </c>
      <c r="M48" s="519">
        <f t="shared" si="17"/>
        <v>0</v>
      </c>
      <c r="N48" s="571">
        <f t="shared" si="17"/>
        <v>0</v>
      </c>
      <c r="O48" s="518">
        <f t="shared" si="17"/>
        <v>0</v>
      </c>
      <c r="P48" s="518">
        <f t="shared" si="17"/>
        <v>0</v>
      </c>
      <c r="Q48" s="518">
        <f t="shared" si="17"/>
        <v>0</v>
      </c>
      <c r="R48" s="518">
        <f t="shared" si="17"/>
        <v>0</v>
      </c>
      <c r="S48" s="518">
        <f t="shared" si="17"/>
        <v>0</v>
      </c>
      <c r="T48" s="518">
        <f t="shared" si="17"/>
        <v>0</v>
      </c>
      <c r="U48" s="518">
        <f t="shared" si="17"/>
        <v>0</v>
      </c>
      <c r="V48" s="518">
        <f t="shared" si="17"/>
        <v>0</v>
      </c>
      <c r="W48" s="518">
        <f t="shared" si="17"/>
        <v>0</v>
      </c>
      <c r="X48" s="518">
        <f t="shared" si="17"/>
        <v>0</v>
      </c>
      <c r="Y48" s="518">
        <f t="shared" si="17"/>
        <v>0</v>
      </c>
      <c r="Z48" s="518">
        <f t="shared" si="17"/>
        <v>0</v>
      </c>
      <c r="AA48" s="518">
        <f t="shared" si="17"/>
        <v>0</v>
      </c>
      <c r="AB48" s="519">
        <f t="shared" si="17"/>
        <v>0</v>
      </c>
      <c r="AC48" s="1427"/>
      <c r="AD48" s="1427"/>
      <c r="AE48" s="1427"/>
      <c r="AF48" s="1427"/>
    </row>
    <row r="49" spans="1:32" s="94" customFormat="1">
      <c r="A49" s="308"/>
      <c r="B49" s="4171" t="s">
        <v>69</v>
      </c>
      <c r="C49" s="4172"/>
      <c r="D49" s="823"/>
      <c r="E49" s="780"/>
      <c r="F49" s="780"/>
      <c r="G49" s="780"/>
      <c r="H49" s="780"/>
      <c r="I49" s="823"/>
      <c r="J49" s="780"/>
      <c r="K49" s="780"/>
      <c r="L49" s="780"/>
      <c r="M49" s="884"/>
      <c r="N49" s="880"/>
      <c r="O49" s="780"/>
      <c r="P49" s="780"/>
      <c r="Q49" s="780"/>
      <c r="R49" s="780"/>
      <c r="S49" s="780"/>
      <c r="T49" s="780"/>
      <c r="U49" s="780"/>
      <c r="V49" s="780"/>
      <c r="W49" s="780"/>
      <c r="X49" s="780"/>
      <c r="Y49" s="780"/>
      <c r="Z49" s="780"/>
      <c r="AA49" s="780"/>
      <c r="AB49" s="884"/>
      <c r="AC49" s="1427"/>
      <c r="AD49" s="1427"/>
      <c r="AE49" s="1427"/>
      <c r="AF49" s="1427"/>
    </row>
    <row r="50" spans="1:32" s="94" customFormat="1" ht="13.5" thickBot="1">
      <c r="A50" s="308"/>
      <c r="B50" s="4169" t="s">
        <v>58</v>
      </c>
      <c r="C50" s="4170"/>
      <c r="D50" s="885"/>
      <c r="E50" s="886"/>
      <c r="F50" s="886"/>
      <c r="G50" s="886"/>
      <c r="H50" s="886"/>
      <c r="I50" s="885"/>
      <c r="J50" s="886"/>
      <c r="K50" s="886"/>
      <c r="L50" s="886"/>
      <c r="M50" s="887"/>
      <c r="N50" s="889"/>
      <c r="O50" s="886"/>
      <c r="P50" s="886"/>
      <c r="Q50" s="886"/>
      <c r="R50" s="886"/>
      <c r="S50" s="886"/>
      <c r="T50" s="886"/>
      <c r="U50" s="886"/>
      <c r="V50" s="886"/>
      <c r="W50" s="886"/>
      <c r="X50" s="886"/>
      <c r="Y50" s="886"/>
      <c r="Z50" s="886"/>
      <c r="AA50" s="886"/>
      <c r="AB50" s="887"/>
      <c r="AC50" s="1427"/>
      <c r="AD50" s="1427"/>
      <c r="AE50" s="1427"/>
      <c r="AF50" s="1427"/>
    </row>
    <row r="51" spans="1:32" ht="44.25" customHeight="1" thickBot="1">
      <c r="A51" s="1429"/>
      <c r="B51" s="1858"/>
      <c r="C51" s="3395" t="s">
        <v>125</v>
      </c>
      <c r="D51" s="1413"/>
      <c r="E51" s="1414"/>
      <c r="F51" s="1414"/>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5"/>
    </row>
  </sheetData>
  <mergeCells count="20">
    <mergeCell ref="B23:B27"/>
    <mergeCell ref="B7:G7"/>
    <mergeCell ref="B8:G8"/>
    <mergeCell ref="B9:G9"/>
    <mergeCell ref="B10:G10"/>
    <mergeCell ref="B17:C20"/>
    <mergeCell ref="D17:H17"/>
    <mergeCell ref="I17:M17"/>
    <mergeCell ref="N17:AB17"/>
    <mergeCell ref="D18:AB18"/>
    <mergeCell ref="D19:F19"/>
    <mergeCell ref="G19:AB19"/>
    <mergeCell ref="B49:C49"/>
    <mergeCell ref="B50:C50"/>
    <mergeCell ref="B28:B32"/>
    <mergeCell ref="B34:B38"/>
    <mergeCell ref="B39:B43"/>
    <mergeCell ref="B46:C46"/>
    <mergeCell ref="B47:C47"/>
    <mergeCell ref="B48:C48"/>
  </mergeCells>
  <pageMargins left="0.75" right="0.75" top="1" bottom="1" header="0.5" footer="0.5"/>
  <pageSetup paperSize="9" orientation="portrait" r:id="rId1"/>
  <headerFooter alignWithMargins="0"/>
  <customProperties>
    <customPr name="_pios_id" r:id="rId2"/>
  </customProperties>
  <drawing r:id="rId3"/>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autoPageBreaks="0"/>
  </sheetPr>
  <dimension ref="A1:EE58"/>
  <sheetViews>
    <sheetView showGridLines="0" topLeftCell="F1" zoomScale="70" zoomScaleNormal="70" workbookViewId="0">
      <selection activeCell="C29" sqref="C29"/>
    </sheetView>
  </sheetViews>
  <sheetFormatPr defaultRowHeight="12.75"/>
  <cols>
    <col min="1" max="1" width="16.28515625" style="1427" bestFit="1" customWidth="1"/>
    <col min="2" max="2" width="41.7109375" style="150" customWidth="1"/>
    <col min="3" max="3" width="38" style="1427" customWidth="1"/>
    <col min="4" max="4" width="33.85546875" style="1427" bestFit="1" customWidth="1"/>
    <col min="5" max="28" width="15.7109375" style="1427" customWidth="1"/>
    <col min="29" max="29" width="13.85546875" style="1427" customWidth="1"/>
    <col min="30" max="254" width="9.140625" style="1427"/>
    <col min="255" max="255" width="16.28515625" style="1427" bestFit="1" customWidth="1"/>
    <col min="256" max="256" width="63.28515625" style="1427" customWidth="1"/>
    <col min="257" max="257" width="22" style="1427" customWidth="1"/>
    <col min="258" max="260" width="8" style="1427" bestFit="1" customWidth="1"/>
    <col min="261" max="261" width="13.85546875" style="1427" customWidth="1"/>
    <col min="262" max="262" width="17.28515625" style="1427" bestFit="1" customWidth="1"/>
    <col min="263" max="274" width="10.7109375" style="1427" bestFit="1" customWidth="1"/>
    <col min="275" max="510" width="9.140625" style="1427"/>
    <col min="511" max="511" width="16.28515625" style="1427" bestFit="1" customWidth="1"/>
    <col min="512" max="512" width="63.28515625" style="1427" customWidth="1"/>
    <col min="513" max="513" width="22" style="1427" customWidth="1"/>
    <col min="514" max="516" width="8" style="1427" bestFit="1" customWidth="1"/>
    <col min="517" max="517" width="13.85546875" style="1427" customWidth="1"/>
    <col min="518" max="518" width="17.28515625" style="1427" bestFit="1" customWidth="1"/>
    <col min="519" max="530" width="10.7109375" style="1427" bestFit="1" customWidth="1"/>
    <col min="531" max="766" width="9.140625" style="1427"/>
    <col min="767" max="767" width="16.28515625" style="1427" bestFit="1" customWidth="1"/>
    <col min="768" max="768" width="63.28515625" style="1427" customWidth="1"/>
    <col min="769" max="769" width="22" style="1427" customWidth="1"/>
    <col min="770" max="772" width="8" style="1427" bestFit="1" customWidth="1"/>
    <col min="773" max="773" width="13.85546875" style="1427" customWidth="1"/>
    <col min="774" max="774" width="17.28515625" style="1427" bestFit="1" customWidth="1"/>
    <col min="775" max="786" width="10.7109375" style="1427" bestFit="1" customWidth="1"/>
    <col min="787" max="1022" width="9.140625" style="1427"/>
    <col min="1023" max="1023" width="16.28515625" style="1427" bestFit="1" customWidth="1"/>
    <col min="1024" max="1024" width="63.28515625" style="1427" customWidth="1"/>
    <col min="1025" max="1025" width="22" style="1427" customWidth="1"/>
    <col min="1026" max="1028" width="8" style="1427" bestFit="1" customWidth="1"/>
    <col min="1029" max="1029" width="13.85546875" style="1427" customWidth="1"/>
    <col min="1030" max="1030" width="17.28515625" style="1427" bestFit="1" customWidth="1"/>
    <col min="1031" max="1042" width="10.7109375" style="1427" bestFit="1" customWidth="1"/>
    <col min="1043" max="1278" width="9.140625" style="1427"/>
    <col min="1279" max="1279" width="16.28515625" style="1427" bestFit="1" customWidth="1"/>
    <col min="1280" max="1280" width="63.28515625" style="1427" customWidth="1"/>
    <col min="1281" max="1281" width="22" style="1427" customWidth="1"/>
    <col min="1282" max="1284" width="8" style="1427" bestFit="1" customWidth="1"/>
    <col min="1285" max="1285" width="13.85546875" style="1427" customWidth="1"/>
    <col min="1286" max="1286" width="17.28515625" style="1427" bestFit="1" customWidth="1"/>
    <col min="1287" max="1298" width="10.7109375" style="1427" bestFit="1" customWidth="1"/>
    <col min="1299" max="1534" width="9.140625" style="1427"/>
    <col min="1535" max="1535" width="16.28515625" style="1427" bestFit="1" customWidth="1"/>
    <col min="1536" max="1536" width="63.28515625" style="1427" customWidth="1"/>
    <col min="1537" max="1537" width="22" style="1427" customWidth="1"/>
    <col min="1538" max="1540" width="8" style="1427" bestFit="1" customWidth="1"/>
    <col min="1541" max="1541" width="13.85546875" style="1427" customWidth="1"/>
    <col min="1542" max="1542" width="17.28515625" style="1427" bestFit="1" customWidth="1"/>
    <col min="1543" max="1554" width="10.7109375" style="1427" bestFit="1" customWidth="1"/>
    <col min="1555" max="1790" width="9.140625" style="1427"/>
    <col min="1791" max="1791" width="16.28515625" style="1427" bestFit="1" customWidth="1"/>
    <col min="1792" max="1792" width="63.28515625" style="1427" customWidth="1"/>
    <col min="1793" max="1793" width="22" style="1427" customWidth="1"/>
    <col min="1794" max="1796" width="8" style="1427" bestFit="1" customWidth="1"/>
    <col min="1797" max="1797" width="13.85546875" style="1427" customWidth="1"/>
    <col min="1798" max="1798" width="17.28515625" style="1427" bestFit="1" customWidth="1"/>
    <col min="1799" max="1810" width="10.7109375" style="1427" bestFit="1" customWidth="1"/>
    <col min="1811" max="2046" width="9.140625" style="1427"/>
    <col min="2047" max="2047" width="16.28515625" style="1427" bestFit="1" customWidth="1"/>
    <col min="2048" max="2048" width="63.28515625" style="1427" customWidth="1"/>
    <col min="2049" max="2049" width="22" style="1427" customWidth="1"/>
    <col min="2050" max="2052" width="8" style="1427" bestFit="1" customWidth="1"/>
    <col min="2053" max="2053" width="13.85546875" style="1427" customWidth="1"/>
    <col min="2054" max="2054" width="17.28515625" style="1427" bestFit="1" customWidth="1"/>
    <col min="2055" max="2066" width="10.7109375" style="1427" bestFit="1" customWidth="1"/>
    <col min="2067" max="2302" width="9.140625" style="1427"/>
    <col min="2303" max="2303" width="16.28515625" style="1427" bestFit="1" customWidth="1"/>
    <col min="2304" max="2304" width="63.28515625" style="1427" customWidth="1"/>
    <col min="2305" max="2305" width="22" style="1427" customWidth="1"/>
    <col min="2306" max="2308" width="8" style="1427" bestFit="1" customWidth="1"/>
    <col min="2309" max="2309" width="13.85546875" style="1427" customWidth="1"/>
    <col min="2310" max="2310" width="17.28515625" style="1427" bestFit="1" customWidth="1"/>
    <col min="2311" max="2322" width="10.7109375" style="1427" bestFit="1" customWidth="1"/>
    <col min="2323" max="2558" width="9.140625" style="1427"/>
    <col min="2559" max="2559" width="16.28515625" style="1427" bestFit="1" customWidth="1"/>
    <col min="2560" max="2560" width="63.28515625" style="1427" customWidth="1"/>
    <col min="2561" max="2561" width="22" style="1427" customWidth="1"/>
    <col min="2562" max="2564" width="8" style="1427" bestFit="1" customWidth="1"/>
    <col min="2565" max="2565" width="13.85546875" style="1427" customWidth="1"/>
    <col min="2566" max="2566" width="17.28515625" style="1427" bestFit="1" customWidth="1"/>
    <col min="2567" max="2578" width="10.7109375" style="1427" bestFit="1" customWidth="1"/>
    <col min="2579" max="2814" width="9.140625" style="1427"/>
    <col min="2815" max="2815" width="16.28515625" style="1427" bestFit="1" customWidth="1"/>
    <col min="2816" max="2816" width="63.28515625" style="1427" customWidth="1"/>
    <col min="2817" max="2817" width="22" style="1427" customWidth="1"/>
    <col min="2818" max="2820" width="8" style="1427" bestFit="1" customWidth="1"/>
    <col min="2821" max="2821" width="13.85546875" style="1427" customWidth="1"/>
    <col min="2822" max="2822" width="17.28515625" style="1427" bestFit="1" customWidth="1"/>
    <col min="2823" max="2834" width="10.7109375" style="1427" bestFit="1" customWidth="1"/>
    <col min="2835" max="3070" width="9.140625" style="1427"/>
    <col min="3071" max="3071" width="16.28515625" style="1427" bestFit="1" customWidth="1"/>
    <col min="3072" max="3072" width="63.28515625" style="1427" customWidth="1"/>
    <col min="3073" max="3073" width="22" style="1427" customWidth="1"/>
    <col min="3074" max="3076" width="8" style="1427" bestFit="1" customWidth="1"/>
    <col min="3077" max="3077" width="13.85546875" style="1427" customWidth="1"/>
    <col min="3078" max="3078" width="17.28515625" style="1427" bestFit="1" customWidth="1"/>
    <col min="3079" max="3090" width="10.7109375" style="1427" bestFit="1" customWidth="1"/>
    <col min="3091" max="3326" width="9.140625" style="1427"/>
    <col min="3327" max="3327" width="16.28515625" style="1427" bestFit="1" customWidth="1"/>
    <col min="3328" max="3328" width="63.28515625" style="1427" customWidth="1"/>
    <col min="3329" max="3329" width="22" style="1427" customWidth="1"/>
    <col min="3330" max="3332" width="8" style="1427" bestFit="1" customWidth="1"/>
    <col min="3333" max="3333" width="13.85546875" style="1427" customWidth="1"/>
    <col min="3334" max="3334" width="17.28515625" style="1427" bestFit="1" customWidth="1"/>
    <col min="3335" max="3346" width="10.7109375" style="1427" bestFit="1" customWidth="1"/>
    <col min="3347" max="3582" width="9.140625" style="1427"/>
    <col min="3583" max="3583" width="16.28515625" style="1427" bestFit="1" customWidth="1"/>
    <col min="3584" max="3584" width="63.28515625" style="1427" customWidth="1"/>
    <col min="3585" max="3585" width="22" style="1427" customWidth="1"/>
    <col min="3586" max="3588" width="8" style="1427" bestFit="1" customWidth="1"/>
    <col min="3589" max="3589" width="13.85546875" style="1427" customWidth="1"/>
    <col min="3590" max="3590" width="17.28515625" style="1427" bestFit="1" customWidth="1"/>
    <col min="3591" max="3602" width="10.7109375" style="1427" bestFit="1" customWidth="1"/>
    <col min="3603" max="3838" width="9.140625" style="1427"/>
    <col min="3839" max="3839" width="16.28515625" style="1427" bestFit="1" customWidth="1"/>
    <col min="3840" max="3840" width="63.28515625" style="1427" customWidth="1"/>
    <col min="3841" max="3841" width="22" style="1427" customWidth="1"/>
    <col min="3842" max="3844" width="8" style="1427" bestFit="1" customWidth="1"/>
    <col min="3845" max="3845" width="13.85546875" style="1427" customWidth="1"/>
    <col min="3846" max="3846" width="17.28515625" style="1427" bestFit="1" customWidth="1"/>
    <col min="3847" max="3858" width="10.7109375" style="1427" bestFit="1" customWidth="1"/>
    <col min="3859" max="4094" width="9.140625" style="1427"/>
    <col min="4095" max="4095" width="16.28515625" style="1427" bestFit="1" customWidth="1"/>
    <col min="4096" max="4096" width="63.28515625" style="1427" customWidth="1"/>
    <col min="4097" max="4097" width="22" style="1427" customWidth="1"/>
    <col min="4098" max="4100" width="8" style="1427" bestFit="1" customWidth="1"/>
    <col min="4101" max="4101" width="13.85546875" style="1427" customWidth="1"/>
    <col min="4102" max="4102" width="17.28515625" style="1427" bestFit="1" customWidth="1"/>
    <col min="4103" max="4114" width="10.7109375" style="1427" bestFit="1" customWidth="1"/>
    <col min="4115" max="4350" width="9.140625" style="1427"/>
    <col min="4351" max="4351" width="16.28515625" style="1427" bestFit="1" customWidth="1"/>
    <col min="4352" max="4352" width="63.28515625" style="1427" customWidth="1"/>
    <col min="4353" max="4353" width="22" style="1427" customWidth="1"/>
    <col min="4354" max="4356" width="8" style="1427" bestFit="1" customWidth="1"/>
    <col min="4357" max="4357" width="13.85546875" style="1427" customWidth="1"/>
    <col min="4358" max="4358" width="17.28515625" style="1427" bestFit="1" customWidth="1"/>
    <col min="4359" max="4370" width="10.7109375" style="1427" bestFit="1" customWidth="1"/>
    <col min="4371" max="4606" width="9.140625" style="1427"/>
    <col min="4607" max="4607" width="16.28515625" style="1427" bestFit="1" customWidth="1"/>
    <col min="4608" max="4608" width="63.28515625" style="1427" customWidth="1"/>
    <col min="4609" max="4609" width="22" style="1427" customWidth="1"/>
    <col min="4610" max="4612" width="8" style="1427" bestFit="1" customWidth="1"/>
    <col min="4613" max="4613" width="13.85546875" style="1427" customWidth="1"/>
    <col min="4614" max="4614" width="17.28515625" style="1427" bestFit="1" customWidth="1"/>
    <col min="4615" max="4626" width="10.7109375" style="1427" bestFit="1" customWidth="1"/>
    <col min="4627" max="4862" width="9.140625" style="1427"/>
    <col min="4863" max="4863" width="16.28515625" style="1427" bestFit="1" customWidth="1"/>
    <col min="4864" max="4864" width="63.28515625" style="1427" customWidth="1"/>
    <col min="4865" max="4865" width="22" style="1427" customWidth="1"/>
    <col min="4866" max="4868" width="8" style="1427" bestFit="1" customWidth="1"/>
    <col min="4869" max="4869" width="13.85546875" style="1427" customWidth="1"/>
    <col min="4870" max="4870" width="17.28515625" style="1427" bestFit="1" customWidth="1"/>
    <col min="4871" max="4882" width="10.7109375" style="1427" bestFit="1" customWidth="1"/>
    <col min="4883" max="5118" width="9.140625" style="1427"/>
    <col min="5119" max="5119" width="16.28515625" style="1427" bestFit="1" customWidth="1"/>
    <col min="5120" max="5120" width="63.28515625" style="1427" customWidth="1"/>
    <col min="5121" max="5121" width="22" style="1427" customWidth="1"/>
    <col min="5122" max="5124" width="8" style="1427" bestFit="1" customWidth="1"/>
    <col min="5125" max="5125" width="13.85546875" style="1427" customWidth="1"/>
    <col min="5126" max="5126" width="17.28515625" style="1427" bestFit="1" customWidth="1"/>
    <col min="5127" max="5138" width="10.7109375" style="1427" bestFit="1" customWidth="1"/>
    <col min="5139" max="5374" width="9.140625" style="1427"/>
    <col min="5375" max="5375" width="16.28515625" style="1427" bestFit="1" customWidth="1"/>
    <col min="5376" max="5376" width="63.28515625" style="1427" customWidth="1"/>
    <col min="5377" max="5377" width="22" style="1427" customWidth="1"/>
    <col min="5378" max="5380" width="8" style="1427" bestFit="1" customWidth="1"/>
    <col min="5381" max="5381" width="13.85546875" style="1427" customWidth="1"/>
    <col min="5382" max="5382" width="17.28515625" style="1427" bestFit="1" customWidth="1"/>
    <col min="5383" max="5394" width="10.7109375" style="1427" bestFit="1" customWidth="1"/>
    <col min="5395" max="5630" width="9.140625" style="1427"/>
    <col min="5631" max="5631" width="16.28515625" style="1427" bestFit="1" customWidth="1"/>
    <col min="5632" max="5632" width="63.28515625" style="1427" customWidth="1"/>
    <col min="5633" max="5633" width="22" style="1427" customWidth="1"/>
    <col min="5634" max="5636" width="8" style="1427" bestFit="1" customWidth="1"/>
    <col min="5637" max="5637" width="13.85546875" style="1427" customWidth="1"/>
    <col min="5638" max="5638" width="17.28515625" style="1427" bestFit="1" customWidth="1"/>
    <col min="5639" max="5650" width="10.7109375" style="1427" bestFit="1" customWidth="1"/>
    <col min="5651" max="5886" width="9.140625" style="1427"/>
    <col min="5887" max="5887" width="16.28515625" style="1427" bestFit="1" customWidth="1"/>
    <col min="5888" max="5888" width="63.28515625" style="1427" customWidth="1"/>
    <col min="5889" max="5889" width="22" style="1427" customWidth="1"/>
    <col min="5890" max="5892" width="8" style="1427" bestFit="1" customWidth="1"/>
    <col min="5893" max="5893" width="13.85546875" style="1427" customWidth="1"/>
    <col min="5894" max="5894" width="17.28515625" style="1427" bestFit="1" customWidth="1"/>
    <col min="5895" max="5906" width="10.7109375" style="1427" bestFit="1" customWidth="1"/>
    <col min="5907" max="6142" width="9.140625" style="1427"/>
    <col min="6143" max="6143" width="16.28515625" style="1427" bestFit="1" customWidth="1"/>
    <col min="6144" max="6144" width="63.28515625" style="1427" customWidth="1"/>
    <col min="6145" max="6145" width="22" style="1427" customWidth="1"/>
    <col min="6146" max="6148" width="8" style="1427" bestFit="1" customWidth="1"/>
    <col min="6149" max="6149" width="13.85546875" style="1427" customWidth="1"/>
    <col min="6150" max="6150" width="17.28515625" style="1427" bestFit="1" customWidth="1"/>
    <col min="6151" max="6162" width="10.7109375" style="1427" bestFit="1" customWidth="1"/>
    <col min="6163" max="6398" width="9.140625" style="1427"/>
    <col min="6399" max="6399" width="16.28515625" style="1427" bestFit="1" customWidth="1"/>
    <col min="6400" max="6400" width="63.28515625" style="1427" customWidth="1"/>
    <col min="6401" max="6401" width="22" style="1427" customWidth="1"/>
    <col min="6402" max="6404" width="8" style="1427" bestFit="1" customWidth="1"/>
    <col min="6405" max="6405" width="13.85546875" style="1427" customWidth="1"/>
    <col min="6406" max="6406" width="17.28515625" style="1427" bestFit="1" customWidth="1"/>
    <col min="6407" max="6418" width="10.7109375" style="1427" bestFit="1" customWidth="1"/>
    <col min="6419" max="6654" width="9.140625" style="1427"/>
    <col min="6655" max="6655" width="16.28515625" style="1427" bestFit="1" customWidth="1"/>
    <col min="6656" max="6656" width="63.28515625" style="1427" customWidth="1"/>
    <col min="6657" max="6657" width="22" style="1427" customWidth="1"/>
    <col min="6658" max="6660" width="8" style="1427" bestFit="1" customWidth="1"/>
    <col min="6661" max="6661" width="13.85546875" style="1427" customWidth="1"/>
    <col min="6662" max="6662" width="17.28515625" style="1427" bestFit="1" customWidth="1"/>
    <col min="6663" max="6674" width="10.7109375" style="1427" bestFit="1" customWidth="1"/>
    <col min="6675" max="6910" width="9.140625" style="1427"/>
    <col min="6911" max="6911" width="16.28515625" style="1427" bestFit="1" customWidth="1"/>
    <col min="6912" max="6912" width="63.28515625" style="1427" customWidth="1"/>
    <col min="6913" max="6913" width="22" style="1427" customWidth="1"/>
    <col min="6914" max="6916" width="8" style="1427" bestFit="1" customWidth="1"/>
    <col min="6917" max="6917" width="13.85546875" style="1427" customWidth="1"/>
    <col min="6918" max="6918" width="17.28515625" style="1427" bestFit="1" customWidth="1"/>
    <col min="6919" max="6930" width="10.7109375" style="1427" bestFit="1" customWidth="1"/>
    <col min="6931" max="7166" width="9.140625" style="1427"/>
    <col min="7167" max="7167" width="16.28515625" style="1427" bestFit="1" customWidth="1"/>
    <col min="7168" max="7168" width="63.28515625" style="1427" customWidth="1"/>
    <col min="7169" max="7169" width="22" style="1427" customWidth="1"/>
    <col min="7170" max="7172" width="8" style="1427" bestFit="1" customWidth="1"/>
    <col min="7173" max="7173" width="13.85546875" style="1427" customWidth="1"/>
    <col min="7174" max="7174" width="17.28515625" style="1427" bestFit="1" customWidth="1"/>
    <col min="7175" max="7186" width="10.7109375" style="1427" bestFit="1" customWidth="1"/>
    <col min="7187" max="7422" width="9.140625" style="1427"/>
    <col min="7423" max="7423" width="16.28515625" style="1427" bestFit="1" customWidth="1"/>
    <col min="7424" max="7424" width="63.28515625" style="1427" customWidth="1"/>
    <col min="7425" max="7425" width="22" style="1427" customWidth="1"/>
    <col min="7426" max="7428" width="8" style="1427" bestFit="1" customWidth="1"/>
    <col min="7429" max="7429" width="13.85546875" style="1427" customWidth="1"/>
    <col min="7430" max="7430" width="17.28515625" style="1427" bestFit="1" customWidth="1"/>
    <col min="7431" max="7442" width="10.7109375" style="1427" bestFit="1" customWidth="1"/>
    <col min="7443" max="7678" width="9.140625" style="1427"/>
    <col min="7679" max="7679" width="16.28515625" style="1427" bestFit="1" customWidth="1"/>
    <col min="7680" max="7680" width="63.28515625" style="1427" customWidth="1"/>
    <col min="7681" max="7681" width="22" style="1427" customWidth="1"/>
    <col min="7682" max="7684" width="8" style="1427" bestFit="1" customWidth="1"/>
    <col min="7685" max="7685" width="13.85546875" style="1427" customWidth="1"/>
    <col min="7686" max="7686" width="17.28515625" style="1427" bestFit="1" customWidth="1"/>
    <col min="7687" max="7698" width="10.7109375" style="1427" bestFit="1" customWidth="1"/>
    <col min="7699" max="7934" width="9.140625" style="1427"/>
    <col min="7935" max="7935" width="16.28515625" style="1427" bestFit="1" customWidth="1"/>
    <col min="7936" max="7936" width="63.28515625" style="1427" customWidth="1"/>
    <col min="7937" max="7937" width="22" style="1427" customWidth="1"/>
    <col min="7938" max="7940" width="8" style="1427" bestFit="1" customWidth="1"/>
    <col min="7941" max="7941" width="13.85546875" style="1427" customWidth="1"/>
    <col min="7942" max="7942" width="17.28515625" style="1427" bestFit="1" customWidth="1"/>
    <col min="7943" max="7954" width="10.7109375" style="1427" bestFit="1" customWidth="1"/>
    <col min="7955" max="8190" width="9.140625" style="1427"/>
    <col min="8191" max="8191" width="16.28515625" style="1427" bestFit="1" customWidth="1"/>
    <col min="8192" max="8192" width="63.28515625" style="1427" customWidth="1"/>
    <col min="8193" max="8193" width="22" style="1427" customWidth="1"/>
    <col min="8194" max="8196" width="8" style="1427" bestFit="1" customWidth="1"/>
    <col min="8197" max="8197" width="13.85546875" style="1427" customWidth="1"/>
    <col min="8198" max="8198" width="17.28515625" style="1427" bestFit="1" customWidth="1"/>
    <col min="8199" max="8210" width="10.7109375" style="1427" bestFit="1" customWidth="1"/>
    <col min="8211" max="8446" width="9.140625" style="1427"/>
    <col min="8447" max="8447" width="16.28515625" style="1427" bestFit="1" customWidth="1"/>
    <col min="8448" max="8448" width="63.28515625" style="1427" customWidth="1"/>
    <col min="8449" max="8449" width="22" style="1427" customWidth="1"/>
    <col min="8450" max="8452" width="8" style="1427" bestFit="1" customWidth="1"/>
    <col min="8453" max="8453" width="13.85546875" style="1427" customWidth="1"/>
    <col min="8454" max="8454" width="17.28515625" style="1427" bestFit="1" customWidth="1"/>
    <col min="8455" max="8466" width="10.7109375" style="1427" bestFit="1" customWidth="1"/>
    <col min="8467" max="8702" width="9.140625" style="1427"/>
    <col min="8703" max="8703" width="16.28515625" style="1427" bestFit="1" customWidth="1"/>
    <col min="8704" max="8704" width="63.28515625" style="1427" customWidth="1"/>
    <col min="8705" max="8705" width="22" style="1427" customWidth="1"/>
    <col min="8706" max="8708" width="8" style="1427" bestFit="1" customWidth="1"/>
    <col min="8709" max="8709" width="13.85546875" style="1427" customWidth="1"/>
    <col min="8710" max="8710" width="17.28515625" style="1427" bestFit="1" customWidth="1"/>
    <col min="8711" max="8722" width="10.7109375" style="1427" bestFit="1" customWidth="1"/>
    <col min="8723" max="8958" width="9.140625" style="1427"/>
    <col min="8959" max="8959" width="16.28515625" style="1427" bestFit="1" customWidth="1"/>
    <col min="8960" max="8960" width="63.28515625" style="1427" customWidth="1"/>
    <col min="8961" max="8961" width="22" style="1427" customWidth="1"/>
    <col min="8962" max="8964" width="8" style="1427" bestFit="1" customWidth="1"/>
    <col min="8965" max="8965" width="13.85546875" style="1427" customWidth="1"/>
    <col min="8966" max="8966" width="17.28515625" style="1427" bestFit="1" customWidth="1"/>
    <col min="8967" max="8978" width="10.7109375" style="1427" bestFit="1" customWidth="1"/>
    <col min="8979" max="9214" width="9.140625" style="1427"/>
    <col min="9215" max="9215" width="16.28515625" style="1427" bestFit="1" customWidth="1"/>
    <col min="9216" max="9216" width="63.28515625" style="1427" customWidth="1"/>
    <col min="9217" max="9217" width="22" style="1427" customWidth="1"/>
    <col min="9218" max="9220" width="8" style="1427" bestFit="1" customWidth="1"/>
    <col min="9221" max="9221" width="13.85546875" style="1427" customWidth="1"/>
    <col min="9222" max="9222" width="17.28515625" style="1427" bestFit="1" customWidth="1"/>
    <col min="9223" max="9234" width="10.7109375" style="1427" bestFit="1" customWidth="1"/>
    <col min="9235" max="9470" width="9.140625" style="1427"/>
    <col min="9471" max="9471" width="16.28515625" style="1427" bestFit="1" customWidth="1"/>
    <col min="9472" max="9472" width="63.28515625" style="1427" customWidth="1"/>
    <col min="9473" max="9473" width="22" style="1427" customWidth="1"/>
    <col min="9474" max="9476" width="8" style="1427" bestFit="1" customWidth="1"/>
    <col min="9477" max="9477" width="13.85546875" style="1427" customWidth="1"/>
    <col min="9478" max="9478" width="17.28515625" style="1427" bestFit="1" customWidth="1"/>
    <col min="9479" max="9490" width="10.7109375" style="1427" bestFit="1" customWidth="1"/>
    <col min="9491" max="9726" width="9.140625" style="1427"/>
    <col min="9727" max="9727" width="16.28515625" style="1427" bestFit="1" customWidth="1"/>
    <col min="9728" max="9728" width="63.28515625" style="1427" customWidth="1"/>
    <col min="9729" max="9729" width="22" style="1427" customWidth="1"/>
    <col min="9730" max="9732" width="8" style="1427" bestFit="1" customWidth="1"/>
    <col min="9733" max="9733" width="13.85546875" style="1427" customWidth="1"/>
    <col min="9734" max="9734" width="17.28515625" style="1427" bestFit="1" customWidth="1"/>
    <col min="9735" max="9746" width="10.7109375" style="1427" bestFit="1" customWidth="1"/>
    <col min="9747" max="9982" width="9.140625" style="1427"/>
    <col min="9983" max="9983" width="16.28515625" style="1427" bestFit="1" customWidth="1"/>
    <col min="9984" max="9984" width="63.28515625" style="1427" customWidth="1"/>
    <col min="9985" max="9985" width="22" style="1427" customWidth="1"/>
    <col min="9986" max="9988" width="8" style="1427" bestFit="1" customWidth="1"/>
    <col min="9989" max="9989" width="13.85546875" style="1427" customWidth="1"/>
    <col min="9990" max="9990" width="17.28515625" style="1427" bestFit="1" customWidth="1"/>
    <col min="9991" max="10002" width="10.7109375" style="1427" bestFit="1" customWidth="1"/>
    <col min="10003" max="10238" width="9.140625" style="1427"/>
    <col min="10239" max="10239" width="16.28515625" style="1427" bestFit="1" customWidth="1"/>
    <col min="10240" max="10240" width="63.28515625" style="1427" customWidth="1"/>
    <col min="10241" max="10241" width="22" style="1427" customWidth="1"/>
    <col min="10242" max="10244" width="8" style="1427" bestFit="1" customWidth="1"/>
    <col min="10245" max="10245" width="13.85546875" style="1427" customWidth="1"/>
    <col min="10246" max="10246" width="17.28515625" style="1427" bestFit="1" customWidth="1"/>
    <col min="10247" max="10258" width="10.7109375" style="1427" bestFit="1" customWidth="1"/>
    <col min="10259" max="10494" width="9.140625" style="1427"/>
    <col min="10495" max="10495" width="16.28515625" style="1427" bestFit="1" customWidth="1"/>
    <col min="10496" max="10496" width="63.28515625" style="1427" customWidth="1"/>
    <col min="10497" max="10497" width="22" style="1427" customWidth="1"/>
    <col min="10498" max="10500" width="8" style="1427" bestFit="1" customWidth="1"/>
    <col min="10501" max="10501" width="13.85546875" style="1427" customWidth="1"/>
    <col min="10502" max="10502" width="17.28515625" style="1427" bestFit="1" customWidth="1"/>
    <col min="10503" max="10514" width="10.7109375" style="1427" bestFit="1" customWidth="1"/>
    <col min="10515" max="10750" width="9.140625" style="1427"/>
    <col min="10751" max="10751" width="16.28515625" style="1427" bestFit="1" customWidth="1"/>
    <col min="10752" max="10752" width="63.28515625" style="1427" customWidth="1"/>
    <col min="10753" max="10753" width="22" style="1427" customWidth="1"/>
    <col min="10754" max="10756" width="8" style="1427" bestFit="1" customWidth="1"/>
    <col min="10757" max="10757" width="13.85546875" style="1427" customWidth="1"/>
    <col min="10758" max="10758" width="17.28515625" style="1427" bestFit="1" customWidth="1"/>
    <col min="10759" max="10770" width="10.7109375" style="1427" bestFit="1" customWidth="1"/>
    <col min="10771" max="11006" width="9.140625" style="1427"/>
    <col min="11007" max="11007" width="16.28515625" style="1427" bestFit="1" customWidth="1"/>
    <col min="11008" max="11008" width="63.28515625" style="1427" customWidth="1"/>
    <col min="11009" max="11009" width="22" style="1427" customWidth="1"/>
    <col min="11010" max="11012" width="8" style="1427" bestFit="1" customWidth="1"/>
    <col min="11013" max="11013" width="13.85546875" style="1427" customWidth="1"/>
    <col min="11014" max="11014" width="17.28515625" style="1427" bestFit="1" customWidth="1"/>
    <col min="11015" max="11026" width="10.7109375" style="1427" bestFit="1" customWidth="1"/>
    <col min="11027" max="11262" width="9.140625" style="1427"/>
    <col min="11263" max="11263" width="16.28515625" style="1427" bestFit="1" customWidth="1"/>
    <col min="11264" max="11264" width="63.28515625" style="1427" customWidth="1"/>
    <col min="11265" max="11265" width="22" style="1427" customWidth="1"/>
    <col min="11266" max="11268" width="8" style="1427" bestFit="1" customWidth="1"/>
    <col min="11269" max="11269" width="13.85546875" style="1427" customWidth="1"/>
    <col min="11270" max="11270" width="17.28515625" style="1427" bestFit="1" customWidth="1"/>
    <col min="11271" max="11282" width="10.7109375" style="1427" bestFit="1" customWidth="1"/>
    <col min="11283" max="11518" width="9.140625" style="1427"/>
    <col min="11519" max="11519" width="16.28515625" style="1427" bestFit="1" customWidth="1"/>
    <col min="11520" max="11520" width="63.28515625" style="1427" customWidth="1"/>
    <col min="11521" max="11521" width="22" style="1427" customWidth="1"/>
    <col min="11522" max="11524" width="8" style="1427" bestFit="1" customWidth="1"/>
    <col min="11525" max="11525" width="13.85546875" style="1427" customWidth="1"/>
    <col min="11526" max="11526" width="17.28515625" style="1427" bestFit="1" customWidth="1"/>
    <col min="11527" max="11538" width="10.7109375" style="1427" bestFit="1" customWidth="1"/>
    <col min="11539" max="11774" width="9.140625" style="1427"/>
    <col min="11775" max="11775" width="16.28515625" style="1427" bestFit="1" customWidth="1"/>
    <col min="11776" max="11776" width="63.28515625" style="1427" customWidth="1"/>
    <col min="11777" max="11777" width="22" style="1427" customWidth="1"/>
    <col min="11778" max="11780" width="8" style="1427" bestFit="1" customWidth="1"/>
    <col min="11781" max="11781" width="13.85546875" style="1427" customWidth="1"/>
    <col min="11782" max="11782" width="17.28515625" style="1427" bestFit="1" customWidth="1"/>
    <col min="11783" max="11794" width="10.7109375" style="1427" bestFit="1" customWidth="1"/>
    <col min="11795" max="12030" width="9.140625" style="1427"/>
    <col min="12031" max="12031" width="16.28515625" style="1427" bestFit="1" customWidth="1"/>
    <col min="12032" max="12032" width="63.28515625" style="1427" customWidth="1"/>
    <col min="12033" max="12033" width="22" style="1427" customWidth="1"/>
    <col min="12034" max="12036" width="8" style="1427" bestFit="1" customWidth="1"/>
    <col min="12037" max="12037" width="13.85546875" style="1427" customWidth="1"/>
    <col min="12038" max="12038" width="17.28515625" style="1427" bestFit="1" customWidth="1"/>
    <col min="12039" max="12050" width="10.7109375" style="1427" bestFit="1" customWidth="1"/>
    <col min="12051" max="12286" width="9.140625" style="1427"/>
    <col min="12287" max="12287" width="16.28515625" style="1427" bestFit="1" customWidth="1"/>
    <col min="12288" max="12288" width="63.28515625" style="1427" customWidth="1"/>
    <col min="12289" max="12289" width="22" style="1427" customWidth="1"/>
    <col min="12290" max="12292" width="8" style="1427" bestFit="1" customWidth="1"/>
    <col min="12293" max="12293" width="13.85546875" style="1427" customWidth="1"/>
    <col min="12294" max="12294" width="17.28515625" style="1427" bestFit="1" customWidth="1"/>
    <col min="12295" max="12306" width="10.7109375" style="1427" bestFit="1" customWidth="1"/>
    <col min="12307" max="12542" width="9.140625" style="1427"/>
    <col min="12543" max="12543" width="16.28515625" style="1427" bestFit="1" customWidth="1"/>
    <col min="12544" max="12544" width="63.28515625" style="1427" customWidth="1"/>
    <col min="12545" max="12545" width="22" style="1427" customWidth="1"/>
    <col min="12546" max="12548" width="8" style="1427" bestFit="1" customWidth="1"/>
    <col min="12549" max="12549" width="13.85546875" style="1427" customWidth="1"/>
    <col min="12550" max="12550" width="17.28515625" style="1427" bestFit="1" customWidth="1"/>
    <col min="12551" max="12562" width="10.7109375" style="1427" bestFit="1" customWidth="1"/>
    <col min="12563" max="12798" width="9.140625" style="1427"/>
    <col min="12799" max="12799" width="16.28515625" style="1427" bestFit="1" customWidth="1"/>
    <col min="12800" max="12800" width="63.28515625" style="1427" customWidth="1"/>
    <col min="12801" max="12801" width="22" style="1427" customWidth="1"/>
    <col min="12802" max="12804" width="8" style="1427" bestFit="1" customWidth="1"/>
    <col min="12805" max="12805" width="13.85546875" style="1427" customWidth="1"/>
    <col min="12806" max="12806" width="17.28515625" style="1427" bestFit="1" customWidth="1"/>
    <col min="12807" max="12818" width="10.7109375" style="1427" bestFit="1" customWidth="1"/>
    <col min="12819" max="13054" width="9.140625" style="1427"/>
    <col min="13055" max="13055" width="16.28515625" style="1427" bestFit="1" customWidth="1"/>
    <col min="13056" max="13056" width="63.28515625" style="1427" customWidth="1"/>
    <col min="13057" max="13057" width="22" style="1427" customWidth="1"/>
    <col min="13058" max="13060" width="8" style="1427" bestFit="1" customWidth="1"/>
    <col min="13061" max="13061" width="13.85546875" style="1427" customWidth="1"/>
    <col min="13062" max="13062" width="17.28515625" style="1427" bestFit="1" customWidth="1"/>
    <col min="13063" max="13074" width="10.7109375" style="1427" bestFit="1" customWidth="1"/>
    <col min="13075" max="13310" width="9.140625" style="1427"/>
    <col min="13311" max="13311" width="16.28515625" style="1427" bestFit="1" customWidth="1"/>
    <col min="13312" max="13312" width="63.28515625" style="1427" customWidth="1"/>
    <col min="13313" max="13313" width="22" style="1427" customWidth="1"/>
    <col min="13314" max="13316" width="8" style="1427" bestFit="1" customWidth="1"/>
    <col min="13317" max="13317" width="13.85546875" style="1427" customWidth="1"/>
    <col min="13318" max="13318" width="17.28515625" style="1427" bestFit="1" customWidth="1"/>
    <col min="13319" max="13330" width="10.7109375" style="1427" bestFit="1" customWidth="1"/>
    <col min="13331" max="13566" width="9.140625" style="1427"/>
    <col min="13567" max="13567" width="16.28515625" style="1427" bestFit="1" customWidth="1"/>
    <col min="13568" max="13568" width="63.28515625" style="1427" customWidth="1"/>
    <col min="13569" max="13569" width="22" style="1427" customWidth="1"/>
    <col min="13570" max="13572" width="8" style="1427" bestFit="1" customWidth="1"/>
    <col min="13573" max="13573" width="13.85546875" style="1427" customWidth="1"/>
    <col min="13574" max="13574" width="17.28515625" style="1427" bestFit="1" customWidth="1"/>
    <col min="13575" max="13586" width="10.7109375" style="1427" bestFit="1" customWidth="1"/>
    <col min="13587" max="13822" width="9.140625" style="1427"/>
    <col min="13823" max="13823" width="16.28515625" style="1427" bestFit="1" customWidth="1"/>
    <col min="13824" max="13824" width="63.28515625" style="1427" customWidth="1"/>
    <col min="13825" max="13825" width="22" style="1427" customWidth="1"/>
    <col min="13826" max="13828" width="8" style="1427" bestFit="1" customWidth="1"/>
    <col min="13829" max="13829" width="13.85546875" style="1427" customWidth="1"/>
    <col min="13830" max="13830" width="17.28515625" style="1427" bestFit="1" customWidth="1"/>
    <col min="13831" max="13842" width="10.7109375" style="1427" bestFit="1" customWidth="1"/>
    <col min="13843" max="14078" width="9.140625" style="1427"/>
    <col min="14079" max="14079" width="16.28515625" style="1427" bestFit="1" customWidth="1"/>
    <col min="14080" max="14080" width="63.28515625" style="1427" customWidth="1"/>
    <col min="14081" max="14081" width="22" style="1427" customWidth="1"/>
    <col min="14082" max="14084" width="8" style="1427" bestFit="1" customWidth="1"/>
    <col min="14085" max="14085" width="13.85546875" style="1427" customWidth="1"/>
    <col min="14086" max="14086" width="17.28515625" style="1427" bestFit="1" customWidth="1"/>
    <col min="14087" max="14098" width="10.7109375" style="1427" bestFit="1" customWidth="1"/>
    <col min="14099" max="14334" width="9.140625" style="1427"/>
    <col min="14335" max="14335" width="16.28515625" style="1427" bestFit="1" customWidth="1"/>
    <col min="14336" max="14336" width="63.28515625" style="1427" customWidth="1"/>
    <col min="14337" max="14337" width="22" style="1427" customWidth="1"/>
    <col min="14338" max="14340" width="8" style="1427" bestFit="1" customWidth="1"/>
    <col min="14341" max="14341" width="13.85546875" style="1427" customWidth="1"/>
    <col min="14342" max="14342" width="17.28515625" style="1427" bestFit="1" customWidth="1"/>
    <col min="14343" max="14354" width="10.7109375" style="1427" bestFit="1" customWidth="1"/>
    <col min="14355" max="14590" width="9.140625" style="1427"/>
    <col min="14591" max="14591" width="16.28515625" style="1427" bestFit="1" customWidth="1"/>
    <col min="14592" max="14592" width="63.28515625" style="1427" customWidth="1"/>
    <col min="14593" max="14593" width="22" style="1427" customWidth="1"/>
    <col min="14594" max="14596" width="8" style="1427" bestFit="1" customWidth="1"/>
    <col min="14597" max="14597" width="13.85546875" style="1427" customWidth="1"/>
    <col min="14598" max="14598" width="17.28515625" style="1427" bestFit="1" customWidth="1"/>
    <col min="14599" max="14610" width="10.7109375" style="1427" bestFit="1" customWidth="1"/>
    <col min="14611" max="14846" width="9.140625" style="1427"/>
    <col min="14847" max="14847" width="16.28515625" style="1427" bestFit="1" customWidth="1"/>
    <col min="14848" max="14848" width="63.28515625" style="1427" customWidth="1"/>
    <col min="14849" max="14849" width="22" style="1427" customWidth="1"/>
    <col min="14850" max="14852" width="8" style="1427" bestFit="1" customWidth="1"/>
    <col min="14853" max="14853" width="13.85546875" style="1427" customWidth="1"/>
    <col min="14854" max="14854" width="17.28515625" style="1427" bestFit="1" customWidth="1"/>
    <col min="14855" max="14866" width="10.7109375" style="1427" bestFit="1" customWidth="1"/>
    <col min="14867" max="15102" width="9.140625" style="1427"/>
    <col min="15103" max="15103" width="16.28515625" style="1427" bestFit="1" customWidth="1"/>
    <col min="15104" max="15104" width="63.28515625" style="1427" customWidth="1"/>
    <col min="15105" max="15105" width="22" style="1427" customWidth="1"/>
    <col min="15106" max="15108" width="8" style="1427" bestFit="1" customWidth="1"/>
    <col min="15109" max="15109" width="13.85546875" style="1427" customWidth="1"/>
    <col min="15110" max="15110" width="17.28515625" style="1427" bestFit="1" customWidth="1"/>
    <col min="15111" max="15122" width="10.7109375" style="1427" bestFit="1" customWidth="1"/>
    <col min="15123" max="15358" width="9.140625" style="1427"/>
    <col min="15359" max="15359" width="16.28515625" style="1427" bestFit="1" customWidth="1"/>
    <col min="15360" max="15360" width="63.28515625" style="1427" customWidth="1"/>
    <col min="15361" max="15361" width="22" style="1427" customWidth="1"/>
    <col min="15362" max="15364" width="8" style="1427" bestFit="1" customWidth="1"/>
    <col min="15365" max="15365" width="13.85546875" style="1427" customWidth="1"/>
    <col min="15366" max="15366" width="17.28515625" style="1427" bestFit="1" customWidth="1"/>
    <col min="15367" max="15378" width="10.7109375" style="1427" bestFit="1" customWidth="1"/>
    <col min="15379" max="15614" width="9.140625" style="1427"/>
    <col min="15615" max="15615" width="16.28515625" style="1427" bestFit="1" customWidth="1"/>
    <col min="15616" max="15616" width="63.28515625" style="1427" customWidth="1"/>
    <col min="15617" max="15617" width="22" style="1427" customWidth="1"/>
    <col min="15618" max="15620" width="8" style="1427" bestFit="1" customWidth="1"/>
    <col min="15621" max="15621" width="13.85546875" style="1427" customWidth="1"/>
    <col min="15622" max="15622" width="17.28515625" style="1427" bestFit="1" customWidth="1"/>
    <col min="15623" max="15634" width="10.7109375" style="1427" bestFit="1" customWidth="1"/>
    <col min="15635" max="15870" width="9.140625" style="1427"/>
    <col min="15871" max="15871" width="16.28515625" style="1427" bestFit="1" customWidth="1"/>
    <col min="15872" max="15872" width="63.28515625" style="1427" customWidth="1"/>
    <col min="15873" max="15873" width="22" style="1427" customWidth="1"/>
    <col min="15874" max="15876" width="8" style="1427" bestFit="1" customWidth="1"/>
    <col min="15877" max="15877" width="13.85546875" style="1427" customWidth="1"/>
    <col min="15878" max="15878" width="17.28515625" style="1427" bestFit="1" customWidth="1"/>
    <col min="15879" max="15890" width="10.7109375" style="1427" bestFit="1" customWidth="1"/>
    <col min="15891" max="16126" width="9.140625" style="1427"/>
    <col min="16127" max="16127" width="16.28515625" style="1427" bestFit="1" customWidth="1"/>
    <col min="16128" max="16128" width="63.28515625" style="1427" customWidth="1"/>
    <col min="16129" max="16129" width="22" style="1427" customWidth="1"/>
    <col min="16130" max="16132" width="8" style="1427" bestFit="1" customWidth="1"/>
    <col min="16133" max="16133" width="13.85546875" style="1427" customWidth="1"/>
    <col min="16134" max="16134" width="17.28515625" style="1427" bestFit="1" customWidth="1"/>
    <col min="16135" max="16146" width="10.7109375" style="1427" bestFit="1" customWidth="1"/>
    <col min="16147" max="16384" width="9.140625" style="1427"/>
  </cols>
  <sheetData>
    <row r="1" spans="1:31" s="1435"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s="1427"/>
      <c r="AD1" s="1427"/>
      <c r="AE1" s="1427"/>
    </row>
    <row r="2" spans="1:31" s="1435" customFormat="1" ht="24.95" customHeight="1">
      <c r="B2" s="3054" t="str">
        <f>INDEX(dms_TradingNameFull_List,MATCH(dms_TradingName,dms_TradingName_List))</f>
        <v>AusNet Gas Services</v>
      </c>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7"/>
      <c r="AD2" s="1427"/>
      <c r="AE2" s="1427"/>
    </row>
    <row r="3" spans="1:31" s="1435" customFormat="1" ht="24.95" customHeight="1">
      <c r="B3" s="3054" t="str">
        <f ca="1">IF(SUM(dms_SingleYear_Model)&gt;0,CRY,CONCATENATE(FRCP_y1," to ",dms_MultiYear_FinalYear_Result))</f>
        <v>2018 to 2022</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7"/>
      <c r="AD3" s="1427"/>
      <c r="AE3" s="1427"/>
    </row>
    <row r="4" spans="1:31" s="1435" customFormat="1" ht="24" customHeight="1">
      <c r="B4" s="10" t="s">
        <v>1540</v>
      </c>
      <c r="C4" s="12"/>
      <c r="D4" s="12"/>
      <c r="E4" s="12"/>
      <c r="F4" s="12"/>
      <c r="G4" s="12"/>
      <c r="H4" s="12"/>
      <c r="I4" s="12"/>
      <c r="J4" s="12"/>
      <c r="K4" s="12"/>
      <c r="L4" s="12"/>
      <c r="M4" s="12"/>
      <c r="N4" s="12"/>
      <c r="O4" s="12"/>
      <c r="P4" s="12"/>
      <c r="Q4" s="12"/>
      <c r="R4" s="12"/>
      <c r="S4" s="12"/>
      <c r="T4" s="12"/>
      <c r="U4" s="12"/>
      <c r="V4" s="12"/>
      <c r="W4" s="12"/>
      <c r="X4" s="12"/>
      <c r="Y4" s="12"/>
      <c r="Z4" s="12"/>
      <c r="AA4" s="12"/>
      <c r="AB4" s="12"/>
      <c r="AC4" s="1427"/>
      <c r="AD4" s="1427"/>
      <c r="AE4" s="1427"/>
    </row>
    <row r="5" spans="1:31">
      <c r="A5" s="409"/>
      <c r="B5" s="1076"/>
      <c r="C5" s="1429"/>
      <c r="D5" s="1429"/>
      <c r="E5" s="1429"/>
      <c r="F5" s="1429"/>
      <c r="G5" s="1429"/>
      <c r="H5" s="1429"/>
      <c r="I5" s="1429"/>
      <c r="J5" s="1429"/>
      <c r="K5" s="1429"/>
      <c r="L5" s="1429"/>
      <c r="M5" s="1429"/>
      <c r="N5" s="1429"/>
      <c r="O5" s="1429"/>
      <c r="P5" s="1429"/>
      <c r="Q5" s="1429"/>
      <c r="R5" s="1429"/>
      <c r="S5" s="1429"/>
      <c r="T5" s="1429"/>
      <c r="U5" s="1429"/>
      <c r="V5" s="1429"/>
      <c r="W5" s="1429"/>
      <c r="X5" s="1429"/>
      <c r="Y5" s="1429"/>
      <c r="Z5" s="1429"/>
      <c r="AA5" s="1429"/>
      <c r="AB5" s="1429"/>
    </row>
    <row r="6" spans="1:31">
      <c r="A6" s="1429"/>
      <c r="B6" s="1429"/>
      <c r="C6" s="1429"/>
      <c r="D6" s="1429"/>
      <c r="E6" s="1429"/>
      <c r="F6" s="1429"/>
      <c r="G6" s="1429"/>
      <c r="H6" s="1429"/>
      <c r="I6" s="1429"/>
      <c r="J6" s="1429"/>
      <c r="K6" s="1429"/>
      <c r="L6" s="1429"/>
      <c r="M6" s="1429"/>
      <c r="N6" s="1429"/>
      <c r="O6" s="1429"/>
      <c r="P6" s="1429"/>
      <c r="Q6" s="1429"/>
      <c r="R6" s="1429"/>
      <c r="S6" s="1429"/>
      <c r="T6" s="1429"/>
      <c r="U6" s="1429"/>
      <c r="V6" s="1429"/>
      <c r="W6" s="1429"/>
      <c r="X6" s="1429"/>
      <c r="Y6" s="1429"/>
      <c r="Z6" s="1429"/>
      <c r="AA6" s="1429"/>
      <c r="AB6" s="1429"/>
    </row>
    <row r="7" spans="1:31">
      <c r="A7" s="1429"/>
      <c r="B7" s="4180" t="s">
        <v>59</v>
      </c>
      <c r="C7" s="4180"/>
      <c r="D7" s="4180"/>
      <c r="E7" s="4180"/>
      <c r="F7" s="4180"/>
      <c r="G7" s="4180"/>
      <c r="H7" s="4180"/>
      <c r="I7" s="1429"/>
      <c r="J7" s="1429"/>
      <c r="K7" s="1429"/>
      <c r="L7" s="1429"/>
      <c r="M7" s="1429"/>
      <c r="N7" s="1429"/>
      <c r="O7" s="1429"/>
      <c r="P7" s="1429"/>
      <c r="Q7" s="1429"/>
      <c r="R7" s="1429"/>
      <c r="S7" s="1429"/>
      <c r="T7" s="1429"/>
      <c r="U7" s="1429"/>
      <c r="V7" s="1429"/>
      <c r="W7" s="1429"/>
      <c r="X7" s="1429"/>
      <c r="Y7" s="1429"/>
      <c r="Z7" s="1429"/>
      <c r="AA7" s="1429"/>
      <c r="AB7" s="1429"/>
    </row>
    <row r="8" spans="1:31" ht="12.75" customHeight="1">
      <c r="A8" s="1429"/>
      <c r="B8" s="4181" t="s">
        <v>244</v>
      </c>
      <c r="C8" s="4181"/>
      <c r="D8" s="4181"/>
      <c r="E8" s="4181"/>
      <c r="F8" s="4181"/>
      <c r="G8" s="4181"/>
      <c r="H8" s="4181"/>
      <c r="I8" s="1429"/>
      <c r="J8" s="1429"/>
      <c r="K8" s="1429"/>
      <c r="L8" s="1429"/>
      <c r="M8" s="1429"/>
      <c r="N8" s="1429"/>
      <c r="O8" s="1429"/>
      <c r="P8" s="1429"/>
      <c r="Q8" s="1429"/>
      <c r="R8" s="1429"/>
      <c r="S8" s="1429"/>
      <c r="T8" s="1429"/>
      <c r="U8" s="1429"/>
      <c r="V8" s="1429"/>
      <c r="W8" s="1429"/>
      <c r="X8" s="1429"/>
      <c r="Y8" s="1429"/>
      <c r="Z8" s="1429"/>
      <c r="AA8" s="1429"/>
      <c r="AB8" s="1429"/>
    </row>
    <row r="9" spans="1:31" ht="12.75" customHeight="1">
      <c r="A9" s="1429"/>
      <c r="B9" s="3616" t="s">
        <v>512</v>
      </c>
      <c r="C9" s="3616"/>
      <c r="D9" s="3396"/>
      <c r="E9" s="3396"/>
      <c r="F9" s="3396"/>
      <c r="G9" s="3396"/>
      <c r="H9" s="3396"/>
      <c r="I9" s="308"/>
      <c r="J9" s="308"/>
      <c r="K9" s="308"/>
      <c r="L9" s="308"/>
      <c r="M9" s="308"/>
      <c r="N9" s="308"/>
      <c r="O9" s="308"/>
      <c r="P9" s="1429"/>
      <c r="Q9" s="1429"/>
      <c r="R9" s="1429"/>
      <c r="S9" s="308"/>
      <c r="T9" s="308"/>
      <c r="U9" s="1429"/>
      <c r="V9" s="1429"/>
      <c r="W9" s="1429"/>
      <c r="X9" s="308"/>
      <c r="Y9" s="308"/>
      <c r="Z9" s="1429"/>
      <c r="AA9" s="1429"/>
      <c r="AB9" s="1429"/>
    </row>
    <row r="10" spans="1:31" ht="20.25" customHeight="1">
      <c r="A10" s="1429"/>
      <c r="B10" s="4182" t="s">
        <v>420</v>
      </c>
      <c r="C10" s="4183"/>
      <c r="D10" s="4183"/>
      <c r="E10" s="4183"/>
      <c r="F10" s="4183"/>
      <c r="G10" s="4183"/>
      <c r="H10" s="4183"/>
      <c r="I10" s="1429"/>
      <c r="J10" s="1429"/>
      <c r="K10" s="1429"/>
      <c r="L10" s="1429"/>
      <c r="M10" s="1429"/>
      <c r="N10" s="1429"/>
      <c r="O10" s="1429"/>
      <c r="P10" s="1429"/>
      <c r="Q10" s="1429"/>
      <c r="R10" s="1429"/>
      <c r="S10" s="1429"/>
      <c r="T10" s="1429"/>
      <c r="U10" s="1429"/>
      <c r="V10" s="1429"/>
      <c r="W10" s="1429"/>
      <c r="X10" s="1429"/>
      <c r="Y10" s="1429"/>
      <c r="Z10" s="1429"/>
      <c r="AA10" s="1429"/>
      <c r="AB10" s="1429"/>
    </row>
    <row r="11" spans="1:31" ht="33.75" customHeight="1" thickBot="1">
      <c r="A11" s="1429"/>
      <c r="B11" s="151"/>
      <c r="C11" s="1429"/>
      <c r="D11" s="1429"/>
      <c r="E11" s="1429"/>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c r="AB11" s="1429"/>
    </row>
    <row r="12" spans="1:31">
      <c r="A12" s="1429"/>
      <c r="B12" s="1073" t="s">
        <v>270</v>
      </c>
      <c r="C12" s="1429"/>
      <c r="D12" s="1429"/>
      <c r="E12" s="1429"/>
      <c r="F12" s="1429"/>
      <c r="G12" s="1429"/>
      <c r="H12" s="1429"/>
      <c r="I12" s="1429"/>
      <c r="J12" s="1429"/>
      <c r="K12" s="1429"/>
      <c r="L12" s="1429"/>
      <c r="M12" s="1429"/>
      <c r="N12" s="1429"/>
      <c r="O12" s="1429"/>
      <c r="P12" s="1429"/>
      <c r="Q12" s="1429"/>
      <c r="R12" s="1429"/>
      <c r="S12" s="1429"/>
      <c r="T12" s="1429"/>
      <c r="U12" s="1429"/>
      <c r="V12" s="1429"/>
      <c r="W12" s="1429"/>
      <c r="X12" s="1429"/>
      <c r="Y12" s="1429"/>
      <c r="Z12" s="1429"/>
      <c r="AA12" s="1429"/>
      <c r="AB12" s="1429"/>
    </row>
    <row r="13" spans="1:31" ht="27" customHeight="1">
      <c r="A13" s="1429"/>
      <c r="B13" s="1060" t="s">
        <v>1538</v>
      </c>
      <c r="C13" s="1429"/>
      <c r="D13" s="1429"/>
      <c r="E13" s="1429"/>
      <c r="F13" s="1429"/>
      <c r="G13" s="1429"/>
      <c r="H13" s="1429"/>
      <c r="I13" s="1429"/>
      <c r="J13" s="1429"/>
      <c r="K13" s="1429"/>
      <c r="L13" s="1429"/>
      <c r="M13" s="1429"/>
      <c r="N13" s="1429"/>
      <c r="O13" s="1429"/>
      <c r="P13" s="1429"/>
      <c r="Q13" s="1429"/>
      <c r="R13" s="1429"/>
      <c r="S13" s="1429"/>
      <c r="T13" s="1429"/>
      <c r="U13" s="1429"/>
      <c r="V13" s="1429"/>
      <c r="W13" s="1429"/>
      <c r="X13" s="1429"/>
      <c r="Y13" s="1429"/>
      <c r="Z13" s="1429"/>
      <c r="AA13" s="1429"/>
      <c r="AB13" s="1429"/>
    </row>
    <row r="14" spans="1:31">
      <c r="A14" s="1429"/>
      <c r="B14" s="1429"/>
      <c r="C14" s="1429"/>
      <c r="D14" s="1429"/>
      <c r="E14" s="1429"/>
      <c r="F14" s="1429"/>
      <c r="G14" s="1429"/>
      <c r="H14" s="1429"/>
      <c r="I14" s="1429"/>
      <c r="J14" s="1429"/>
      <c r="K14" s="1429"/>
      <c r="L14" s="1429"/>
      <c r="M14" s="1429"/>
      <c r="N14" s="1429"/>
      <c r="O14" s="1429"/>
      <c r="P14" s="1429"/>
      <c r="Q14" s="1429"/>
      <c r="R14" s="1429"/>
      <c r="S14" s="1429"/>
      <c r="T14" s="1429"/>
      <c r="U14" s="1429"/>
      <c r="V14" s="1429"/>
      <c r="W14" s="1429"/>
      <c r="X14" s="1429"/>
      <c r="Y14" s="1429"/>
      <c r="Z14" s="1429"/>
      <c r="AA14" s="1429"/>
      <c r="AB14" s="1429"/>
    </row>
    <row r="15" spans="1:31" ht="13.5" thickBot="1">
      <c r="A15" s="1429"/>
      <c r="B15" s="1429"/>
      <c r="C15" s="1429"/>
      <c r="D15" s="1429"/>
      <c r="E15" s="1429"/>
      <c r="F15" s="1429"/>
      <c r="G15" s="1429"/>
      <c r="H15" s="1429"/>
      <c r="I15" s="1429"/>
      <c r="J15" s="1429"/>
      <c r="K15" s="1429"/>
      <c r="L15" s="1429"/>
      <c r="M15" s="1429"/>
      <c r="N15" s="1429"/>
      <c r="O15" s="1429"/>
      <c r="P15" s="1429"/>
      <c r="Q15" s="1429"/>
      <c r="R15" s="1429"/>
      <c r="S15" s="1429"/>
      <c r="T15" s="1429"/>
      <c r="U15" s="1429"/>
      <c r="V15" s="1429"/>
      <c r="W15" s="1429"/>
      <c r="X15" s="1429"/>
      <c r="Y15" s="1429"/>
      <c r="Z15" s="1429"/>
      <c r="AA15" s="1429"/>
      <c r="AB15" s="1429"/>
    </row>
    <row r="16" spans="1:31" ht="34.5" customHeight="1" thickBot="1">
      <c r="A16" s="1429"/>
      <c r="B16" s="972" t="s">
        <v>1546</v>
      </c>
      <c r="C16" s="989"/>
      <c r="D16" s="989"/>
      <c r="E16" s="989"/>
      <c r="F16" s="989"/>
      <c r="G16" s="989"/>
      <c r="H16" s="989"/>
      <c r="I16" s="989"/>
      <c r="J16" s="989"/>
      <c r="K16" s="990"/>
      <c r="L16" s="990"/>
      <c r="M16" s="990"/>
      <c r="N16" s="990"/>
      <c r="O16" s="990"/>
      <c r="P16" s="990"/>
      <c r="Q16" s="990"/>
      <c r="R16" s="990"/>
      <c r="S16" s="990"/>
      <c r="T16" s="990"/>
      <c r="U16" s="990"/>
      <c r="V16" s="990"/>
      <c r="W16" s="990"/>
      <c r="X16" s="990"/>
      <c r="Y16" s="990"/>
      <c r="Z16" s="990"/>
      <c r="AA16" s="990"/>
      <c r="AB16" s="990"/>
      <c r="AC16" s="990"/>
    </row>
    <row r="17" spans="1:135" ht="20.25" customHeight="1">
      <c r="A17" s="1429"/>
      <c r="B17" s="4184"/>
      <c r="C17" s="4120" t="s">
        <v>673</v>
      </c>
      <c r="D17" s="4111" t="s">
        <v>70</v>
      </c>
      <c r="E17" s="4189" t="s">
        <v>37</v>
      </c>
      <c r="F17" s="4079"/>
      <c r="G17" s="4079"/>
      <c r="H17" s="4079"/>
      <c r="I17" s="4079"/>
      <c r="J17" s="4080" t="s">
        <v>73</v>
      </c>
      <c r="K17" s="4080"/>
      <c r="L17" s="4080"/>
      <c r="M17" s="4080"/>
      <c r="N17" s="4080"/>
      <c r="O17" s="4154" t="s">
        <v>272</v>
      </c>
      <c r="P17" s="4154"/>
      <c r="Q17" s="4154"/>
      <c r="R17" s="4154"/>
      <c r="S17" s="4154"/>
      <c r="T17" s="4154"/>
      <c r="U17" s="4154"/>
      <c r="V17" s="4154"/>
      <c r="W17" s="4154"/>
      <c r="X17" s="4154"/>
      <c r="Y17" s="4154"/>
      <c r="Z17" s="4154"/>
      <c r="AA17" s="4154"/>
      <c r="AB17" s="4154"/>
      <c r="AC17" s="4155"/>
    </row>
    <row r="18" spans="1:135" ht="20.25" customHeight="1">
      <c r="A18" s="1429"/>
      <c r="B18" s="4185"/>
      <c r="C18" s="4121"/>
      <c r="D18" s="4112"/>
      <c r="E18" s="4156" t="s">
        <v>366</v>
      </c>
      <c r="F18" s="4157"/>
      <c r="G18" s="4157"/>
      <c r="H18" s="4157"/>
      <c r="I18" s="4157"/>
      <c r="J18" s="4157"/>
      <c r="K18" s="4157"/>
      <c r="L18" s="4157"/>
      <c r="M18" s="4157"/>
      <c r="N18" s="4157"/>
      <c r="O18" s="4157"/>
      <c r="P18" s="4157"/>
      <c r="Q18" s="4157"/>
      <c r="R18" s="4157"/>
      <c r="S18" s="4157"/>
      <c r="T18" s="4157"/>
      <c r="U18" s="4157"/>
      <c r="V18" s="4157"/>
      <c r="W18" s="4157"/>
      <c r="X18" s="4157"/>
      <c r="Y18" s="4157"/>
      <c r="Z18" s="4157"/>
      <c r="AA18" s="4157"/>
      <c r="AB18" s="4157"/>
      <c r="AC18" s="4158"/>
    </row>
    <row r="19" spans="1:135" ht="20.25" customHeight="1">
      <c r="A19" s="1429"/>
      <c r="B19" s="4185"/>
      <c r="C19" s="4121"/>
      <c r="D19" s="4112"/>
      <c r="E19" s="4156" t="s">
        <v>54</v>
      </c>
      <c r="F19" s="4157"/>
      <c r="G19" s="4162"/>
      <c r="H19" s="4159" t="s">
        <v>411</v>
      </c>
      <c r="I19" s="4160"/>
      <c r="J19" s="4160"/>
      <c r="K19" s="4160"/>
      <c r="L19" s="4160"/>
      <c r="M19" s="4160"/>
      <c r="N19" s="4160"/>
      <c r="O19" s="4160"/>
      <c r="P19" s="4160"/>
      <c r="Q19" s="4160"/>
      <c r="R19" s="4160"/>
      <c r="S19" s="4160"/>
      <c r="T19" s="4160"/>
      <c r="U19" s="4160"/>
      <c r="V19" s="4160"/>
      <c r="W19" s="4160"/>
      <c r="X19" s="4160"/>
      <c r="Y19" s="4160"/>
      <c r="Z19" s="4160"/>
      <c r="AA19" s="4160"/>
      <c r="AB19" s="4160"/>
      <c r="AC19" s="4161"/>
    </row>
    <row r="20" spans="1:135" ht="20.25" customHeight="1" thickBot="1">
      <c r="A20" s="1429"/>
      <c r="B20" s="4186"/>
      <c r="C20" s="4122"/>
      <c r="D20" s="4113"/>
      <c r="E20" s="1028">
        <f>CRCP_y1</f>
        <v>2013</v>
      </c>
      <c r="F20" s="1028">
        <f>CRCP_y2</f>
        <v>2014</v>
      </c>
      <c r="G20" s="1028">
        <f>CRCP_y3</f>
        <v>2015</v>
      </c>
      <c r="H20" s="1028">
        <f>CRCP_y4</f>
        <v>2016</v>
      </c>
      <c r="I20" s="1028">
        <f>CRCP_y5</f>
        <v>2017</v>
      </c>
      <c r="J20" s="1028" t="str">
        <f>CONCATENATE(IF(dms_RPT="Calendar",I20+1,(LEFT(I20,4)+1&amp;"-"&amp;IF(MID(I20,6,2)&lt;"09","0"&amp;RIGHT(I20,1)+1,RIGHT(I20,2)+1))))</f>
        <v>2018</v>
      </c>
      <c r="K20" s="1028" t="str">
        <f t="shared" ref="K20:AC20" si="0">CONCATENATE(IF(dms_RPT="Calendar",J20+1,(LEFT(J20,4)+1&amp;"-"&amp;IF(MID(J20,6,2)&lt;"09","0"&amp;RIGHT(J20,1)+1,RIGHT(J20,2)+1))))</f>
        <v>2019</v>
      </c>
      <c r="L20" s="1028" t="str">
        <f t="shared" si="0"/>
        <v>2020</v>
      </c>
      <c r="M20" s="1028" t="str">
        <f t="shared" si="0"/>
        <v>2021</v>
      </c>
      <c r="N20" s="1028" t="str">
        <f t="shared" si="0"/>
        <v>2022</v>
      </c>
      <c r="O20" s="1028" t="str">
        <f t="shared" si="0"/>
        <v>2023</v>
      </c>
      <c r="P20" s="1028" t="str">
        <f t="shared" si="0"/>
        <v>2024</v>
      </c>
      <c r="Q20" s="1028" t="str">
        <f t="shared" si="0"/>
        <v>2025</v>
      </c>
      <c r="R20" s="1028" t="str">
        <f t="shared" si="0"/>
        <v>2026</v>
      </c>
      <c r="S20" s="1028" t="str">
        <f t="shared" si="0"/>
        <v>2027</v>
      </c>
      <c r="T20" s="1028" t="str">
        <f t="shared" si="0"/>
        <v>2028</v>
      </c>
      <c r="U20" s="1028" t="str">
        <f t="shared" si="0"/>
        <v>2029</v>
      </c>
      <c r="V20" s="1028" t="str">
        <f t="shared" si="0"/>
        <v>2030</v>
      </c>
      <c r="W20" s="1028" t="str">
        <f t="shared" si="0"/>
        <v>2031</v>
      </c>
      <c r="X20" s="1028" t="str">
        <f t="shared" si="0"/>
        <v>2032</v>
      </c>
      <c r="Y20" s="1028" t="str">
        <f t="shared" si="0"/>
        <v>2033</v>
      </c>
      <c r="Z20" s="1028" t="str">
        <f t="shared" si="0"/>
        <v>2034</v>
      </c>
      <c r="AA20" s="1028" t="str">
        <f t="shared" si="0"/>
        <v>2035</v>
      </c>
      <c r="AB20" s="1028" t="str">
        <f t="shared" si="0"/>
        <v>2036</v>
      </c>
      <c r="AC20" s="1028" t="str">
        <f t="shared" si="0"/>
        <v>2037</v>
      </c>
    </row>
    <row r="21" spans="1:135" s="94" customFormat="1" ht="18.75" customHeight="1" thickBot="1">
      <c r="A21" s="308"/>
      <c r="B21" s="858" t="s">
        <v>1547</v>
      </c>
      <c r="C21" s="859"/>
      <c r="D21" s="859"/>
      <c r="E21" s="859"/>
      <c r="F21" s="859"/>
      <c r="G21" s="859"/>
      <c r="H21" s="859"/>
      <c r="I21" s="859"/>
      <c r="J21" s="859"/>
      <c r="K21" s="924"/>
      <c r="L21" s="924"/>
      <c r="M21" s="924"/>
      <c r="N21" s="924"/>
      <c r="O21" s="924"/>
      <c r="P21" s="924"/>
      <c r="Q21" s="924"/>
      <c r="R21" s="924"/>
      <c r="S21" s="924"/>
      <c r="T21" s="924"/>
      <c r="U21" s="924"/>
      <c r="V21" s="924"/>
      <c r="W21" s="924"/>
      <c r="X21" s="924"/>
      <c r="Y21" s="924"/>
      <c r="Z21" s="924"/>
      <c r="AA21" s="924"/>
      <c r="AB21" s="924"/>
      <c r="AC21" s="860"/>
      <c r="AD21" s="1427"/>
      <c r="AE21" s="1427"/>
      <c r="AF21" s="1427"/>
      <c r="DF21" s="1427"/>
      <c r="DG21" s="1427"/>
      <c r="DH21" s="1427"/>
      <c r="DI21" s="1427"/>
      <c r="DJ21" s="1427"/>
      <c r="DK21" s="1427"/>
      <c r="DL21" s="1427"/>
      <c r="DM21" s="1427"/>
      <c r="DN21" s="1427"/>
      <c r="DO21" s="1427"/>
      <c r="DP21" s="1427"/>
      <c r="DQ21" s="1427"/>
      <c r="DR21" s="1427"/>
      <c r="DS21" s="1427"/>
      <c r="DT21" s="1427"/>
      <c r="DU21" s="1427"/>
      <c r="DV21" s="1427"/>
      <c r="DW21" s="1427"/>
      <c r="DX21" s="1427"/>
      <c r="DY21" s="1427"/>
      <c r="DZ21" s="1427"/>
      <c r="EA21" s="1427"/>
      <c r="EB21" s="1427"/>
      <c r="EC21" s="1427"/>
      <c r="ED21" s="1427"/>
      <c r="EE21" s="1427"/>
    </row>
    <row r="22" spans="1:135" s="529" customFormat="1">
      <c r="B22" s="4176" t="str">
        <f>+'29.2.4 Gas extenstions cust no'!B23</f>
        <v>Declining block tariff</v>
      </c>
      <c r="C22" s="4178" t="s">
        <v>47</v>
      </c>
      <c r="D22" s="4179"/>
      <c r="E22" s="2023">
        <f>+'29.2.4 Gas extenstions cust no'!D25</f>
        <v>0</v>
      </c>
      <c r="F22" s="2011">
        <f>+'29.2.4 Gas extenstions cust no'!E25</f>
        <v>93</v>
      </c>
      <c r="G22" s="2011">
        <f>+'29.2.4 Gas extenstions cust no'!F25</f>
        <v>264</v>
      </c>
      <c r="H22" s="2011">
        <f>+'29.2.4 Gas extenstions cust no'!G25</f>
        <v>371.25</v>
      </c>
      <c r="I22" s="2024">
        <f>+'29.2.4 Gas extenstions cust no'!H25</f>
        <v>422.4375</v>
      </c>
      <c r="J22" s="2010">
        <f>+'29.2.4 Gas extenstions cust no'!I25</f>
        <v>460.828125</v>
      </c>
      <c r="K22" s="1978">
        <f>+'29.2.4 Gas extenstions cust no'!J25</f>
        <v>489.62109375</v>
      </c>
      <c r="L22" s="1978">
        <f>+'29.2.4 Gas extenstions cust no'!K25</f>
        <v>511.2158203125</v>
      </c>
      <c r="M22" s="1978">
        <f>+'29.2.4 Gas extenstions cust no'!L25</f>
        <v>527.411865234375</v>
      </c>
      <c r="N22" s="1979">
        <f>+'29.2.4 Gas extenstions cust no'!M25</f>
        <v>539.55889892578125</v>
      </c>
      <c r="O22" s="1977">
        <f>+'29.2.4 Gas extenstions cust no'!N25</f>
        <v>548.66917419433594</v>
      </c>
      <c r="P22" s="1978">
        <f>+'29.2.4 Gas extenstions cust no'!O25</f>
        <v>555.50188064575195</v>
      </c>
      <c r="Q22" s="1978">
        <f>+'29.2.4 Gas extenstions cust no'!P25</f>
        <v>560.62641048431396</v>
      </c>
      <c r="R22" s="1978">
        <f>+'29.2.4 Gas extenstions cust no'!Q25</f>
        <v>564.46980786323547</v>
      </c>
      <c r="S22" s="1978">
        <f>+'29.2.4 Gas extenstions cust no'!R25</f>
        <v>567.35235589742661</v>
      </c>
      <c r="T22" s="1978">
        <f>+'29.2.4 Gas extenstions cust no'!S25</f>
        <v>569.51426692306995</v>
      </c>
      <c r="U22" s="1978">
        <f>+'29.2.4 Gas extenstions cust no'!T25</f>
        <v>571.13570019230247</v>
      </c>
      <c r="V22" s="1978">
        <f>+'29.2.4 Gas extenstions cust no'!U25</f>
        <v>572.35177514422685</v>
      </c>
      <c r="W22" s="1978">
        <f>+'29.2.4 Gas extenstions cust no'!V25</f>
        <v>573.26383135817014</v>
      </c>
      <c r="X22" s="1978">
        <f>+'29.2.4 Gas extenstions cust no'!W25</f>
        <v>573.9478735186276</v>
      </c>
      <c r="Y22" s="1978">
        <f>+'29.2.4 Gas extenstions cust no'!X25</f>
        <v>574.4609051389707</v>
      </c>
      <c r="Z22" s="1978">
        <f>+'29.2.4 Gas extenstions cust no'!Y25</f>
        <v>574.84567885422803</v>
      </c>
      <c r="AA22" s="1978">
        <f>+'29.2.4 Gas extenstions cust no'!Z25</f>
        <v>575.13425914067102</v>
      </c>
      <c r="AB22" s="1978">
        <f>+'29.2.4 Gas extenstions cust no'!AA25</f>
        <v>575.35069435550326</v>
      </c>
      <c r="AC22" s="1979">
        <f>+'29.2.4 Gas extenstions cust no'!AB25</f>
        <v>575.51302076662751</v>
      </c>
      <c r="AD22" s="1427"/>
      <c r="AE22" s="1427"/>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c r="BU22" s="229"/>
      <c r="BV22" s="229"/>
      <c r="BW22" s="229"/>
      <c r="BX22" s="229"/>
      <c r="BY22" s="229"/>
      <c r="BZ22" s="229"/>
      <c r="CA22" s="229"/>
      <c r="CB22" s="229"/>
      <c r="CC22" s="229"/>
      <c r="CD22" s="229"/>
      <c r="CE22" s="229"/>
      <c r="CF22" s="229"/>
      <c r="CG22" s="229"/>
      <c r="CH22" s="229"/>
      <c r="CI22" s="229"/>
      <c r="CJ22" s="229"/>
      <c r="CK22" s="229"/>
      <c r="CL22" s="229"/>
      <c r="CM22" s="229"/>
      <c r="CN22" s="229"/>
      <c r="CO22" s="229"/>
      <c r="CP22" s="229"/>
      <c r="CQ22" s="229"/>
      <c r="CR22" s="229"/>
      <c r="CS22" s="229"/>
      <c r="CT22" s="229"/>
      <c r="CU22" s="229"/>
      <c r="CV22" s="229"/>
      <c r="CW22" s="229"/>
      <c r="CX22" s="229"/>
      <c r="CY22" s="229"/>
      <c r="CZ22" s="229"/>
      <c r="DA22" s="229"/>
      <c r="DB22" s="229"/>
      <c r="DC22" s="229"/>
      <c r="DD22" s="229"/>
      <c r="DE22" s="229"/>
      <c r="DF22" s="229"/>
      <c r="DG22" s="229"/>
      <c r="DH22" s="229"/>
      <c r="DI22" s="229"/>
      <c r="DJ22" s="229"/>
      <c r="DK22" s="229"/>
      <c r="DL22" s="229"/>
      <c r="DM22" s="229"/>
      <c r="DN22" s="229"/>
      <c r="DO22" s="229"/>
      <c r="DP22" s="229"/>
    </row>
    <row r="23" spans="1:135" s="529" customFormat="1">
      <c r="B23" s="4176"/>
      <c r="C23" s="1026" t="s">
        <v>1483</v>
      </c>
      <c r="D23" s="884" t="s">
        <v>1479</v>
      </c>
      <c r="E23" s="514">
        <v>0</v>
      </c>
      <c r="F23" s="513">
        <v>867.06610668699909</v>
      </c>
      <c r="G23" s="513">
        <v>2924.8376000929907</v>
      </c>
      <c r="H23" s="513">
        <f>H$22*('28. Consumption and demand'!M92/'28. Consumption and demand'!M$91)</f>
        <v>3845.8644372733634</v>
      </c>
      <c r="I23" s="515">
        <f>I$22*('28. Consumption and demand'!N92/'28. Consumption and demand'!N$91)</f>
        <v>4418.692557774385</v>
      </c>
      <c r="J23" s="514">
        <f>J$22*('28. Consumption and demand'!O92/'28. Consumption and demand'!O$91)</f>
        <v>4725.360329157802</v>
      </c>
      <c r="K23" s="513">
        <f>K$22*('28. Consumption and demand'!P92/'28. Consumption and demand'!P$91)</f>
        <v>4937.0501480831381</v>
      </c>
      <c r="L23" s="513">
        <f>L$22*('28. Consumption and demand'!Q92/'28. Consumption and demand'!Q$91)</f>
        <v>5048.8823256080204</v>
      </c>
      <c r="M23" s="513">
        <f>M$22*('28. Consumption and demand'!R92/'28. Consumption and demand'!R$91)</f>
        <v>5082.9497294817893</v>
      </c>
      <c r="N23" s="515">
        <f>N$22*('28. Consumption and demand'!S92/'28. Consumption and demand'!S$91)</f>
        <v>5070.4221420998347</v>
      </c>
      <c r="O23" s="514">
        <f>+O$22*(N23/N$22)</f>
        <v>5156.0345590839133</v>
      </c>
      <c r="P23" s="513">
        <f>+P$22*(O23/O$22)</f>
        <v>5220.2438718219719</v>
      </c>
      <c r="Q23" s="513">
        <f t="shared" ref="Q23:AC30" si="1">+Q$22*(P23/P$22)</f>
        <v>5268.400856375516</v>
      </c>
      <c r="R23" s="513">
        <f t="shared" si="1"/>
        <v>5304.5185947906739</v>
      </c>
      <c r="S23" s="513">
        <f t="shared" si="1"/>
        <v>5331.6068986020427</v>
      </c>
      <c r="T23" s="513">
        <f t="shared" si="1"/>
        <v>5351.9231264605687</v>
      </c>
      <c r="U23" s="513">
        <f t="shared" si="1"/>
        <v>5367.1602973544641</v>
      </c>
      <c r="V23" s="513">
        <f t="shared" si="1"/>
        <v>5378.5881755248847</v>
      </c>
      <c r="W23" s="513">
        <f t="shared" si="1"/>
        <v>5387.1590841527013</v>
      </c>
      <c r="X23" s="513">
        <f t="shared" si="1"/>
        <v>5393.5872656235624</v>
      </c>
      <c r="Y23" s="513">
        <f t="shared" si="1"/>
        <v>5398.4084017267096</v>
      </c>
      <c r="Z23" s="513">
        <f t="shared" si="1"/>
        <v>5402.0242538040693</v>
      </c>
      <c r="AA23" s="513">
        <f t="shared" si="1"/>
        <v>5404.7361428620889</v>
      </c>
      <c r="AB23" s="513">
        <f t="shared" si="1"/>
        <v>5406.7700596556042</v>
      </c>
      <c r="AC23" s="515">
        <f t="shared" si="1"/>
        <v>5408.2954972507405</v>
      </c>
      <c r="AD23" s="1427"/>
      <c r="AE23" s="1427"/>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c r="BU23" s="229"/>
      <c r="BV23" s="229"/>
      <c r="BW23" s="229"/>
      <c r="BX23" s="229"/>
      <c r="BY23" s="229"/>
      <c r="BZ23" s="229"/>
      <c r="CA23" s="229"/>
      <c r="CB23" s="229"/>
      <c r="CC23" s="229"/>
      <c r="CD23" s="229"/>
      <c r="CE23" s="229"/>
      <c r="CF23" s="229"/>
      <c r="CG23" s="229"/>
      <c r="CH23" s="229"/>
      <c r="CI23" s="229"/>
      <c r="CJ23" s="229"/>
      <c r="CK23" s="229"/>
      <c r="CL23" s="229"/>
      <c r="CM23" s="229"/>
      <c r="CN23" s="229"/>
      <c r="CO23" s="229"/>
      <c r="CP23" s="229"/>
      <c r="CQ23" s="229"/>
      <c r="CR23" s="229"/>
      <c r="CS23" s="229"/>
      <c r="CT23" s="229"/>
      <c r="CU23" s="229"/>
      <c r="CV23" s="229"/>
      <c r="CW23" s="229"/>
      <c r="CX23" s="229"/>
      <c r="CY23" s="229"/>
      <c r="CZ23" s="229"/>
      <c r="DA23" s="229"/>
      <c r="DB23" s="229"/>
      <c r="DC23" s="229"/>
      <c r="DD23" s="229"/>
      <c r="DE23" s="229"/>
      <c r="DF23" s="229"/>
      <c r="DG23" s="229"/>
      <c r="DH23" s="229"/>
      <c r="DI23" s="229"/>
      <c r="DJ23" s="229"/>
      <c r="DK23" s="229"/>
      <c r="DL23" s="229"/>
      <c r="DM23" s="229"/>
      <c r="DN23" s="229"/>
      <c r="DO23" s="229"/>
      <c r="DP23" s="229"/>
    </row>
    <row r="24" spans="1:135" s="529" customFormat="1">
      <c r="B24" s="4176"/>
      <c r="C24" s="1026" t="s">
        <v>1484</v>
      </c>
      <c r="D24" s="884" t="s">
        <v>1480</v>
      </c>
      <c r="E24" s="514">
        <v>0</v>
      </c>
      <c r="F24" s="513">
        <v>549.85296644700009</v>
      </c>
      <c r="G24" s="513">
        <v>2310.0969564149977</v>
      </c>
      <c r="H24" s="513">
        <f>H$22*('28. Consumption and demand'!M93/'28. Consumption and demand'!M$91)</f>
        <v>3068.6723058398729</v>
      </c>
      <c r="I24" s="515">
        <f>I$22*('28. Consumption and demand'!N93/'28. Consumption and demand'!N$91)</f>
        <v>3487.9755011648549</v>
      </c>
      <c r="J24" s="514">
        <f>J$22*('28. Consumption and demand'!O93/'28. Consumption and demand'!O$91)</f>
        <v>3724.3075538735457</v>
      </c>
      <c r="K24" s="513">
        <f>K$22*('28. Consumption and demand'!P93/'28. Consumption and demand'!P$91)</f>
        <v>3884.7536611477553</v>
      </c>
      <c r="L24" s="513">
        <f>L$22*('28. Consumption and demand'!Q93/'28. Consumption and demand'!Q$91)</f>
        <v>3965.5290201421362</v>
      </c>
      <c r="M24" s="513">
        <f>M$22*('28. Consumption and demand'!R93/'28. Consumption and demand'!R$91)</f>
        <v>3984.6438163634966</v>
      </c>
      <c r="N24" s="515">
        <f>N$22*('28. Consumption and demand'!S93/'28. Consumption and demand'!S$91)</f>
        <v>3966.4156065668321</v>
      </c>
      <c r="O24" s="514">
        <f t="shared" ref="O24:P30" si="2">+O$22*(N24/N$22)</f>
        <v>4033.3872348306923</v>
      </c>
      <c r="P24" s="513">
        <f t="shared" si="2"/>
        <v>4083.6159560285873</v>
      </c>
      <c r="Q24" s="513">
        <f t="shared" si="1"/>
        <v>4121.2874969270088</v>
      </c>
      <c r="R24" s="513">
        <f t="shared" si="1"/>
        <v>4149.5411526008247</v>
      </c>
      <c r="S24" s="513">
        <f t="shared" si="1"/>
        <v>4170.7313943561867</v>
      </c>
      <c r="T24" s="513">
        <f t="shared" si="1"/>
        <v>4186.6240756727084</v>
      </c>
      <c r="U24" s="513">
        <f t="shared" si="1"/>
        <v>4198.5435866600992</v>
      </c>
      <c r="V24" s="513">
        <f t="shared" si="1"/>
        <v>4207.4832199006432</v>
      </c>
      <c r="W24" s="513">
        <f t="shared" si="1"/>
        <v>4214.187944831051</v>
      </c>
      <c r="X24" s="513">
        <f t="shared" si="1"/>
        <v>4219.2164885288566</v>
      </c>
      <c r="Y24" s="513">
        <f t="shared" si="1"/>
        <v>4222.9878963022111</v>
      </c>
      <c r="Z24" s="513">
        <f t="shared" si="1"/>
        <v>4225.8164521322269</v>
      </c>
      <c r="AA24" s="513">
        <f t="shared" si="1"/>
        <v>4227.9378690047388</v>
      </c>
      <c r="AB24" s="513">
        <f t="shared" si="1"/>
        <v>4229.5289316591225</v>
      </c>
      <c r="AC24" s="515">
        <f t="shared" si="1"/>
        <v>4230.7222286499109</v>
      </c>
      <c r="AD24" s="1427"/>
      <c r="AE24" s="1427"/>
      <c r="AF24" s="229"/>
      <c r="AG24" s="229"/>
      <c r="AH24" s="229"/>
      <c r="AI24" s="229"/>
      <c r="AJ24" s="229"/>
      <c r="AK24" s="229"/>
      <c r="AL24" s="229"/>
      <c r="AM24" s="229"/>
      <c r="AN24" s="229"/>
      <c r="AO24" s="229"/>
      <c r="AP24" s="229"/>
      <c r="AQ24" s="229"/>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c r="BU24" s="229"/>
      <c r="BV24" s="229"/>
      <c r="BW24" s="229"/>
      <c r="BX24" s="229"/>
      <c r="BY24" s="229"/>
      <c r="BZ24" s="229"/>
      <c r="CA24" s="229"/>
      <c r="CB24" s="229"/>
      <c r="CC24" s="229"/>
      <c r="CD24" s="229"/>
      <c r="CE24" s="229"/>
      <c r="CF24" s="229"/>
      <c r="CG24" s="229"/>
      <c r="CH24" s="229"/>
      <c r="CI24" s="229"/>
      <c r="CJ24" s="229"/>
      <c r="CK24" s="229"/>
      <c r="CL24" s="229"/>
      <c r="CM24" s="229"/>
      <c r="CN24" s="229"/>
      <c r="CO24" s="229"/>
      <c r="CP24" s="229"/>
      <c r="CQ24" s="229"/>
      <c r="CR24" s="229"/>
      <c r="CS24" s="229"/>
      <c r="CT24" s="229"/>
      <c r="CU24" s="229"/>
      <c r="CV24" s="229"/>
      <c r="CW24" s="229"/>
      <c r="CX24" s="229"/>
      <c r="CY24" s="229"/>
      <c r="CZ24" s="229"/>
      <c r="DA24" s="229"/>
      <c r="DB24" s="229"/>
      <c r="DC24" s="229"/>
      <c r="DD24" s="229"/>
      <c r="DE24" s="229"/>
      <c r="DF24" s="229"/>
      <c r="DG24" s="229"/>
      <c r="DH24" s="229"/>
      <c r="DI24" s="229"/>
      <c r="DJ24" s="229"/>
      <c r="DK24" s="229"/>
      <c r="DL24" s="229"/>
      <c r="DM24" s="229"/>
      <c r="DN24" s="229"/>
      <c r="DO24" s="229"/>
      <c r="DP24" s="229"/>
    </row>
    <row r="25" spans="1:135" s="529" customFormat="1">
      <c r="B25" s="4176"/>
      <c r="C25" s="1026" t="s">
        <v>1485</v>
      </c>
      <c r="D25" s="884" t="s">
        <v>1481</v>
      </c>
      <c r="E25" s="514">
        <v>0</v>
      </c>
      <c r="F25" s="513">
        <v>312.459340086</v>
      </c>
      <c r="G25" s="513">
        <v>1880.3394904059999</v>
      </c>
      <c r="H25" s="513">
        <f>H$22*('28. Consumption and demand'!M94/'28. Consumption and demand'!M$91)</f>
        <v>5844.5423853606526</v>
      </c>
      <c r="I25" s="515">
        <f>I$22*('28. Consumption and demand'!N94/'28. Consumption and demand'!N$91)</f>
        <v>6475.6316178393317</v>
      </c>
      <c r="J25" s="514">
        <f>J$22*('28. Consumption and demand'!O94/'28. Consumption and demand'!O$91)</f>
        <v>6905.9802988802403</v>
      </c>
      <c r="K25" s="513">
        <f>K$22*('28. Consumption and demand'!P94/'28. Consumption and demand'!P$91)</f>
        <v>7202.2614325067852</v>
      </c>
      <c r="L25" s="513">
        <f>L$22*('28. Consumption and demand'!Q94/'28. Consumption and demand'!Q$91)</f>
        <v>7355.8143397732574</v>
      </c>
      <c r="M25" s="513">
        <f>M$22*('28. Consumption and demand'!R94/'28. Consumption and demand'!R$91)</f>
        <v>7403.811358605788</v>
      </c>
      <c r="N25" s="515">
        <f>N$22*('28. Consumption and demand'!S94/'28. Consumption and demand'!S$91)</f>
        <v>7394.3207496054038</v>
      </c>
      <c r="O25" s="514">
        <f t="shared" si="2"/>
        <v>7519.171433352828</v>
      </c>
      <c r="P25" s="513">
        <f t="shared" si="2"/>
        <v>7612.8094461633955</v>
      </c>
      <c r="Q25" s="513">
        <f t="shared" si="1"/>
        <v>7683.0379557713213</v>
      </c>
      <c r="R25" s="513">
        <f t="shared" si="1"/>
        <v>7735.7093379772659</v>
      </c>
      <c r="S25" s="513">
        <f t="shared" si="1"/>
        <v>7775.2128746317239</v>
      </c>
      <c r="T25" s="513">
        <f t="shared" si="1"/>
        <v>7804.8405271225674</v>
      </c>
      <c r="U25" s="513">
        <f t="shared" si="1"/>
        <v>7827.0612664907003</v>
      </c>
      <c r="V25" s="513">
        <f t="shared" si="1"/>
        <v>7843.7268210168004</v>
      </c>
      <c r="W25" s="513">
        <f t="shared" si="1"/>
        <v>7856.225986911375</v>
      </c>
      <c r="X25" s="513">
        <f t="shared" si="1"/>
        <v>7865.6003613323055</v>
      </c>
      <c r="Y25" s="513">
        <f t="shared" si="1"/>
        <v>7872.6311421480041</v>
      </c>
      <c r="Z25" s="513">
        <f t="shared" si="1"/>
        <v>7877.9042277597773</v>
      </c>
      <c r="AA25" s="513">
        <f t="shared" si="1"/>
        <v>7881.8590419686079</v>
      </c>
      <c r="AB25" s="513">
        <f t="shared" si="1"/>
        <v>7884.8251526252307</v>
      </c>
      <c r="AC25" s="515">
        <f t="shared" si="1"/>
        <v>7887.0497356176984</v>
      </c>
      <c r="AD25" s="1427"/>
      <c r="AE25" s="1427"/>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c r="CI25" s="229"/>
      <c r="CJ25" s="229"/>
      <c r="CK25" s="229"/>
      <c r="CL25" s="229"/>
      <c r="CM25" s="229"/>
      <c r="CN25" s="229"/>
      <c r="CO25" s="229"/>
      <c r="CP25" s="229"/>
      <c r="CQ25" s="229"/>
      <c r="CR25" s="229"/>
      <c r="CS25" s="229"/>
      <c r="CT25" s="229"/>
      <c r="CU25" s="229"/>
      <c r="CV25" s="229"/>
      <c r="CW25" s="229"/>
      <c r="CX25" s="229"/>
      <c r="CY25" s="229"/>
      <c r="CZ25" s="229"/>
      <c r="DA25" s="229"/>
      <c r="DB25" s="229"/>
      <c r="DC25" s="229"/>
      <c r="DD25" s="229"/>
      <c r="DE25" s="229"/>
      <c r="DF25" s="229"/>
      <c r="DG25" s="229"/>
      <c r="DH25" s="229"/>
      <c r="DI25" s="229"/>
      <c r="DJ25" s="229"/>
      <c r="DK25" s="229"/>
      <c r="DL25" s="229"/>
      <c r="DM25" s="229"/>
      <c r="DN25" s="229"/>
      <c r="DO25" s="229"/>
      <c r="DP25" s="229"/>
    </row>
    <row r="26" spans="1:135" s="529" customFormat="1">
      <c r="B26" s="4176"/>
      <c r="C26" s="1026" t="s">
        <v>1486</v>
      </c>
      <c r="D26" s="884" t="s">
        <v>1482</v>
      </c>
      <c r="E26" s="514">
        <v>0</v>
      </c>
      <c r="F26" s="513">
        <v>33.568999995999995</v>
      </c>
      <c r="G26" s="513">
        <v>0</v>
      </c>
      <c r="H26" s="513">
        <f>H$22*('28. Consumption and demand'!M95/'28. Consumption and demand'!M$91)</f>
        <v>51.58180919339749</v>
      </c>
      <c r="I26" s="515">
        <f>I$22*('28. Consumption and demand'!N95/'28. Consumption and demand'!N$91)</f>
        <v>60.105629943187907</v>
      </c>
      <c r="J26" s="514">
        <f>J$22*('28. Consumption and demand'!O95/'28. Consumption and demand'!O$91)</f>
        <v>65.843542517630851</v>
      </c>
      <c r="K26" s="513">
        <f>K$22*('28. Consumption and demand'!P95/'28. Consumption and demand'!P$91)</f>
        <v>70.319198108346001</v>
      </c>
      <c r="L26" s="513">
        <f>L$22*('28. Consumption and demand'!Q95/'28. Consumption and demand'!Q$91)</f>
        <v>73.409697116581825</v>
      </c>
      <c r="M26" s="513">
        <f>M$22*('28. Consumption and demand'!R95/'28. Consumption and demand'!R$91)</f>
        <v>75.264764460210429</v>
      </c>
      <c r="N26" s="515">
        <f>N$22*('28. Consumption and demand'!S95/'28. Consumption and demand'!S$91)</f>
        <v>76.215441535414044</v>
      </c>
      <c r="O26" s="514">
        <f t="shared" si="2"/>
        <v>77.502314300341908</v>
      </c>
      <c r="P26" s="513">
        <f t="shared" si="2"/>
        <v>78.46746887403782</v>
      </c>
      <c r="Q26" s="513">
        <f t="shared" si="1"/>
        <v>79.191334804309747</v>
      </c>
      <c r="R26" s="513">
        <f t="shared" si="1"/>
        <v>79.734234252013692</v>
      </c>
      <c r="S26" s="513">
        <f t="shared" si="1"/>
        <v>80.141408837791658</v>
      </c>
      <c r="T26" s="513">
        <f t="shared" si="1"/>
        <v>80.446789777125119</v>
      </c>
      <c r="U26" s="513">
        <f t="shared" si="1"/>
        <v>80.675825481625225</v>
      </c>
      <c r="V26" s="513">
        <f t="shared" si="1"/>
        <v>80.847602260000301</v>
      </c>
      <c r="W26" s="513">
        <f t="shared" si="1"/>
        <v>80.976434843781604</v>
      </c>
      <c r="X26" s="513">
        <f t="shared" si="1"/>
        <v>81.073059281617589</v>
      </c>
      <c r="Y26" s="513">
        <f t="shared" si="1"/>
        <v>81.145527609994573</v>
      </c>
      <c r="Z26" s="513">
        <f t="shared" si="1"/>
        <v>81.199878856277309</v>
      </c>
      <c r="AA26" s="513">
        <f t="shared" si="1"/>
        <v>81.240642290989371</v>
      </c>
      <c r="AB26" s="513">
        <f t="shared" si="1"/>
        <v>81.271214867023403</v>
      </c>
      <c r="AC26" s="515">
        <f t="shared" si="1"/>
        <v>81.294144299048952</v>
      </c>
      <c r="AD26" s="1427"/>
      <c r="AE26" s="1427"/>
      <c r="AF26" s="229"/>
      <c r="AG26" s="229"/>
      <c r="AH26" s="229"/>
      <c r="AI26" s="229"/>
      <c r="AJ26" s="229"/>
      <c r="AK26" s="229"/>
      <c r="AL26" s="229"/>
      <c r="AM26" s="229"/>
      <c r="AN26" s="229"/>
      <c r="AO26" s="229"/>
      <c r="AP26" s="229"/>
      <c r="AQ26" s="229"/>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c r="BU26" s="229"/>
      <c r="BV26" s="229"/>
      <c r="BW26" s="229"/>
      <c r="BX26" s="229"/>
      <c r="BY26" s="229"/>
      <c r="BZ26" s="229"/>
      <c r="CA26" s="229"/>
      <c r="CB26" s="229"/>
      <c r="CC26" s="229"/>
      <c r="CD26" s="229"/>
      <c r="CE26" s="229"/>
      <c r="CF26" s="229"/>
      <c r="CG26" s="229"/>
      <c r="CH26" s="229"/>
      <c r="CI26" s="229"/>
      <c r="CJ26" s="229"/>
      <c r="CK26" s="229"/>
      <c r="CL26" s="229"/>
      <c r="CM26" s="229"/>
      <c r="CN26" s="229"/>
      <c r="CO26" s="229"/>
      <c r="CP26" s="229"/>
      <c r="CQ26" s="229"/>
      <c r="CR26" s="229"/>
      <c r="CS26" s="229"/>
      <c r="CT26" s="229"/>
      <c r="CU26" s="229"/>
      <c r="CV26" s="229"/>
      <c r="CW26" s="229"/>
      <c r="CX26" s="229"/>
      <c r="CY26" s="229"/>
      <c r="CZ26" s="229"/>
      <c r="DA26" s="229"/>
      <c r="DB26" s="229"/>
      <c r="DC26" s="229"/>
      <c r="DD26" s="229"/>
      <c r="DE26" s="229"/>
      <c r="DF26" s="229"/>
      <c r="DG26" s="229"/>
      <c r="DH26" s="229"/>
      <c r="DI26" s="229"/>
      <c r="DJ26" s="229"/>
      <c r="DK26" s="229"/>
      <c r="DL26" s="229"/>
      <c r="DM26" s="229"/>
      <c r="DN26" s="229"/>
      <c r="DO26" s="229"/>
      <c r="DP26" s="229"/>
    </row>
    <row r="27" spans="1:135" s="529" customFormat="1">
      <c r="B27" s="4176"/>
      <c r="C27" s="3417" t="s">
        <v>1491</v>
      </c>
      <c r="D27" s="884" t="s">
        <v>1487</v>
      </c>
      <c r="E27" s="514">
        <v>0</v>
      </c>
      <c r="F27" s="513">
        <v>416.95705885199999</v>
      </c>
      <c r="G27" s="513">
        <f>2098.98992079699+31.113723324</f>
        <v>2130.1036441209903</v>
      </c>
      <c r="H27" s="513">
        <f>H$22*('28. Consumption and demand'!M96/'28. Consumption and demand'!M$91)</f>
        <v>4709.2103934024508</v>
      </c>
      <c r="I27" s="515">
        <f>I$22*('28. Consumption and demand'!N96/'28. Consumption and demand'!N$91)</f>
        <v>5316.5532470151365</v>
      </c>
      <c r="J27" s="514">
        <f>J$22*('28. Consumption and demand'!O96/'28. Consumption and demand'!O$91)</f>
        <v>5621.1915520078865</v>
      </c>
      <c r="K27" s="513">
        <f>K$22*('28. Consumption and demand'!P96/'28. Consumption and demand'!P$91)</f>
        <v>5812.1842617669063</v>
      </c>
      <c r="L27" s="513">
        <f>L$22*('28. Consumption and demand'!Q96/'28. Consumption and demand'!Q$91)</f>
        <v>5885.3263029423651</v>
      </c>
      <c r="M27" s="513">
        <f>M$22*('28. Consumption and demand'!R96/'28. Consumption and demand'!R$91)</f>
        <v>5873.5687869227768</v>
      </c>
      <c r="N27" s="515">
        <f>N$22*('28. Consumption and demand'!S96/'28. Consumption and demand'!S$91)</f>
        <v>5817.6121458159132</v>
      </c>
      <c r="O27" s="514">
        <f t="shared" si="2"/>
        <v>5915.8406212605569</v>
      </c>
      <c r="P27" s="513">
        <f t="shared" si="2"/>
        <v>5989.5119778440394</v>
      </c>
      <c r="Q27" s="513">
        <f t="shared" si="1"/>
        <v>6044.765495281652</v>
      </c>
      <c r="R27" s="513">
        <f t="shared" si="1"/>
        <v>6086.2056333598612</v>
      </c>
      <c r="S27" s="513">
        <f t="shared" si="1"/>
        <v>6117.2857369185176</v>
      </c>
      <c r="T27" s="513">
        <f t="shared" si="1"/>
        <v>6140.5958145875102</v>
      </c>
      <c r="U27" s="513">
        <f t="shared" si="1"/>
        <v>6158.0783728392544</v>
      </c>
      <c r="V27" s="513">
        <f t="shared" si="1"/>
        <v>6171.1902915280625</v>
      </c>
      <c r="W27" s="513">
        <f t="shared" si="1"/>
        <v>6181.0242305446691</v>
      </c>
      <c r="X27" s="513">
        <f t="shared" si="1"/>
        <v>6188.3996848071238</v>
      </c>
      <c r="Y27" s="513">
        <f t="shared" si="1"/>
        <v>6193.9312755039646</v>
      </c>
      <c r="Z27" s="513">
        <f t="shared" si="1"/>
        <v>6198.0799685265956</v>
      </c>
      <c r="AA27" s="513">
        <f t="shared" si="1"/>
        <v>6201.1914882935689</v>
      </c>
      <c r="AB27" s="513">
        <f t="shared" si="1"/>
        <v>6203.5251281187984</v>
      </c>
      <c r="AC27" s="515">
        <f t="shared" si="1"/>
        <v>6205.2753579877217</v>
      </c>
      <c r="AD27" s="1427"/>
      <c r="AE27" s="1427"/>
      <c r="AF27" s="229"/>
      <c r="AG27" s="229"/>
      <c r="AH27" s="229"/>
      <c r="AI27" s="229"/>
      <c r="AJ27" s="229"/>
      <c r="AK27" s="229"/>
      <c r="AL27" s="229"/>
      <c r="AM27" s="229"/>
      <c r="AN27" s="229"/>
      <c r="AO27" s="229"/>
      <c r="AP27" s="229"/>
      <c r="AQ27" s="229"/>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c r="BU27" s="229"/>
      <c r="BV27" s="229"/>
      <c r="BW27" s="229"/>
      <c r="BX27" s="229"/>
      <c r="BY27" s="229"/>
      <c r="BZ27" s="229"/>
      <c r="CA27" s="229"/>
      <c r="CB27" s="229"/>
      <c r="CC27" s="229"/>
      <c r="CD27" s="229"/>
      <c r="CE27" s="229"/>
      <c r="CF27" s="229"/>
      <c r="CG27" s="229"/>
      <c r="CH27" s="229"/>
      <c r="CI27" s="229"/>
      <c r="CJ27" s="229"/>
      <c r="CK27" s="229"/>
      <c r="CL27" s="229"/>
      <c r="CM27" s="229"/>
      <c r="CN27" s="229"/>
      <c r="CO27" s="229"/>
      <c r="CP27" s="229"/>
      <c r="CQ27" s="229"/>
      <c r="CR27" s="229"/>
      <c r="CS27" s="229"/>
      <c r="CT27" s="229"/>
      <c r="CU27" s="229"/>
      <c r="CV27" s="229"/>
      <c r="CW27" s="229"/>
      <c r="CX27" s="229"/>
      <c r="CY27" s="229"/>
      <c r="CZ27" s="229"/>
      <c r="DA27" s="229"/>
      <c r="DB27" s="229"/>
      <c r="DC27" s="229"/>
      <c r="DD27" s="229"/>
      <c r="DE27" s="229"/>
      <c r="DF27" s="229"/>
      <c r="DG27" s="229"/>
      <c r="DH27" s="229"/>
      <c r="DI27" s="229"/>
      <c r="DJ27" s="229"/>
      <c r="DK27" s="229"/>
      <c r="DL27" s="229"/>
      <c r="DM27" s="229"/>
      <c r="DN27" s="229"/>
      <c r="DO27" s="229"/>
      <c r="DP27" s="229"/>
    </row>
    <row r="28" spans="1:135" s="529" customFormat="1">
      <c r="B28" s="4176"/>
      <c r="C28" s="3417" t="s">
        <v>1492</v>
      </c>
      <c r="D28" s="884" t="s">
        <v>1488</v>
      </c>
      <c r="E28" s="514">
        <v>0</v>
      </c>
      <c r="F28" s="513">
        <v>15.437512127000002</v>
      </c>
      <c r="G28" s="513">
        <v>263.79465544200002</v>
      </c>
      <c r="H28" s="513">
        <f>H$22*('28. Consumption and demand'!M97/'28. Consumption and demand'!M$91)</f>
        <v>1553.2828245003457</v>
      </c>
      <c r="I28" s="515">
        <f>I$22*('28. Consumption and demand'!N97/'28. Consumption and demand'!N$91)</f>
        <v>1647.0730390103995</v>
      </c>
      <c r="J28" s="514">
        <f>J$22*('28. Consumption and demand'!O97/'28. Consumption and demand'!O$91)</f>
        <v>1723.6237650105745</v>
      </c>
      <c r="K28" s="513">
        <f>K$22*('28. Consumption and demand'!P97/'28. Consumption and demand'!P$91)</f>
        <v>1763.8428683735244</v>
      </c>
      <c r="L28" s="513">
        <f>L$22*('28. Consumption and demand'!Q97/'28. Consumption and demand'!Q$91)</f>
        <v>1766.4988687462155</v>
      </c>
      <c r="M28" s="513">
        <f>M$22*('28. Consumption and demand'!R97/'28. Consumption and demand'!R$91)</f>
        <v>1743.7549441792717</v>
      </c>
      <c r="N28" s="515">
        <f>N$22*('28. Consumption and demand'!S97/'28. Consumption and demand'!S$91)</f>
        <v>1707.9411084342603</v>
      </c>
      <c r="O28" s="514">
        <f t="shared" si="2"/>
        <v>1736.7791345909873</v>
      </c>
      <c r="P28" s="513">
        <f t="shared" si="2"/>
        <v>1758.4076542085324</v>
      </c>
      <c r="Q28" s="513">
        <f t="shared" si="1"/>
        <v>1774.6290439216916</v>
      </c>
      <c r="R28" s="513">
        <f t="shared" si="1"/>
        <v>1786.7950862065607</v>
      </c>
      <c r="S28" s="513">
        <f t="shared" si="1"/>
        <v>1795.9196179202127</v>
      </c>
      <c r="T28" s="513">
        <f t="shared" si="1"/>
        <v>1802.7630167054515</v>
      </c>
      <c r="U28" s="513">
        <f t="shared" si="1"/>
        <v>1807.8955657943807</v>
      </c>
      <c r="V28" s="513">
        <f t="shared" si="1"/>
        <v>1811.7449776110777</v>
      </c>
      <c r="W28" s="513">
        <f t="shared" si="1"/>
        <v>1814.6320364736005</v>
      </c>
      <c r="X28" s="513">
        <f t="shared" si="1"/>
        <v>1816.7973306204924</v>
      </c>
      <c r="Y28" s="513">
        <f t="shared" si="1"/>
        <v>1818.4213012306614</v>
      </c>
      <c r="Z28" s="513">
        <f t="shared" si="1"/>
        <v>1819.6392791882881</v>
      </c>
      <c r="AA28" s="513">
        <f t="shared" si="1"/>
        <v>1820.5527626565081</v>
      </c>
      <c r="AB28" s="513">
        <f t="shared" si="1"/>
        <v>1821.2378752576733</v>
      </c>
      <c r="AC28" s="515">
        <f t="shared" si="1"/>
        <v>1821.7517097085472</v>
      </c>
      <c r="AD28" s="1427"/>
      <c r="AE28" s="1427"/>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row>
    <row r="29" spans="1:135" s="529" customFormat="1">
      <c r="B29" s="4176"/>
      <c r="C29" s="3417" t="s">
        <v>1493</v>
      </c>
      <c r="D29" s="884" t="s">
        <v>1489</v>
      </c>
      <c r="E29" s="514">
        <v>0</v>
      </c>
      <c r="F29" s="513">
        <v>0.10199999899999999</v>
      </c>
      <c r="G29" s="513">
        <v>48.197599758999992</v>
      </c>
      <c r="H29" s="513">
        <f>H$22*('28. Consumption and demand'!M98/'28. Consumption and demand'!M$91)</f>
        <v>1143.2276625478012</v>
      </c>
      <c r="I29" s="515">
        <f>I$22*('28. Consumption and demand'!N98/'28. Consumption and demand'!N$91)</f>
        <v>1176.6603979794843</v>
      </c>
      <c r="J29" s="514">
        <f>J$22*('28. Consumption and demand'!O98/'28. Consumption and demand'!O$91)</f>
        <v>1231.6745499591873</v>
      </c>
      <c r="K29" s="513">
        <f>K$22*('28. Consumption and demand'!P98/'28. Consumption and demand'!P$91)</f>
        <v>1261.0233669393022</v>
      </c>
      <c r="L29" s="513">
        <f>L$22*('28. Consumption and demand'!Q98/'28. Consumption and demand'!Q$91)</f>
        <v>1263.5255425883461</v>
      </c>
      <c r="M29" s="513">
        <f>M$22*('28. Consumption and demand'!R98/'28. Consumption and demand'!R$91)</f>
        <v>1248.1855798024201</v>
      </c>
      <c r="N29" s="515">
        <f>N$22*('28. Consumption and demand'!S98/'28. Consumption and demand'!S$91)</f>
        <v>1223.7232309821122</v>
      </c>
      <c r="O29" s="514">
        <f t="shared" si="2"/>
        <v>1244.3853968901676</v>
      </c>
      <c r="P29" s="513">
        <f t="shared" si="2"/>
        <v>1259.8820213212093</v>
      </c>
      <c r="Q29" s="513">
        <f t="shared" si="1"/>
        <v>1271.5044896444904</v>
      </c>
      <c r="R29" s="513">
        <f t="shared" si="1"/>
        <v>1280.2213408869513</v>
      </c>
      <c r="S29" s="513">
        <f t="shared" si="1"/>
        <v>1286.7589793187969</v>
      </c>
      <c r="T29" s="513">
        <f t="shared" si="1"/>
        <v>1291.662208142681</v>
      </c>
      <c r="U29" s="513">
        <f t="shared" si="1"/>
        <v>1295.3396297605943</v>
      </c>
      <c r="V29" s="513">
        <f t="shared" si="1"/>
        <v>1298.0976959740292</v>
      </c>
      <c r="W29" s="513">
        <f t="shared" si="1"/>
        <v>1300.1662456341053</v>
      </c>
      <c r="X29" s="513">
        <f t="shared" si="1"/>
        <v>1301.7176578791625</v>
      </c>
      <c r="Y29" s="513">
        <f t="shared" si="1"/>
        <v>1302.8812170629553</v>
      </c>
      <c r="Z29" s="513">
        <f t="shared" si="1"/>
        <v>1303.7538864507999</v>
      </c>
      <c r="AA29" s="513">
        <f t="shared" si="1"/>
        <v>1304.4083884916834</v>
      </c>
      <c r="AB29" s="513">
        <f t="shared" si="1"/>
        <v>1304.8992650223461</v>
      </c>
      <c r="AC29" s="515">
        <f t="shared" si="1"/>
        <v>1305.2674224203431</v>
      </c>
      <c r="AD29" s="1427"/>
      <c r="AE29" s="1427"/>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row>
    <row r="30" spans="1:135" s="529" customFormat="1">
      <c r="B30" s="4176"/>
      <c r="C30" s="3417" t="s">
        <v>1494</v>
      </c>
      <c r="D30" s="884" t="s">
        <v>1490</v>
      </c>
      <c r="E30" s="514">
        <v>0</v>
      </c>
      <c r="F30" s="513">
        <v>0</v>
      </c>
      <c r="G30" s="513">
        <v>5.4980000000000002</v>
      </c>
      <c r="H30" s="513">
        <f>H$22*('28. Consumption and demand'!M99/'28. Consumption and demand'!M$91)</f>
        <v>34.112484401639072</v>
      </c>
      <c r="I30" s="515">
        <f>I$22*('28. Consumption and demand'!N99/'28. Consumption and demand'!N$91)</f>
        <v>39.297266944327603</v>
      </c>
      <c r="J30" s="514">
        <f>J$22*('28. Consumption and demand'!O99/'28. Consumption and demand'!O$91)</f>
        <v>43.011368151909586</v>
      </c>
      <c r="K30" s="513">
        <f>K$22*('28. Consumption and demand'!P99/'28. Consumption and demand'!P$91)</f>
        <v>45.840425701501609</v>
      </c>
      <c r="L30" s="513">
        <f>L$22*('28. Consumption and demand'!Q99/'28. Consumption and demand'!Q$91)</f>
        <v>47.709378041287927</v>
      </c>
      <c r="M30" s="513">
        <f>M$22*('28. Consumption and demand'!R99/'28. Consumption and demand'!R$91)</f>
        <v>48.710242376675602</v>
      </c>
      <c r="N30" s="515">
        <f>N$22*('28. Consumption and demand'!S99/'28. Consumption and demand'!S$91)</f>
        <v>49.03389096782562</v>
      </c>
      <c r="O30" s="514">
        <f t="shared" si="2"/>
        <v>49.861812155103891</v>
      </c>
      <c r="P30" s="513">
        <f t="shared" si="2"/>
        <v>50.482753045562596</v>
      </c>
      <c r="Q30" s="513">
        <f t="shared" si="1"/>
        <v>50.948458713406623</v>
      </c>
      <c r="R30" s="513">
        <f t="shared" si="1"/>
        <v>51.297737964289645</v>
      </c>
      <c r="S30" s="513">
        <f t="shared" si="1"/>
        <v>51.55969740245191</v>
      </c>
      <c r="T30" s="513">
        <f t="shared" si="1"/>
        <v>51.756166981073605</v>
      </c>
      <c r="U30" s="513">
        <f t="shared" si="1"/>
        <v>51.903519165039881</v>
      </c>
      <c r="V30" s="513">
        <f t="shared" si="1"/>
        <v>52.014033303014585</v>
      </c>
      <c r="W30" s="513">
        <f t="shared" si="1"/>
        <v>52.096918906495617</v>
      </c>
      <c r="X30" s="513">
        <f t="shared" si="1"/>
        <v>52.15908310910639</v>
      </c>
      <c r="Y30" s="513">
        <f t="shared" si="1"/>
        <v>52.205706261064464</v>
      </c>
      <c r="Z30" s="513">
        <f t="shared" si="1"/>
        <v>52.240673625033025</v>
      </c>
      <c r="AA30" s="513">
        <f t="shared" si="1"/>
        <v>52.266899148009443</v>
      </c>
      <c r="AB30" s="513">
        <f t="shared" si="1"/>
        <v>52.28656829024176</v>
      </c>
      <c r="AC30" s="515">
        <f t="shared" si="1"/>
        <v>52.301320146915998</v>
      </c>
      <c r="AD30" s="1427"/>
      <c r="AE30" s="1427"/>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row>
    <row r="31" spans="1:135" s="529" customFormat="1" ht="13.5" thickBot="1">
      <c r="B31" s="4177"/>
      <c r="C31" s="1981" t="s">
        <v>63</v>
      </c>
      <c r="D31" s="1061"/>
      <c r="E31" s="1710">
        <f t="shared" ref="E31:O31" si="3">SUM(E23:E30)</f>
        <v>0</v>
      </c>
      <c r="F31" s="405">
        <f t="shared" si="3"/>
        <v>2195.4439841939989</v>
      </c>
      <c r="G31" s="405">
        <f t="shared" si="3"/>
        <v>9562.8679462359778</v>
      </c>
      <c r="H31" s="405">
        <f t="shared" si="3"/>
        <v>20250.494302519521</v>
      </c>
      <c r="I31" s="560">
        <f t="shared" si="3"/>
        <v>22621.989257671106</v>
      </c>
      <c r="J31" s="1710">
        <f t="shared" si="3"/>
        <v>24040.992959558778</v>
      </c>
      <c r="K31" s="405">
        <f t="shared" si="3"/>
        <v>24977.275362627261</v>
      </c>
      <c r="L31" s="405">
        <f t="shared" si="3"/>
        <v>25406.695474958211</v>
      </c>
      <c r="M31" s="405">
        <f t="shared" si="3"/>
        <v>25460.889222192432</v>
      </c>
      <c r="N31" s="560">
        <f t="shared" si="3"/>
        <v>25305.684316007595</v>
      </c>
      <c r="O31" s="1710">
        <f t="shared" si="3"/>
        <v>25732.962506464588</v>
      </c>
      <c r="P31" s="405">
        <f t="shared" ref="P31:AC31" si="4">SUM(P23:P30)</f>
        <v>26053.421149307334</v>
      </c>
      <c r="Q31" s="405">
        <f t="shared" si="4"/>
        <v>26293.765131439392</v>
      </c>
      <c r="R31" s="405">
        <f t="shared" si="4"/>
        <v>26474.02311803844</v>
      </c>
      <c r="S31" s="405">
        <f t="shared" si="4"/>
        <v>26609.216607987728</v>
      </c>
      <c r="T31" s="405">
        <f t="shared" si="4"/>
        <v>26710.611725449689</v>
      </c>
      <c r="U31" s="405">
        <f t="shared" si="4"/>
        <v>26786.658063546158</v>
      </c>
      <c r="V31" s="405">
        <f t="shared" si="4"/>
        <v>26843.692817118514</v>
      </c>
      <c r="W31" s="405">
        <f t="shared" si="4"/>
        <v>26886.468882297781</v>
      </c>
      <c r="X31" s="405">
        <f t="shared" si="4"/>
        <v>26918.550931182224</v>
      </c>
      <c r="Y31" s="405">
        <f t="shared" si="4"/>
        <v>26942.612467845571</v>
      </c>
      <c r="Z31" s="405">
        <f t="shared" si="4"/>
        <v>26960.658620343067</v>
      </c>
      <c r="AA31" s="405">
        <f t="shared" si="4"/>
        <v>26974.193234716193</v>
      </c>
      <c r="AB31" s="405">
        <f t="shared" si="4"/>
        <v>26984.344195496036</v>
      </c>
      <c r="AC31" s="560">
        <f t="shared" si="4"/>
        <v>26991.957416080928</v>
      </c>
      <c r="AD31" s="1427"/>
      <c r="AE31" s="1427"/>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row>
    <row r="32" spans="1:135" ht="24" customHeight="1">
      <c r="A32" s="1429"/>
      <c r="B32" s="1982" t="s">
        <v>63</v>
      </c>
      <c r="C32" s="1983"/>
      <c r="D32" s="1984"/>
      <c r="E32" s="1985">
        <f>E31</f>
        <v>0</v>
      </c>
      <c r="F32" s="1986">
        <f t="shared" ref="F32:AC32" si="5">F31</f>
        <v>2195.4439841939989</v>
      </c>
      <c r="G32" s="1986">
        <f t="shared" si="5"/>
        <v>9562.8679462359778</v>
      </c>
      <c r="H32" s="1986">
        <f t="shared" si="5"/>
        <v>20250.494302519521</v>
      </c>
      <c r="I32" s="3431">
        <f t="shared" si="5"/>
        <v>22621.989257671106</v>
      </c>
      <c r="J32" s="3434">
        <f t="shared" si="5"/>
        <v>24040.992959558778</v>
      </c>
      <c r="K32" s="3431">
        <f t="shared" si="5"/>
        <v>24977.275362627261</v>
      </c>
      <c r="L32" s="3431">
        <f t="shared" si="5"/>
        <v>25406.695474958211</v>
      </c>
      <c r="M32" s="3431">
        <f t="shared" si="5"/>
        <v>25460.889222192432</v>
      </c>
      <c r="N32" s="3435">
        <f t="shared" si="5"/>
        <v>25305.684316007595</v>
      </c>
      <c r="O32" s="3434">
        <f t="shared" si="5"/>
        <v>25732.962506464588</v>
      </c>
      <c r="P32" s="3431">
        <f t="shared" si="5"/>
        <v>26053.421149307334</v>
      </c>
      <c r="Q32" s="3431">
        <f t="shared" si="5"/>
        <v>26293.765131439392</v>
      </c>
      <c r="R32" s="3431">
        <f t="shared" si="5"/>
        <v>26474.02311803844</v>
      </c>
      <c r="S32" s="3431">
        <f t="shared" si="5"/>
        <v>26609.216607987728</v>
      </c>
      <c r="T32" s="3431">
        <f t="shared" si="5"/>
        <v>26710.611725449689</v>
      </c>
      <c r="U32" s="3431">
        <f t="shared" si="5"/>
        <v>26786.658063546158</v>
      </c>
      <c r="V32" s="3431">
        <f t="shared" si="5"/>
        <v>26843.692817118514</v>
      </c>
      <c r="W32" s="3431">
        <f t="shared" si="5"/>
        <v>26886.468882297781</v>
      </c>
      <c r="X32" s="3431">
        <f t="shared" si="5"/>
        <v>26918.550931182224</v>
      </c>
      <c r="Y32" s="3431">
        <f t="shared" si="5"/>
        <v>26942.612467845571</v>
      </c>
      <c r="Z32" s="3431">
        <f t="shared" si="5"/>
        <v>26960.658620343067</v>
      </c>
      <c r="AA32" s="3431">
        <f t="shared" si="5"/>
        <v>26974.193234716193</v>
      </c>
      <c r="AB32" s="3431">
        <f t="shared" si="5"/>
        <v>26984.344195496036</v>
      </c>
      <c r="AC32" s="3436">
        <f t="shared" si="5"/>
        <v>26991.957416080928</v>
      </c>
    </row>
    <row r="33" spans="1:135" ht="27" customHeight="1" thickBot="1">
      <c r="B33" s="1427"/>
      <c r="F33" s="3433"/>
      <c r="G33" s="3433"/>
      <c r="H33" s="3433"/>
      <c r="I33" s="3433"/>
      <c r="J33" s="3433"/>
      <c r="K33" s="3433"/>
      <c r="L33" s="3433"/>
      <c r="M33" s="3433"/>
      <c r="N33" s="3433"/>
      <c r="O33" s="3433"/>
      <c r="P33" s="3433"/>
      <c r="Q33" s="3433"/>
      <c r="R33" s="3433"/>
      <c r="S33" s="3433"/>
      <c r="T33" s="3433"/>
      <c r="U33" s="3433"/>
      <c r="V33" s="3433"/>
      <c r="W33" s="3433"/>
      <c r="X33" s="3433"/>
      <c r="Y33" s="3433"/>
      <c r="Z33" s="3433"/>
      <c r="AA33" s="3433"/>
      <c r="AB33" s="3433"/>
      <c r="AC33" s="3433"/>
    </row>
    <row r="34" spans="1:135" s="94" customFormat="1" ht="18.75" customHeight="1" thickBot="1">
      <c r="A34" s="308"/>
      <c r="B34" s="858" t="s">
        <v>1548</v>
      </c>
      <c r="C34" s="859"/>
      <c r="D34" s="859"/>
      <c r="E34" s="859"/>
      <c r="F34" s="859"/>
      <c r="G34" s="859"/>
      <c r="H34" s="859"/>
      <c r="I34" s="859"/>
      <c r="J34" s="859"/>
      <c r="K34" s="859"/>
      <c r="L34" s="859"/>
      <c r="M34" s="859"/>
      <c r="N34" s="859"/>
      <c r="O34" s="859"/>
      <c r="P34" s="859"/>
      <c r="Q34" s="859"/>
      <c r="R34" s="859"/>
      <c r="S34" s="859"/>
      <c r="T34" s="859"/>
      <c r="U34" s="859"/>
      <c r="V34" s="859"/>
      <c r="W34" s="859"/>
      <c r="X34" s="859"/>
      <c r="Y34" s="859"/>
      <c r="Z34" s="859"/>
      <c r="AA34" s="859"/>
      <c r="AB34" s="859"/>
      <c r="AC34" s="860"/>
      <c r="AD34" s="1427"/>
      <c r="AE34" s="1427"/>
      <c r="AF34" s="1427"/>
      <c r="DF34" s="1427"/>
      <c r="DG34" s="1427"/>
      <c r="DH34" s="1427"/>
      <c r="DI34" s="1427"/>
      <c r="DJ34" s="1427"/>
      <c r="DK34" s="1427"/>
      <c r="DL34" s="1427"/>
      <c r="DM34" s="1427"/>
      <c r="DN34" s="1427"/>
      <c r="DO34" s="1427"/>
      <c r="DP34" s="1427"/>
      <c r="DQ34" s="1427"/>
      <c r="DR34" s="1427"/>
      <c r="DS34" s="1427"/>
      <c r="DT34" s="1427"/>
      <c r="DU34" s="1427"/>
      <c r="DV34" s="1427"/>
      <c r="DW34" s="1427"/>
      <c r="DX34" s="1427"/>
      <c r="DY34" s="1427"/>
      <c r="DZ34" s="1427"/>
      <c r="EA34" s="1427"/>
      <c r="EB34" s="1427"/>
      <c r="EC34" s="1427"/>
      <c r="ED34" s="1427"/>
      <c r="EE34" s="1427"/>
    </row>
    <row r="35" spans="1:135">
      <c r="A35" s="1429"/>
      <c r="B35" s="4191" t="str">
        <f>+'29.2.4 Gas extenstions cust no'!B34</f>
        <v>Declining block tariff</v>
      </c>
      <c r="C35" s="4178" t="s">
        <v>47</v>
      </c>
      <c r="D35" s="4179"/>
      <c r="E35" s="2010">
        <f>+'29.2.4 Gas extenstions cust no'!D36</f>
        <v>0</v>
      </c>
      <c r="F35" s="1978">
        <f>+'29.2.4 Gas extenstions cust no'!E36</f>
        <v>0</v>
      </c>
      <c r="G35" s="1978">
        <f>+'29.2.4 Gas extenstions cust no'!F36</f>
        <v>2</v>
      </c>
      <c r="H35" s="1978">
        <f>+'29.2.4 Gas extenstions cust no'!G36</f>
        <v>2</v>
      </c>
      <c r="I35" s="1979">
        <f>+'29.2.4 Gas extenstions cust no'!H36</f>
        <v>4</v>
      </c>
      <c r="J35" s="3426">
        <f>+'29.2.4 Gas extenstions cust no'!I36</f>
        <v>4</v>
      </c>
      <c r="K35" s="3425">
        <f>+'29.2.4 Gas extenstions cust no'!J36</f>
        <v>4</v>
      </c>
      <c r="L35" s="3425">
        <f>+'29.2.4 Gas extenstions cust no'!K36</f>
        <v>4</v>
      </c>
      <c r="M35" s="3425">
        <f>+'29.2.4 Gas extenstions cust no'!L36</f>
        <v>4</v>
      </c>
      <c r="N35" s="3427">
        <f>+'29.2.4 Gas extenstions cust no'!M36</f>
        <v>4</v>
      </c>
      <c r="O35" s="3424">
        <f>+'29.2.4 Gas extenstions cust no'!N36</f>
        <v>4</v>
      </c>
      <c r="P35" s="3425">
        <f>+'29.2.4 Gas extenstions cust no'!O36</f>
        <v>4</v>
      </c>
      <c r="Q35" s="3425">
        <f>+'29.2.4 Gas extenstions cust no'!P36</f>
        <v>4</v>
      </c>
      <c r="R35" s="3425">
        <f>+'29.2.4 Gas extenstions cust no'!Q36</f>
        <v>4</v>
      </c>
      <c r="S35" s="3425">
        <f>+'29.2.4 Gas extenstions cust no'!R36</f>
        <v>4</v>
      </c>
      <c r="T35" s="3425">
        <f>+'29.2.4 Gas extenstions cust no'!S36</f>
        <v>4</v>
      </c>
      <c r="U35" s="3425">
        <f>+'29.2.4 Gas extenstions cust no'!T36</f>
        <v>4</v>
      </c>
      <c r="V35" s="3425">
        <f>+'29.2.4 Gas extenstions cust no'!U36</f>
        <v>4</v>
      </c>
      <c r="W35" s="3425">
        <f>+'29.2.4 Gas extenstions cust no'!V36</f>
        <v>4</v>
      </c>
      <c r="X35" s="3425">
        <f>+'29.2.4 Gas extenstions cust no'!W36</f>
        <v>4</v>
      </c>
      <c r="Y35" s="3425">
        <f>+'29.2.4 Gas extenstions cust no'!X36</f>
        <v>4</v>
      </c>
      <c r="Z35" s="3425">
        <f>+'29.2.4 Gas extenstions cust no'!Y36</f>
        <v>4</v>
      </c>
      <c r="AA35" s="3425">
        <f>+'29.2.4 Gas extenstions cust no'!Z36</f>
        <v>4</v>
      </c>
      <c r="AB35" s="3425">
        <f>+'29.2.4 Gas extenstions cust no'!AA36</f>
        <v>4</v>
      </c>
      <c r="AC35" s="3428">
        <f>+'29.2.4 Gas extenstions cust no'!AB36</f>
        <v>4</v>
      </c>
    </row>
    <row r="36" spans="1:135">
      <c r="A36" s="1429"/>
      <c r="B36" s="4191"/>
      <c r="C36" s="1026" t="s">
        <v>1483</v>
      </c>
      <c r="D36" s="884" t="s">
        <v>1479</v>
      </c>
      <c r="E36" s="514">
        <v>0</v>
      </c>
      <c r="F36" s="513">
        <v>0</v>
      </c>
      <c r="G36" s="513">
        <v>27.100643921000003</v>
      </c>
      <c r="H36" s="513">
        <f>+H$35*('28. Consumption and demand'!H102/'28. Consumption and demand'!H$101)</f>
        <v>21.660330275229356</v>
      </c>
      <c r="I36" s="515">
        <f>+I$35*('28. Consumption and demand'!I102/'28. Consumption and demand'!I$101)</f>
        <v>41.773203252032523</v>
      </c>
      <c r="J36" s="3437">
        <f>+J$35*('28. Consumption and demand'!J102/'28. Consumption and demand'!J$101)</f>
        <v>40.727739348370932</v>
      </c>
      <c r="K36" s="3418">
        <f>+K$35*('28. Consumption and demand'!K102/'28. Consumption and demand'!K$101)</f>
        <v>39.658902325581401</v>
      </c>
      <c r="L36" s="3418">
        <f>+L$35*('28. Consumption and demand'!L102/'28. Consumption and demand'!L$101)</f>
        <v>40.820583690987121</v>
      </c>
      <c r="M36" s="3418">
        <f>+M$35*('28. Consumption and demand'!M102/'28. Consumption and demand'!M$101)</f>
        <v>42.248669535305943</v>
      </c>
      <c r="N36" s="3420">
        <f>+N$35*('28. Consumption and demand'!N102/'28. Consumption and demand'!N$101)</f>
        <v>41.683228848019112</v>
      </c>
      <c r="O36" s="514">
        <f>+O$35*(N36/N$35)</f>
        <v>41.683228848019112</v>
      </c>
      <c r="P36" s="513">
        <f t="shared" ref="P36:AC36" si="6">+P$35*(O36/O$35)</f>
        <v>41.683228848019112</v>
      </c>
      <c r="Q36" s="513">
        <f t="shared" si="6"/>
        <v>41.683228848019112</v>
      </c>
      <c r="R36" s="513">
        <f t="shared" si="6"/>
        <v>41.683228848019112</v>
      </c>
      <c r="S36" s="513">
        <f t="shared" si="6"/>
        <v>41.683228848019112</v>
      </c>
      <c r="T36" s="513">
        <f t="shared" si="6"/>
        <v>41.683228848019112</v>
      </c>
      <c r="U36" s="513">
        <f t="shared" si="6"/>
        <v>41.683228848019112</v>
      </c>
      <c r="V36" s="513">
        <f t="shared" si="6"/>
        <v>41.683228848019112</v>
      </c>
      <c r="W36" s="513">
        <f t="shared" si="6"/>
        <v>41.683228848019112</v>
      </c>
      <c r="X36" s="513">
        <f t="shared" si="6"/>
        <v>41.683228848019112</v>
      </c>
      <c r="Y36" s="513">
        <f t="shared" si="6"/>
        <v>41.683228848019112</v>
      </c>
      <c r="Z36" s="513">
        <f t="shared" si="6"/>
        <v>41.683228848019112</v>
      </c>
      <c r="AA36" s="513">
        <f t="shared" si="6"/>
        <v>41.683228848019112</v>
      </c>
      <c r="AB36" s="513">
        <f t="shared" si="6"/>
        <v>41.683228848019112</v>
      </c>
      <c r="AC36" s="515">
        <f t="shared" si="6"/>
        <v>41.683228848019112</v>
      </c>
    </row>
    <row r="37" spans="1:135">
      <c r="A37" s="1429"/>
      <c r="B37" s="4191"/>
      <c r="C37" s="1026" t="s">
        <v>1484</v>
      </c>
      <c r="D37" s="884" t="s">
        <v>1480</v>
      </c>
      <c r="E37" s="514">
        <v>0</v>
      </c>
      <c r="F37" s="513">
        <v>0</v>
      </c>
      <c r="G37" s="513">
        <v>23.800000000000004</v>
      </c>
      <c r="H37" s="513">
        <f>+H$35*('28. Consumption and demand'!H103/'28. Consumption and demand'!H$101)</f>
        <v>18.025088685015291</v>
      </c>
      <c r="I37" s="515">
        <f>+I$35*('28. Consumption and demand'!I103/'28. Consumption and demand'!I$101)</f>
        <v>35.516986449864497</v>
      </c>
      <c r="J37" s="3437">
        <f>+J$35*('28. Consumption and demand'!J103/'28. Consumption and demand'!J$101)</f>
        <v>34.240160401002505</v>
      </c>
      <c r="K37" s="3418">
        <f>+K$35*('28. Consumption and demand'!K103/'28. Consumption and demand'!K$101)</f>
        <v>34.449358139534887</v>
      </c>
      <c r="L37" s="3418">
        <f>+L$35*('28. Consumption and demand'!L103/'28. Consumption and demand'!L$101)</f>
        <v>34.202094420600858</v>
      </c>
      <c r="M37" s="3418">
        <f>+M$35*('28. Consumption and demand'!M103/'28. Consumption and demand'!M$101)</f>
        <v>36.39090759652187</v>
      </c>
      <c r="N37" s="3420">
        <f>+N$35*('28. Consumption and demand'!N103/'28. Consumption and demand'!N$101)</f>
        <v>36.128811584514644</v>
      </c>
      <c r="O37" s="467">
        <f t="shared" ref="O37:AC43" si="7">+O$35*(N37/N$35)</f>
        <v>36.128811584514644</v>
      </c>
      <c r="P37" s="513">
        <f t="shared" si="7"/>
        <v>36.128811584514644</v>
      </c>
      <c r="Q37" s="513">
        <f t="shared" si="7"/>
        <v>36.128811584514644</v>
      </c>
      <c r="R37" s="513">
        <f t="shared" si="7"/>
        <v>36.128811584514644</v>
      </c>
      <c r="S37" s="513">
        <f t="shared" si="7"/>
        <v>36.128811584514644</v>
      </c>
      <c r="T37" s="513">
        <f t="shared" si="7"/>
        <v>36.128811584514644</v>
      </c>
      <c r="U37" s="513">
        <f t="shared" si="7"/>
        <v>36.128811584514644</v>
      </c>
      <c r="V37" s="513">
        <f t="shared" si="7"/>
        <v>36.128811584514644</v>
      </c>
      <c r="W37" s="513">
        <f t="shared" si="7"/>
        <v>36.128811584514644</v>
      </c>
      <c r="X37" s="513">
        <f t="shared" si="7"/>
        <v>36.128811584514644</v>
      </c>
      <c r="Y37" s="513">
        <f t="shared" si="7"/>
        <v>36.128811584514644</v>
      </c>
      <c r="Z37" s="513">
        <f t="shared" si="7"/>
        <v>36.128811584514644</v>
      </c>
      <c r="AA37" s="513">
        <f t="shared" si="7"/>
        <v>36.128811584514644</v>
      </c>
      <c r="AB37" s="513">
        <f t="shared" si="7"/>
        <v>36.128811584514644</v>
      </c>
      <c r="AC37" s="515">
        <f t="shared" si="7"/>
        <v>36.128811584514644</v>
      </c>
    </row>
    <row r="38" spans="1:135">
      <c r="A38" s="1429"/>
      <c r="B38" s="4191"/>
      <c r="C38" s="1026" t="s">
        <v>1485</v>
      </c>
      <c r="D38" s="884" t="s">
        <v>1481</v>
      </c>
      <c r="E38" s="514">
        <v>0</v>
      </c>
      <c r="F38" s="513">
        <v>0</v>
      </c>
      <c r="G38" s="513">
        <v>26.776413726000001</v>
      </c>
      <c r="H38" s="513">
        <f>+H$35*('28. Consumption and demand'!H104/'28. Consumption and demand'!H$101)</f>
        <v>104.97051987767584</v>
      </c>
      <c r="I38" s="515">
        <f>+I$35*('28. Consumption and demand'!I104/'28. Consumption and demand'!I$101)</f>
        <v>224.02631978319783</v>
      </c>
      <c r="J38" s="3437">
        <f>+J$35*('28. Consumption and demand'!J104/'28. Consumption and demand'!J$101)</f>
        <v>203.71470676691732</v>
      </c>
      <c r="K38" s="3418">
        <f>+K$35*('28. Consumption and demand'!K104/'28. Consumption and demand'!K$101)</f>
        <v>207.31259534883719</v>
      </c>
      <c r="L38" s="3418">
        <f>+L$35*('28. Consumption and demand'!L104/'28. Consumption and demand'!L$101)</f>
        <v>203.34037768240341</v>
      </c>
      <c r="M38" s="3418">
        <f>+M$35*('28. Consumption and demand'!M104/'28. Consumption and demand'!M$101)</f>
        <v>207.59662229802086</v>
      </c>
      <c r="N38" s="3420">
        <f>+N$35*('28. Consumption and demand'!N104/'28. Consumption and demand'!N$101)</f>
        <v>205.69960589940322</v>
      </c>
      <c r="O38" s="467">
        <f t="shared" si="7"/>
        <v>205.69960589940322</v>
      </c>
      <c r="P38" s="513">
        <f t="shared" si="7"/>
        <v>205.69960589940322</v>
      </c>
      <c r="Q38" s="513">
        <f t="shared" si="7"/>
        <v>205.69960589940322</v>
      </c>
      <c r="R38" s="513">
        <f t="shared" si="7"/>
        <v>205.69960589940322</v>
      </c>
      <c r="S38" s="513">
        <f t="shared" si="7"/>
        <v>205.69960589940322</v>
      </c>
      <c r="T38" s="513">
        <f t="shared" si="7"/>
        <v>205.69960589940322</v>
      </c>
      <c r="U38" s="513">
        <f t="shared" si="7"/>
        <v>205.69960589940322</v>
      </c>
      <c r="V38" s="513">
        <f t="shared" si="7"/>
        <v>205.69960589940322</v>
      </c>
      <c r="W38" s="513">
        <f t="shared" si="7"/>
        <v>205.69960589940322</v>
      </c>
      <c r="X38" s="513">
        <f t="shared" si="7"/>
        <v>205.69960589940322</v>
      </c>
      <c r="Y38" s="513">
        <f t="shared" si="7"/>
        <v>205.69960589940322</v>
      </c>
      <c r="Z38" s="513">
        <f t="shared" si="7"/>
        <v>205.69960589940322</v>
      </c>
      <c r="AA38" s="513">
        <f t="shared" si="7"/>
        <v>205.69960589940322</v>
      </c>
      <c r="AB38" s="513">
        <f t="shared" si="7"/>
        <v>205.69960589940322</v>
      </c>
      <c r="AC38" s="515">
        <f t="shared" si="7"/>
        <v>205.69960589940322</v>
      </c>
    </row>
    <row r="39" spans="1:135">
      <c r="A39" s="1429"/>
      <c r="B39" s="4191"/>
      <c r="C39" s="1026" t="s">
        <v>1486</v>
      </c>
      <c r="D39" s="884" t="s">
        <v>1482</v>
      </c>
      <c r="E39" s="514">
        <v>0</v>
      </c>
      <c r="F39" s="513">
        <v>0</v>
      </c>
      <c r="G39" s="513">
        <v>0</v>
      </c>
      <c r="H39" s="513">
        <f>+H$35*('28. Consumption and demand'!H105/'28. Consumption and demand'!H$101)</f>
        <v>276.69652599388377</v>
      </c>
      <c r="I39" s="515">
        <f>+I$35*('28. Consumption and demand'!I105/'28. Consumption and demand'!I$101)</f>
        <v>522.59833062330631</v>
      </c>
      <c r="J39" s="3437">
        <f>+J$35*('28. Consumption and demand'!J105/'28. Consumption and demand'!J$101)</f>
        <v>464.68457142857142</v>
      </c>
      <c r="K39" s="3418">
        <f>+K$35*('28. Consumption and demand'!K105/'28. Consumption and demand'!K$101)</f>
        <v>410.16569302325581</v>
      </c>
      <c r="L39" s="3418">
        <f>+L$35*('28. Consumption and demand'!L105/'28. Consumption and demand'!L$101)</f>
        <v>455.05551931330473</v>
      </c>
      <c r="M39" s="3418">
        <f>+M$35*('28. Consumption and demand'!M105/'28. Consumption and demand'!M$101)</f>
        <v>451.8036160406283</v>
      </c>
      <c r="N39" s="3420">
        <f>+N$35*('28. Consumption and demand'!N105/'28. Consumption and demand'!N$101)</f>
        <v>436.97755634569592</v>
      </c>
      <c r="O39" s="467">
        <f t="shared" si="7"/>
        <v>436.97755634569592</v>
      </c>
      <c r="P39" s="513">
        <f t="shared" si="7"/>
        <v>436.97755634569592</v>
      </c>
      <c r="Q39" s="513">
        <f t="shared" si="7"/>
        <v>436.97755634569592</v>
      </c>
      <c r="R39" s="513">
        <f t="shared" si="7"/>
        <v>436.97755634569592</v>
      </c>
      <c r="S39" s="513">
        <f t="shared" si="7"/>
        <v>436.97755634569592</v>
      </c>
      <c r="T39" s="513">
        <f t="shared" si="7"/>
        <v>436.97755634569592</v>
      </c>
      <c r="U39" s="513">
        <f t="shared" si="7"/>
        <v>436.97755634569592</v>
      </c>
      <c r="V39" s="513">
        <f t="shared" si="7"/>
        <v>436.97755634569592</v>
      </c>
      <c r="W39" s="513">
        <f t="shared" si="7"/>
        <v>436.97755634569592</v>
      </c>
      <c r="X39" s="513">
        <f t="shared" si="7"/>
        <v>436.97755634569592</v>
      </c>
      <c r="Y39" s="513">
        <f t="shared" si="7"/>
        <v>436.97755634569592</v>
      </c>
      <c r="Z39" s="513">
        <f t="shared" si="7"/>
        <v>436.97755634569592</v>
      </c>
      <c r="AA39" s="513">
        <f t="shared" si="7"/>
        <v>436.97755634569592</v>
      </c>
      <c r="AB39" s="513">
        <f t="shared" si="7"/>
        <v>436.97755634569592</v>
      </c>
      <c r="AC39" s="515">
        <f t="shared" si="7"/>
        <v>436.97755634569592</v>
      </c>
    </row>
    <row r="40" spans="1:135">
      <c r="A40" s="1429"/>
      <c r="B40" s="4191"/>
      <c r="C40" s="3417" t="s">
        <v>1491</v>
      </c>
      <c r="D40" s="884" t="s">
        <v>1487</v>
      </c>
      <c r="E40" s="514">
        <v>0</v>
      </c>
      <c r="F40" s="513">
        <v>0</v>
      </c>
      <c r="G40" s="513">
        <v>20.213908133</v>
      </c>
      <c r="H40" s="513">
        <f>+H$35*('28. Consumption and demand'!H106/'28. Consumption and demand'!H$101)</f>
        <v>33.705259938837926</v>
      </c>
      <c r="I40" s="515">
        <f>+I$35*('28. Consumption and demand'!I106/'28. Consumption and demand'!I$101)</f>
        <v>67.32643902439024</v>
      </c>
      <c r="J40" s="3437">
        <f>+J$35*('28. Consumption and demand'!J106/'28. Consumption and demand'!J$101)</f>
        <v>65.3559298245614</v>
      </c>
      <c r="K40" s="3418">
        <f>+K$35*('28. Consumption and demand'!K106/'28. Consumption and demand'!K$101)</f>
        <v>66.01635348837209</v>
      </c>
      <c r="L40" s="3418">
        <f>+L$35*('28. Consumption and demand'!L106/'28. Consumption and demand'!L$101)</f>
        <v>65.149047210300424</v>
      </c>
      <c r="M40" s="3418">
        <f>+M$35*('28. Consumption and demand'!M106/'28. Consumption and demand'!M$101)</f>
        <v>65.902718595761343</v>
      </c>
      <c r="N40" s="3420">
        <f>+N$35*('28. Consumption and demand'!N106/'28. Consumption and demand'!N$101)</f>
        <v>65.062887399400509</v>
      </c>
      <c r="O40" s="467">
        <f t="shared" si="7"/>
        <v>65.062887399400509</v>
      </c>
      <c r="P40" s="513">
        <f t="shared" si="7"/>
        <v>65.062887399400509</v>
      </c>
      <c r="Q40" s="513">
        <f t="shared" si="7"/>
        <v>65.062887399400509</v>
      </c>
      <c r="R40" s="513">
        <f t="shared" si="7"/>
        <v>65.062887399400509</v>
      </c>
      <c r="S40" s="513">
        <f t="shared" si="7"/>
        <v>65.062887399400509</v>
      </c>
      <c r="T40" s="513">
        <f t="shared" si="7"/>
        <v>65.062887399400509</v>
      </c>
      <c r="U40" s="513">
        <f t="shared" si="7"/>
        <v>65.062887399400509</v>
      </c>
      <c r="V40" s="513">
        <f t="shared" si="7"/>
        <v>65.062887399400509</v>
      </c>
      <c r="W40" s="513">
        <f t="shared" si="7"/>
        <v>65.062887399400509</v>
      </c>
      <c r="X40" s="513">
        <f t="shared" si="7"/>
        <v>65.062887399400509</v>
      </c>
      <c r="Y40" s="513">
        <f t="shared" si="7"/>
        <v>65.062887399400509</v>
      </c>
      <c r="Z40" s="513">
        <f t="shared" si="7"/>
        <v>65.062887399400509</v>
      </c>
      <c r="AA40" s="513">
        <f t="shared" si="7"/>
        <v>65.062887399400509</v>
      </c>
      <c r="AB40" s="513">
        <f t="shared" si="7"/>
        <v>65.062887399400509</v>
      </c>
      <c r="AC40" s="515">
        <f t="shared" si="7"/>
        <v>65.062887399400509</v>
      </c>
    </row>
    <row r="41" spans="1:135">
      <c r="A41" s="1429"/>
      <c r="B41" s="4191"/>
      <c r="C41" s="3417" t="s">
        <v>1492</v>
      </c>
      <c r="D41" s="884" t="s">
        <v>1488</v>
      </c>
      <c r="E41" s="514">
        <v>0</v>
      </c>
      <c r="F41" s="513">
        <v>0</v>
      </c>
      <c r="G41" s="513">
        <v>12.200000000000001</v>
      </c>
      <c r="H41" s="513">
        <f>+H$35*('28. Consumption and demand'!H107/'28. Consumption and demand'!H$101)</f>
        <v>25.528146788990824</v>
      </c>
      <c r="I41" s="515">
        <f>+I$35*('28. Consumption and demand'!I107/'28. Consumption and demand'!I$101)</f>
        <v>50.745582655826553</v>
      </c>
      <c r="J41" s="3437">
        <f>+J$35*('28. Consumption and demand'!J107/'28. Consumption and demand'!J$101)</f>
        <v>48.686075187969919</v>
      </c>
      <c r="K41" s="3418">
        <f>+K$35*('28. Consumption and demand'!K107/'28. Consumption and demand'!K$101)</f>
        <v>47.699683720930238</v>
      </c>
      <c r="L41" s="3418">
        <f>+L$35*('28. Consumption and demand'!L107/'28. Consumption and demand'!L$101)</f>
        <v>47.980068669527896</v>
      </c>
      <c r="M41" s="3418">
        <f>+M$35*('28. Consumption and demand'!M107/'28. Consumption and demand'!M$101)</f>
        <v>47.251325862485274</v>
      </c>
      <c r="N41" s="3420">
        <f>+N$35*('28. Consumption and demand'!N107/'28. Consumption and demand'!N$101)</f>
        <v>47.014488891312787</v>
      </c>
      <c r="O41" s="467">
        <f t="shared" si="7"/>
        <v>47.014488891312787</v>
      </c>
      <c r="P41" s="513">
        <f t="shared" si="7"/>
        <v>47.014488891312787</v>
      </c>
      <c r="Q41" s="513">
        <f t="shared" si="7"/>
        <v>47.014488891312787</v>
      </c>
      <c r="R41" s="513">
        <f t="shared" si="7"/>
        <v>47.014488891312787</v>
      </c>
      <c r="S41" s="513">
        <f t="shared" si="7"/>
        <v>47.014488891312787</v>
      </c>
      <c r="T41" s="513">
        <f t="shared" si="7"/>
        <v>47.014488891312787</v>
      </c>
      <c r="U41" s="513">
        <f t="shared" si="7"/>
        <v>47.014488891312787</v>
      </c>
      <c r="V41" s="513">
        <f t="shared" si="7"/>
        <v>47.014488891312787</v>
      </c>
      <c r="W41" s="513">
        <f t="shared" si="7"/>
        <v>47.014488891312787</v>
      </c>
      <c r="X41" s="513">
        <f t="shared" si="7"/>
        <v>47.014488891312787</v>
      </c>
      <c r="Y41" s="513">
        <f t="shared" si="7"/>
        <v>47.014488891312787</v>
      </c>
      <c r="Z41" s="513">
        <f t="shared" si="7"/>
        <v>47.014488891312787</v>
      </c>
      <c r="AA41" s="513">
        <f t="shared" si="7"/>
        <v>47.014488891312787</v>
      </c>
      <c r="AB41" s="513">
        <f t="shared" si="7"/>
        <v>47.014488891312787</v>
      </c>
      <c r="AC41" s="515">
        <f t="shared" si="7"/>
        <v>47.014488891312787</v>
      </c>
    </row>
    <row r="42" spans="1:135">
      <c r="A42" s="1429"/>
      <c r="B42" s="4191"/>
      <c r="C42" s="3417" t="s">
        <v>1493</v>
      </c>
      <c r="D42" s="884" t="s">
        <v>1489</v>
      </c>
      <c r="E42" s="514">
        <v>0</v>
      </c>
      <c r="F42" s="513">
        <v>0</v>
      </c>
      <c r="G42" s="513">
        <v>7.4530338560000002</v>
      </c>
      <c r="H42" s="513">
        <f>+H$35*('28. Consumption and demand'!H108/'28. Consumption and demand'!H$101)</f>
        <v>162.35644036697246</v>
      </c>
      <c r="I42" s="515">
        <f>+I$35*('28. Consumption and demand'!I108/'28. Consumption and demand'!I$101)</f>
        <v>304.47661788617887</v>
      </c>
      <c r="J42" s="3437">
        <f>+J$35*('28. Consumption and demand'!J108/'28. Consumption and demand'!J$101)</f>
        <v>287.91609022556389</v>
      </c>
      <c r="K42" s="3418">
        <f>+K$35*('28. Consumption and demand'!K108/'28. Consumption and demand'!K$101)</f>
        <v>291.40018604651164</v>
      </c>
      <c r="L42" s="3418">
        <f>+L$35*('28. Consumption and demand'!L108/'28. Consumption and demand'!L$101)</f>
        <v>285.43126180257508</v>
      </c>
      <c r="M42" s="3418">
        <f>+M$35*('28. Consumption and demand'!M108/'28. Consumption and demand'!M$101)</f>
        <v>269.55205742490494</v>
      </c>
      <c r="N42" s="3420">
        <f>+N$35*('28. Consumption and demand'!N108/'28. Consumption and demand'!N$101)</f>
        <v>266.5309325773689</v>
      </c>
      <c r="O42" s="467">
        <f t="shared" si="7"/>
        <v>266.5309325773689</v>
      </c>
      <c r="P42" s="513">
        <f t="shared" si="7"/>
        <v>266.5309325773689</v>
      </c>
      <c r="Q42" s="513">
        <f t="shared" si="7"/>
        <v>266.5309325773689</v>
      </c>
      <c r="R42" s="513">
        <f t="shared" si="7"/>
        <v>266.5309325773689</v>
      </c>
      <c r="S42" s="513">
        <f t="shared" si="7"/>
        <v>266.5309325773689</v>
      </c>
      <c r="T42" s="513">
        <f t="shared" si="7"/>
        <v>266.5309325773689</v>
      </c>
      <c r="U42" s="513">
        <f t="shared" si="7"/>
        <v>266.5309325773689</v>
      </c>
      <c r="V42" s="513">
        <f t="shared" si="7"/>
        <v>266.5309325773689</v>
      </c>
      <c r="W42" s="513">
        <f t="shared" si="7"/>
        <v>266.5309325773689</v>
      </c>
      <c r="X42" s="513">
        <f t="shared" si="7"/>
        <v>266.5309325773689</v>
      </c>
      <c r="Y42" s="513">
        <f t="shared" si="7"/>
        <v>266.5309325773689</v>
      </c>
      <c r="Z42" s="513">
        <f t="shared" si="7"/>
        <v>266.5309325773689</v>
      </c>
      <c r="AA42" s="513">
        <f t="shared" si="7"/>
        <v>266.5309325773689</v>
      </c>
      <c r="AB42" s="513">
        <f t="shared" si="7"/>
        <v>266.5309325773689</v>
      </c>
      <c r="AC42" s="515">
        <f t="shared" si="7"/>
        <v>266.5309325773689</v>
      </c>
    </row>
    <row r="43" spans="1:135">
      <c r="A43" s="1429"/>
      <c r="B43" s="4191"/>
      <c r="C43" s="3417" t="s">
        <v>1494</v>
      </c>
      <c r="D43" s="884" t="s">
        <v>1490</v>
      </c>
      <c r="E43" s="514">
        <v>0</v>
      </c>
      <c r="F43" s="513">
        <v>0</v>
      </c>
      <c r="G43" s="513">
        <v>0</v>
      </c>
      <c r="H43" s="513">
        <f>+H$35*('28. Consumption and demand'!H109/'28. Consumption and demand'!H$101)</f>
        <v>309.23907033639148</v>
      </c>
      <c r="I43" s="515">
        <f>+I$35*('28. Consumption and demand'!I109/'28. Consumption and demand'!I$101)</f>
        <v>548.41313821138215</v>
      </c>
      <c r="J43" s="3437">
        <f>+J$35*('28. Consumption and demand'!J109/'28. Consumption and demand'!J$101)</f>
        <v>491.94277694235592</v>
      </c>
      <c r="K43" s="3418">
        <f>+K$35*('28. Consumption and demand'!K109/'28. Consumption and demand'!K$101)</f>
        <v>486.2281302325581</v>
      </c>
      <c r="L43" s="3418">
        <f>+L$35*('28. Consumption and demand'!L109/'28. Consumption and demand'!L$101)</f>
        <v>453.77943347639484</v>
      </c>
      <c r="M43" s="3418">
        <f>+M$35*('28. Consumption and demand'!M109/'28. Consumption and demand'!M$101)</f>
        <v>429.82663615941647</v>
      </c>
      <c r="N43" s="3420">
        <f>+N$35*('28. Consumption and demand'!N109/'28. Consumption and demand'!N$101)</f>
        <v>418.05845852980212</v>
      </c>
      <c r="O43" s="467">
        <f t="shared" si="7"/>
        <v>418.05845852980212</v>
      </c>
      <c r="P43" s="513">
        <f t="shared" si="7"/>
        <v>418.05845852980212</v>
      </c>
      <c r="Q43" s="513">
        <f t="shared" si="7"/>
        <v>418.05845852980212</v>
      </c>
      <c r="R43" s="513">
        <f t="shared" si="7"/>
        <v>418.05845852980212</v>
      </c>
      <c r="S43" s="513">
        <f t="shared" si="7"/>
        <v>418.05845852980212</v>
      </c>
      <c r="T43" s="513">
        <f t="shared" si="7"/>
        <v>418.05845852980212</v>
      </c>
      <c r="U43" s="513">
        <f t="shared" si="7"/>
        <v>418.05845852980212</v>
      </c>
      <c r="V43" s="513">
        <f t="shared" si="7"/>
        <v>418.05845852980212</v>
      </c>
      <c r="W43" s="513">
        <f t="shared" si="7"/>
        <v>418.05845852980212</v>
      </c>
      <c r="X43" s="513">
        <f t="shared" si="7"/>
        <v>418.05845852980212</v>
      </c>
      <c r="Y43" s="513">
        <f t="shared" si="7"/>
        <v>418.05845852980212</v>
      </c>
      <c r="Z43" s="513">
        <f t="shared" si="7"/>
        <v>418.05845852980212</v>
      </c>
      <c r="AA43" s="513">
        <f t="shared" si="7"/>
        <v>418.05845852980212</v>
      </c>
      <c r="AB43" s="513">
        <f t="shared" si="7"/>
        <v>418.05845852980212</v>
      </c>
      <c r="AC43" s="515">
        <f t="shared" si="7"/>
        <v>418.05845852980212</v>
      </c>
    </row>
    <row r="44" spans="1:135" s="529" customFormat="1" ht="13.5" thickBot="1">
      <c r="B44" s="4192"/>
      <c r="C44" s="1981" t="s">
        <v>63</v>
      </c>
      <c r="D44" s="1061"/>
      <c r="E44" s="559">
        <f t="shared" ref="E44:AC44" si="8">SUM(E35:E43)</f>
        <v>0</v>
      </c>
      <c r="F44" s="405">
        <f t="shared" si="8"/>
        <v>0</v>
      </c>
      <c r="G44" s="405">
        <f t="shared" si="8"/>
        <v>119.54399963600002</v>
      </c>
      <c r="H44" s="405">
        <f t="shared" si="8"/>
        <v>954.18138226299698</v>
      </c>
      <c r="I44" s="706">
        <f t="shared" si="8"/>
        <v>1798.876617886179</v>
      </c>
      <c r="J44" s="1710">
        <f t="shared" si="8"/>
        <v>1641.2680501253133</v>
      </c>
      <c r="K44" s="405">
        <f t="shared" si="8"/>
        <v>1586.9309023255814</v>
      </c>
      <c r="L44" s="405">
        <f t="shared" si="8"/>
        <v>1589.7583862660945</v>
      </c>
      <c r="M44" s="405">
        <f t="shared" si="8"/>
        <v>1554.572553513045</v>
      </c>
      <c r="N44" s="560">
        <f t="shared" si="8"/>
        <v>1521.1559700755174</v>
      </c>
      <c r="O44" s="1710">
        <f t="shared" si="8"/>
        <v>1521.1559700755174</v>
      </c>
      <c r="P44" s="405">
        <f t="shared" si="8"/>
        <v>1521.1559700755174</v>
      </c>
      <c r="Q44" s="405">
        <f t="shared" si="8"/>
        <v>1521.1559700755174</v>
      </c>
      <c r="R44" s="405">
        <f t="shared" si="8"/>
        <v>1521.1559700755174</v>
      </c>
      <c r="S44" s="405">
        <f t="shared" si="8"/>
        <v>1521.1559700755174</v>
      </c>
      <c r="T44" s="405">
        <f t="shared" si="8"/>
        <v>1521.1559700755174</v>
      </c>
      <c r="U44" s="405">
        <f t="shared" si="8"/>
        <v>1521.1559700755174</v>
      </c>
      <c r="V44" s="405">
        <f t="shared" si="8"/>
        <v>1521.1559700755174</v>
      </c>
      <c r="W44" s="405">
        <f t="shared" si="8"/>
        <v>1521.1559700755174</v>
      </c>
      <c r="X44" s="405">
        <f t="shared" si="8"/>
        <v>1521.1559700755174</v>
      </c>
      <c r="Y44" s="405">
        <f t="shared" si="8"/>
        <v>1521.1559700755174</v>
      </c>
      <c r="Z44" s="405">
        <f t="shared" si="8"/>
        <v>1521.1559700755174</v>
      </c>
      <c r="AA44" s="405">
        <f t="shared" si="8"/>
        <v>1521.1559700755174</v>
      </c>
      <c r="AB44" s="405">
        <f t="shared" si="8"/>
        <v>1521.1559700755174</v>
      </c>
      <c r="AC44" s="560">
        <f t="shared" si="8"/>
        <v>1521.1559700755174</v>
      </c>
      <c r="AD44" s="1427"/>
      <c r="AE44" s="1427"/>
      <c r="AF44" s="229"/>
      <c r="AG44" s="229"/>
      <c r="AH44" s="229"/>
      <c r="AI44" s="229"/>
      <c r="AJ44" s="229"/>
      <c r="AK44" s="229"/>
      <c r="AL44" s="229"/>
      <c r="AM44" s="229"/>
      <c r="AN44" s="229"/>
      <c r="AO44" s="229"/>
      <c r="AP44" s="229"/>
      <c r="AQ44" s="229"/>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c r="BU44" s="229"/>
      <c r="BV44" s="229"/>
      <c r="BW44" s="229"/>
      <c r="BX44" s="229"/>
      <c r="BY44" s="229"/>
      <c r="BZ44" s="229"/>
      <c r="CA44" s="229"/>
      <c r="CB44" s="229"/>
      <c r="CC44" s="229"/>
      <c r="CD44" s="229"/>
      <c r="CE44" s="229"/>
      <c r="CF44" s="229"/>
      <c r="CG44" s="229"/>
      <c r="CH44" s="229"/>
      <c r="CI44" s="229"/>
      <c r="CJ44" s="229"/>
      <c r="CK44" s="229"/>
      <c r="CL44" s="229"/>
      <c r="CM44" s="229"/>
      <c r="CN44" s="229"/>
      <c r="CO44" s="229"/>
      <c r="CP44" s="229"/>
      <c r="CQ44" s="229"/>
      <c r="CR44" s="229"/>
      <c r="CS44" s="229"/>
      <c r="CT44" s="229"/>
      <c r="CU44" s="229"/>
      <c r="CV44" s="229"/>
      <c r="CW44" s="229"/>
      <c r="CX44" s="229"/>
      <c r="CY44" s="229"/>
      <c r="CZ44" s="229"/>
      <c r="DA44" s="229"/>
      <c r="DB44" s="229"/>
      <c r="DC44" s="229"/>
      <c r="DD44" s="229"/>
      <c r="DE44" s="229"/>
      <c r="DF44" s="229"/>
      <c r="DG44" s="229"/>
      <c r="DH44" s="229"/>
      <c r="DI44" s="229"/>
      <c r="DJ44" s="229"/>
      <c r="DK44" s="229"/>
      <c r="DL44" s="229"/>
      <c r="DM44" s="229"/>
      <c r="DN44" s="229"/>
      <c r="DO44" s="229"/>
      <c r="DP44" s="229"/>
    </row>
    <row r="45" spans="1:135" ht="24" customHeight="1" thickBot="1">
      <c r="A45" s="1429"/>
      <c r="B45" s="4193" t="s">
        <v>63</v>
      </c>
      <c r="C45" s="4194"/>
      <c r="D45" s="4195"/>
      <c r="E45" s="3429">
        <f>E44</f>
        <v>0</v>
      </c>
      <c r="F45" s="405">
        <f t="shared" ref="F45:AC45" si="9">F44</f>
        <v>0</v>
      </c>
      <c r="G45" s="405">
        <f t="shared" si="9"/>
        <v>119.54399963600002</v>
      </c>
      <c r="H45" s="405">
        <f t="shared" si="9"/>
        <v>954.18138226299698</v>
      </c>
      <c r="I45" s="405">
        <f t="shared" si="9"/>
        <v>1798.876617886179</v>
      </c>
      <c r="J45" s="3429">
        <f t="shared" si="9"/>
        <v>1641.2680501253133</v>
      </c>
      <c r="K45" s="405">
        <f t="shared" si="9"/>
        <v>1586.9309023255814</v>
      </c>
      <c r="L45" s="405">
        <f t="shared" si="9"/>
        <v>1589.7583862660945</v>
      </c>
      <c r="M45" s="405">
        <f t="shared" si="9"/>
        <v>1554.572553513045</v>
      </c>
      <c r="N45" s="3430">
        <f t="shared" si="9"/>
        <v>1521.1559700755174</v>
      </c>
      <c r="O45" s="559">
        <f t="shared" si="9"/>
        <v>1521.1559700755174</v>
      </c>
      <c r="P45" s="405">
        <f t="shared" si="9"/>
        <v>1521.1559700755174</v>
      </c>
      <c r="Q45" s="405">
        <f t="shared" si="9"/>
        <v>1521.1559700755174</v>
      </c>
      <c r="R45" s="405">
        <f t="shared" si="9"/>
        <v>1521.1559700755174</v>
      </c>
      <c r="S45" s="405">
        <f t="shared" si="9"/>
        <v>1521.1559700755174</v>
      </c>
      <c r="T45" s="405">
        <f t="shared" si="9"/>
        <v>1521.1559700755174</v>
      </c>
      <c r="U45" s="405">
        <f t="shared" si="9"/>
        <v>1521.1559700755174</v>
      </c>
      <c r="V45" s="405">
        <f t="shared" si="9"/>
        <v>1521.1559700755174</v>
      </c>
      <c r="W45" s="405">
        <f t="shared" si="9"/>
        <v>1521.1559700755174</v>
      </c>
      <c r="X45" s="405">
        <f t="shared" si="9"/>
        <v>1521.1559700755174</v>
      </c>
      <c r="Y45" s="405">
        <f t="shared" si="9"/>
        <v>1521.1559700755174</v>
      </c>
      <c r="Z45" s="405">
        <f t="shared" si="9"/>
        <v>1521.1559700755174</v>
      </c>
      <c r="AA45" s="405">
        <f t="shared" si="9"/>
        <v>1521.1559700755174</v>
      </c>
      <c r="AB45" s="405">
        <f t="shared" si="9"/>
        <v>1521.1559700755174</v>
      </c>
      <c r="AC45" s="560">
        <f t="shared" si="9"/>
        <v>1521.1559700755174</v>
      </c>
    </row>
    <row r="46" spans="1:135" ht="24" customHeight="1" thickBot="1">
      <c r="A46" s="1429"/>
      <c r="B46" s="4193" t="s">
        <v>298</v>
      </c>
      <c r="C46" s="4194"/>
      <c r="D46" s="4195"/>
      <c r="E46" s="1987"/>
      <c r="F46" s="1079"/>
      <c r="G46" s="1079"/>
      <c r="H46" s="1079"/>
      <c r="I46" s="1079"/>
      <c r="J46" s="1081"/>
      <c r="K46" s="1079"/>
      <c r="L46" s="1079"/>
      <c r="M46" s="1079"/>
      <c r="N46" s="1079"/>
      <c r="O46" s="1081"/>
      <c r="P46" s="1079"/>
      <c r="Q46" s="1079"/>
      <c r="R46" s="1079"/>
      <c r="S46" s="1079"/>
      <c r="T46" s="1079"/>
      <c r="U46" s="1079"/>
      <c r="V46" s="1079"/>
      <c r="W46" s="1079"/>
      <c r="X46" s="1079"/>
      <c r="Y46" s="1079"/>
      <c r="Z46" s="1079"/>
      <c r="AA46" s="1079"/>
      <c r="AB46" s="1079"/>
      <c r="AC46" s="1080"/>
    </row>
    <row r="47" spans="1:135" ht="30" customHeight="1" thickBot="1">
      <c r="B47" s="1427"/>
    </row>
    <row r="48" spans="1:135" s="94" customFormat="1" ht="18.75" customHeight="1" thickBot="1">
      <c r="A48" s="308"/>
      <c r="B48" s="858" t="s">
        <v>1549</v>
      </c>
      <c r="C48" s="859"/>
      <c r="D48" s="859"/>
      <c r="E48" s="924"/>
      <c r="F48" s="924"/>
      <c r="G48" s="924"/>
      <c r="H48" s="924"/>
      <c r="I48" s="924"/>
      <c r="J48" s="924"/>
      <c r="K48" s="924"/>
      <c r="L48" s="924"/>
      <c r="M48" s="924"/>
      <c r="N48" s="924"/>
      <c r="O48" s="924"/>
      <c r="P48" s="924"/>
      <c r="Q48" s="924"/>
      <c r="R48" s="924"/>
      <c r="S48" s="924"/>
      <c r="T48" s="924"/>
      <c r="U48" s="924"/>
      <c r="V48" s="924"/>
      <c r="W48" s="924"/>
      <c r="X48" s="924"/>
      <c r="Y48" s="924"/>
      <c r="Z48" s="924"/>
      <c r="AA48" s="924"/>
      <c r="AB48" s="924"/>
      <c r="AC48" s="925"/>
      <c r="AD48" s="1427"/>
      <c r="AE48" s="1427"/>
      <c r="AF48" s="1427"/>
      <c r="DF48" s="1427"/>
      <c r="DG48" s="1427"/>
      <c r="DH48" s="1427"/>
      <c r="DI48" s="1427"/>
      <c r="DJ48" s="1427"/>
      <c r="DK48" s="1427"/>
      <c r="DL48" s="1427"/>
      <c r="DM48" s="1427"/>
      <c r="DN48" s="1427"/>
      <c r="DO48" s="1427"/>
      <c r="DP48" s="1427"/>
      <c r="DQ48" s="1427"/>
      <c r="DR48" s="1427"/>
      <c r="DS48" s="1427"/>
      <c r="DT48" s="1427"/>
      <c r="DU48" s="1427"/>
      <c r="DV48" s="1427"/>
      <c r="DW48" s="1427"/>
      <c r="DX48" s="1427"/>
      <c r="DY48" s="1427"/>
      <c r="DZ48" s="1427"/>
      <c r="EA48" s="1427"/>
      <c r="EB48" s="1427"/>
      <c r="EC48" s="1427"/>
      <c r="ED48" s="1427"/>
      <c r="EE48" s="1427"/>
    </row>
    <row r="49" spans="1:120">
      <c r="A49" s="1429"/>
      <c r="B49" s="4173"/>
      <c r="C49" s="4178" t="s">
        <v>47</v>
      </c>
      <c r="D49" s="4179"/>
      <c r="E49" s="1988">
        <f>'29.2.4 Gas extenstions cust no'!D47</f>
        <v>0</v>
      </c>
      <c r="F49" s="1077">
        <f>'29.2.4 Gas extenstions cust no'!E47</f>
        <v>0</v>
      </c>
      <c r="G49" s="1077">
        <f>'29.2.4 Gas extenstions cust no'!E47</f>
        <v>0</v>
      </c>
      <c r="H49" s="1077">
        <f>'29.2.4 Gas extenstions cust no'!F47</f>
        <v>0</v>
      </c>
      <c r="I49" s="1084">
        <f>'29.2.4 Gas extenstions cust no'!H47</f>
        <v>0</v>
      </c>
      <c r="J49" s="1988">
        <f>'29.2.4 Gas extenstions cust no'!I47</f>
        <v>0</v>
      </c>
      <c r="K49" s="1077">
        <f>'29.2.4 Gas extenstions cust no'!J47</f>
        <v>0</v>
      </c>
      <c r="L49" s="1077">
        <f>'29.2.4 Gas extenstions cust no'!K47</f>
        <v>0</v>
      </c>
      <c r="M49" s="1077">
        <f>'29.2.4 Gas extenstions cust no'!L47</f>
        <v>0</v>
      </c>
      <c r="N49" s="1084">
        <f>'29.2.4 Gas extenstions cust no'!M47</f>
        <v>0</v>
      </c>
      <c r="O49" s="1085">
        <f>'29.2.4 Gas extenstions cust no'!N47</f>
        <v>0</v>
      </c>
      <c r="P49" s="1077">
        <f>'29.2.4 Gas extenstions cust no'!O47</f>
        <v>0</v>
      </c>
      <c r="Q49" s="1077">
        <f>'29.2.4 Gas extenstions cust no'!P47</f>
        <v>0</v>
      </c>
      <c r="R49" s="1077">
        <f>'29.2.4 Gas extenstions cust no'!Q47</f>
        <v>0</v>
      </c>
      <c r="S49" s="1077">
        <f>'29.2.4 Gas extenstions cust no'!R47</f>
        <v>0</v>
      </c>
      <c r="T49" s="1077">
        <f>'29.2.4 Gas extenstions cust no'!S47</f>
        <v>0</v>
      </c>
      <c r="U49" s="1077">
        <f>'29.2.4 Gas extenstions cust no'!T47</f>
        <v>0</v>
      </c>
      <c r="V49" s="1077">
        <f>'29.2.4 Gas extenstions cust no'!U47</f>
        <v>0</v>
      </c>
      <c r="W49" s="1077">
        <f>'29.2.4 Gas extenstions cust no'!V47</f>
        <v>0</v>
      </c>
      <c r="X49" s="1077">
        <f>'29.2.4 Gas extenstions cust no'!W47</f>
        <v>0</v>
      </c>
      <c r="Y49" s="1077">
        <f>'29.2.4 Gas extenstions cust no'!X47</f>
        <v>0</v>
      </c>
      <c r="Z49" s="1077">
        <f>'29.2.4 Gas extenstions cust no'!Y47</f>
        <v>0</v>
      </c>
      <c r="AA49" s="1077">
        <f>'29.2.4 Gas extenstions cust no'!Z47</f>
        <v>0</v>
      </c>
      <c r="AB49" s="1077">
        <f>'29.2.4 Gas extenstions cust no'!AA47</f>
        <v>0</v>
      </c>
      <c r="AC49" s="1084">
        <f>'29.2.4 Gas extenstions cust no'!AB47</f>
        <v>0</v>
      </c>
    </row>
    <row r="50" spans="1:120">
      <c r="A50" s="1429"/>
      <c r="B50" s="4174"/>
      <c r="C50" s="1026" t="s">
        <v>297</v>
      </c>
      <c r="D50" s="983" t="s">
        <v>296</v>
      </c>
      <c r="E50" s="823"/>
      <c r="F50" s="780"/>
      <c r="G50" s="780"/>
      <c r="H50" s="780"/>
      <c r="I50" s="884"/>
      <c r="J50" s="823"/>
      <c r="K50" s="780"/>
      <c r="L50" s="780"/>
      <c r="M50" s="780"/>
      <c r="N50" s="884"/>
      <c r="O50" s="880"/>
      <c r="P50" s="780"/>
      <c r="Q50" s="780"/>
      <c r="R50" s="780"/>
      <c r="S50" s="780"/>
      <c r="T50" s="780"/>
      <c r="U50" s="780"/>
      <c r="V50" s="780"/>
      <c r="W50" s="780"/>
      <c r="X50" s="780"/>
      <c r="Y50" s="780"/>
      <c r="Z50" s="780"/>
      <c r="AA50" s="780"/>
      <c r="AB50" s="780"/>
      <c r="AC50" s="884"/>
    </row>
    <row r="51" spans="1:120">
      <c r="A51" s="1429"/>
      <c r="B51" s="4174"/>
      <c r="C51" s="1026" t="s">
        <v>297</v>
      </c>
      <c r="D51" s="983" t="s">
        <v>296</v>
      </c>
      <c r="E51" s="823"/>
      <c r="F51" s="780"/>
      <c r="G51" s="780"/>
      <c r="H51" s="780"/>
      <c r="I51" s="884"/>
      <c r="J51" s="823"/>
      <c r="K51" s="780"/>
      <c r="L51" s="780"/>
      <c r="M51" s="780"/>
      <c r="N51" s="884"/>
      <c r="O51" s="880"/>
      <c r="P51" s="780"/>
      <c r="Q51" s="780"/>
      <c r="R51" s="780"/>
      <c r="S51" s="780"/>
      <c r="T51" s="780"/>
      <c r="U51" s="780"/>
      <c r="V51" s="780"/>
      <c r="W51" s="780"/>
      <c r="X51" s="780"/>
      <c r="Y51" s="780"/>
      <c r="Z51" s="780"/>
      <c r="AA51" s="780"/>
      <c r="AB51" s="780"/>
      <c r="AC51" s="884"/>
    </row>
    <row r="52" spans="1:120" ht="13.5" thickBot="1">
      <c r="A52" s="1429"/>
      <c r="B52" s="4175"/>
      <c r="C52" s="1033" t="s">
        <v>297</v>
      </c>
      <c r="D52" s="1034" t="s">
        <v>296</v>
      </c>
      <c r="E52" s="1932"/>
      <c r="F52" s="886"/>
      <c r="G52" s="886"/>
      <c r="H52" s="886"/>
      <c r="I52" s="887"/>
      <c r="J52" s="1932"/>
      <c r="K52" s="886"/>
      <c r="L52" s="886"/>
      <c r="M52" s="886"/>
      <c r="N52" s="887"/>
      <c r="O52" s="889"/>
      <c r="P52" s="886"/>
      <c r="Q52" s="886"/>
      <c r="R52" s="886"/>
      <c r="S52" s="886"/>
      <c r="T52" s="886"/>
      <c r="U52" s="886"/>
      <c r="V52" s="886"/>
      <c r="W52" s="886"/>
      <c r="X52" s="886"/>
      <c r="Y52" s="886"/>
      <c r="Z52" s="886"/>
      <c r="AA52" s="886"/>
      <c r="AB52" s="886"/>
      <c r="AC52" s="887"/>
    </row>
    <row r="53" spans="1:120" ht="23.25" customHeight="1" thickBot="1">
      <c r="B53" s="1427"/>
    </row>
    <row r="54" spans="1:120" s="529" customFormat="1" ht="18" customHeight="1">
      <c r="B54" s="4196" t="s">
        <v>124</v>
      </c>
      <c r="C54" s="4197"/>
      <c r="D54" s="4198"/>
      <c r="E54" s="1989">
        <f t="shared" ref="E54:AC54" si="10">SUM(E50:E52)</f>
        <v>0</v>
      </c>
      <c r="F54" s="1063">
        <f t="shared" si="10"/>
        <v>0</v>
      </c>
      <c r="G54" s="1063">
        <f t="shared" si="10"/>
        <v>0</v>
      </c>
      <c r="H54" s="1063">
        <f t="shared" si="10"/>
        <v>0</v>
      </c>
      <c r="I54" s="1064">
        <f t="shared" si="10"/>
        <v>0</v>
      </c>
      <c r="J54" s="1067">
        <f t="shared" si="10"/>
        <v>0</v>
      </c>
      <c r="K54" s="1063">
        <f t="shared" si="10"/>
        <v>0</v>
      </c>
      <c r="L54" s="1063">
        <f t="shared" si="10"/>
        <v>0</v>
      </c>
      <c r="M54" s="1063">
        <f t="shared" si="10"/>
        <v>0</v>
      </c>
      <c r="N54" s="1082">
        <f t="shared" si="10"/>
        <v>0</v>
      </c>
      <c r="O54" s="1069">
        <f t="shared" si="10"/>
        <v>0</v>
      </c>
      <c r="P54" s="1063">
        <f t="shared" si="10"/>
        <v>0</v>
      </c>
      <c r="Q54" s="1063">
        <f t="shared" si="10"/>
        <v>0</v>
      </c>
      <c r="R54" s="1063">
        <f t="shared" si="10"/>
        <v>0</v>
      </c>
      <c r="S54" s="1063">
        <f t="shared" si="10"/>
        <v>0</v>
      </c>
      <c r="T54" s="1063">
        <f t="shared" si="10"/>
        <v>0</v>
      </c>
      <c r="U54" s="1063">
        <f t="shared" si="10"/>
        <v>0</v>
      </c>
      <c r="V54" s="1063">
        <f t="shared" si="10"/>
        <v>0</v>
      </c>
      <c r="W54" s="1063">
        <f t="shared" si="10"/>
        <v>0</v>
      </c>
      <c r="X54" s="1063">
        <f t="shared" si="10"/>
        <v>0</v>
      </c>
      <c r="Y54" s="1063">
        <f t="shared" si="10"/>
        <v>0</v>
      </c>
      <c r="Z54" s="1063">
        <f t="shared" si="10"/>
        <v>0</v>
      </c>
      <c r="AA54" s="1063">
        <f t="shared" si="10"/>
        <v>0</v>
      </c>
      <c r="AB54" s="1063">
        <f t="shared" si="10"/>
        <v>0</v>
      </c>
      <c r="AC54" s="1064">
        <f t="shared" si="10"/>
        <v>0</v>
      </c>
      <c r="AD54" s="1427"/>
      <c r="AE54" s="1427"/>
      <c r="AF54" s="1427"/>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c r="BU54" s="229"/>
      <c r="BV54" s="229"/>
      <c r="BW54" s="229"/>
      <c r="BX54" s="229"/>
      <c r="BY54" s="229"/>
      <c r="BZ54" s="229"/>
      <c r="CA54" s="229"/>
      <c r="CB54" s="229"/>
      <c r="CC54" s="229"/>
      <c r="CD54" s="229"/>
      <c r="CE54" s="229"/>
      <c r="CF54" s="229"/>
      <c r="CG54" s="229"/>
      <c r="CH54" s="229"/>
      <c r="CI54" s="229"/>
      <c r="CJ54" s="229"/>
      <c r="CK54" s="229"/>
      <c r="CL54" s="229"/>
      <c r="CM54" s="229"/>
      <c r="CN54" s="229"/>
      <c r="CO54" s="229"/>
      <c r="CP54" s="229"/>
      <c r="CQ54" s="229"/>
      <c r="CR54" s="229"/>
      <c r="CS54" s="229"/>
      <c r="CT54" s="229"/>
      <c r="CU54" s="229"/>
      <c r="CV54" s="229"/>
      <c r="CW54" s="229"/>
      <c r="CX54" s="229"/>
      <c r="CY54" s="229"/>
      <c r="CZ54" s="229"/>
      <c r="DA54" s="229"/>
      <c r="DB54" s="229"/>
      <c r="DC54" s="229"/>
      <c r="DD54" s="229"/>
      <c r="DE54" s="229"/>
      <c r="DF54" s="229"/>
      <c r="DG54" s="229"/>
      <c r="DH54" s="229"/>
      <c r="DI54" s="229"/>
      <c r="DJ54" s="229"/>
      <c r="DK54" s="229"/>
      <c r="DL54" s="229"/>
      <c r="DM54" s="229"/>
      <c r="DN54" s="229"/>
      <c r="DO54" s="229"/>
      <c r="DP54" s="229"/>
    </row>
    <row r="55" spans="1:120" s="529" customFormat="1" ht="18" customHeight="1" thickBot="1">
      <c r="B55" s="4199" t="s">
        <v>123</v>
      </c>
      <c r="C55" s="4200"/>
      <c r="D55" s="4201"/>
      <c r="E55" s="1990">
        <f t="shared" ref="E55:AC55" si="11">IF(ISERROR(E54/E49),0,(E54/E49))</f>
        <v>0</v>
      </c>
      <c r="F55" s="1065">
        <f t="shared" si="11"/>
        <v>0</v>
      </c>
      <c r="G55" s="1065">
        <f t="shared" si="11"/>
        <v>0</v>
      </c>
      <c r="H55" s="1065">
        <f t="shared" si="11"/>
        <v>0</v>
      </c>
      <c r="I55" s="1066">
        <f t="shared" si="11"/>
        <v>0</v>
      </c>
      <c r="J55" s="1068">
        <f t="shared" si="11"/>
        <v>0</v>
      </c>
      <c r="K55" s="1065">
        <f t="shared" si="11"/>
        <v>0</v>
      </c>
      <c r="L55" s="1065">
        <f t="shared" si="11"/>
        <v>0</v>
      </c>
      <c r="M55" s="1065">
        <f t="shared" si="11"/>
        <v>0</v>
      </c>
      <c r="N55" s="1083">
        <f t="shared" si="11"/>
        <v>0</v>
      </c>
      <c r="O55" s="1070">
        <f t="shared" si="11"/>
        <v>0</v>
      </c>
      <c r="P55" s="1065">
        <f t="shared" si="11"/>
        <v>0</v>
      </c>
      <c r="Q55" s="1065">
        <f t="shared" si="11"/>
        <v>0</v>
      </c>
      <c r="R55" s="1065">
        <f t="shared" si="11"/>
        <v>0</v>
      </c>
      <c r="S55" s="1065">
        <f t="shared" si="11"/>
        <v>0</v>
      </c>
      <c r="T55" s="1065">
        <f t="shared" si="11"/>
        <v>0</v>
      </c>
      <c r="U55" s="1065">
        <f t="shared" si="11"/>
        <v>0</v>
      </c>
      <c r="V55" s="1065">
        <f t="shared" si="11"/>
        <v>0</v>
      </c>
      <c r="W55" s="1065">
        <f t="shared" si="11"/>
        <v>0</v>
      </c>
      <c r="X55" s="1065">
        <f t="shared" si="11"/>
        <v>0</v>
      </c>
      <c r="Y55" s="1065">
        <f t="shared" si="11"/>
        <v>0</v>
      </c>
      <c r="Z55" s="1065">
        <f t="shared" si="11"/>
        <v>0</v>
      </c>
      <c r="AA55" s="1065">
        <f t="shared" si="11"/>
        <v>0</v>
      </c>
      <c r="AB55" s="1065">
        <f t="shared" si="11"/>
        <v>0</v>
      </c>
      <c r="AC55" s="1066">
        <f t="shared" si="11"/>
        <v>0</v>
      </c>
      <c r="AD55" s="1427"/>
      <c r="AE55" s="1427"/>
      <c r="AF55" s="1427"/>
      <c r="AG55" s="229"/>
      <c r="AH55" s="229"/>
      <c r="AI55" s="229"/>
      <c r="AJ55" s="229"/>
      <c r="AK55" s="229"/>
      <c r="AL55" s="229"/>
      <c r="AM55" s="229"/>
      <c r="AN55" s="229"/>
      <c r="AO55" s="229"/>
      <c r="AP55" s="229"/>
      <c r="AQ55" s="229"/>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c r="BU55" s="229"/>
      <c r="BV55" s="229"/>
      <c r="BW55" s="229"/>
      <c r="BX55" s="229"/>
      <c r="BY55" s="229"/>
      <c r="BZ55" s="229"/>
      <c r="CA55" s="229"/>
      <c r="CB55" s="229"/>
      <c r="CC55" s="229"/>
      <c r="CD55" s="229"/>
      <c r="CE55" s="229"/>
      <c r="CF55" s="229"/>
      <c r="CG55" s="229"/>
      <c r="CH55" s="229"/>
      <c r="CI55" s="229"/>
      <c r="CJ55" s="229"/>
      <c r="CK55" s="229"/>
      <c r="CL55" s="229"/>
      <c r="CM55" s="229"/>
      <c r="CN55" s="229"/>
      <c r="CO55" s="229"/>
      <c r="CP55" s="229"/>
      <c r="CQ55" s="229"/>
      <c r="CR55" s="229"/>
      <c r="CS55" s="229"/>
      <c r="CT55" s="229"/>
      <c r="CU55" s="229"/>
      <c r="CV55" s="229"/>
      <c r="CW55" s="229"/>
      <c r="CX55" s="229"/>
      <c r="CY55" s="229"/>
      <c r="CZ55" s="229"/>
      <c r="DA55" s="229"/>
      <c r="DB55" s="229"/>
      <c r="DC55" s="229"/>
      <c r="DD55" s="229"/>
      <c r="DE55" s="229"/>
      <c r="DF55" s="229"/>
      <c r="DG55" s="229"/>
      <c r="DH55" s="229"/>
      <c r="DI55" s="229"/>
      <c r="DJ55" s="229"/>
      <c r="DK55" s="229"/>
      <c r="DL55" s="229"/>
      <c r="DM55" s="229"/>
      <c r="DN55" s="229"/>
      <c r="DO55" s="229"/>
      <c r="DP55" s="229"/>
    </row>
    <row r="56" spans="1:120" ht="34.5" customHeight="1" thickBot="1">
      <c r="A56" s="1433"/>
      <c r="B56" s="3610" t="s">
        <v>125</v>
      </c>
      <c r="C56" s="3868"/>
      <c r="D56" s="4190"/>
      <c r="E56" s="4187"/>
      <c r="F56" s="4187"/>
      <c r="G56" s="4187"/>
      <c r="H56" s="4187"/>
      <c r="I56" s="4187"/>
      <c r="J56" s="4187"/>
      <c r="K56" s="4187"/>
      <c r="L56" s="4187"/>
      <c r="M56" s="4187"/>
      <c r="N56" s="4187"/>
      <c r="O56" s="4187"/>
      <c r="P56" s="4187"/>
      <c r="Q56" s="4187"/>
      <c r="R56" s="4187"/>
      <c r="S56" s="4187"/>
      <c r="T56" s="4187"/>
      <c r="U56" s="4187"/>
      <c r="V56" s="4187"/>
      <c r="W56" s="4187"/>
      <c r="X56" s="4187"/>
      <c r="Y56" s="4187"/>
      <c r="Z56" s="4187"/>
      <c r="AA56" s="4187"/>
      <c r="AB56" s="4187"/>
      <c r="AC56" s="4188"/>
    </row>
    <row r="57" spans="1:120">
      <c r="A57" s="1429"/>
    </row>
    <row r="58" spans="1:120">
      <c r="A58" s="1429"/>
    </row>
  </sheetData>
  <mergeCells count="25">
    <mergeCell ref="B22:B31"/>
    <mergeCell ref="C22:D22"/>
    <mergeCell ref="B7:H7"/>
    <mergeCell ref="B8:H8"/>
    <mergeCell ref="B9:C9"/>
    <mergeCell ref="B10:H10"/>
    <mergeCell ref="B17:B20"/>
    <mergeCell ref="C17:C20"/>
    <mergeCell ref="D17:D20"/>
    <mergeCell ref="E17:I17"/>
    <mergeCell ref="J17:N17"/>
    <mergeCell ref="O17:AC17"/>
    <mergeCell ref="E18:AC18"/>
    <mergeCell ref="E19:G19"/>
    <mergeCell ref="H19:AC19"/>
    <mergeCell ref="B54:D54"/>
    <mergeCell ref="B55:D55"/>
    <mergeCell ref="B56:D56"/>
    <mergeCell ref="E56:AC56"/>
    <mergeCell ref="B35:B44"/>
    <mergeCell ref="C35:D35"/>
    <mergeCell ref="B45:D45"/>
    <mergeCell ref="B46:D46"/>
    <mergeCell ref="B49:B52"/>
    <mergeCell ref="C49:D49"/>
  </mergeCells>
  <pageMargins left="0.75" right="0.75" top="1" bottom="1" header="0.5" footer="0.5"/>
  <pageSetup paperSize="9" orientation="portrait" r:id="rId1"/>
  <headerFooter alignWithMargins="0"/>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autoPageBreaks="0"/>
  </sheetPr>
  <dimension ref="A1:AQ96"/>
  <sheetViews>
    <sheetView showGridLines="0" zoomScale="85" zoomScaleNormal="85" workbookViewId="0"/>
  </sheetViews>
  <sheetFormatPr defaultRowHeight="15"/>
  <cols>
    <col min="1" max="1" width="36.28515625" style="2676" customWidth="1"/>
    <col min="2" max="2" width="44.5703125" style="3053" customWidth="1"/>
    <col min="3" max="3" width="21.85546875" style="3053" customWidth="1"/>
    <col min="4" max="4" width="33.42578125" style="3053" customWidth="1"/>
    <col min="5" max="7" width="17.28515625" style="3053" customWidth="1"/>
    <col min="8" max="9" width="13.28515625" style="3053" customWidth="1"/>
    <col min="10" max="10" width="20.140625" style="3052" customWidth="1"/>
    <col min="11" max="12" width="9.140625" style="3052"/>
    <col min="13" max="13" width="11.42578125" style="3052" customWidth="1"/>
    <col min="14" max="14" width="9.85546875" style="3052" customWidth="1"/>
    <col min="15" max="15" width="9.140625" style="3145"/>
    <col min="16" max="19" width="9.140625" style="3052"/>
    <col min="20" max="22" width="17.28515625" style="3053" customWidth="1"/>
    <col min="23" max="24" width="13.28515625" style="3053" customWidth="1"/>
    <col min="25" max="39" width="9.140625" style="3053"/>
    <col min="40" max="40" width="37" style="3053" customWidth="1"/>
    <col min="41" max="16384" width="9.140625" style="3053"/>
  </cols>
  <sheetData>
    <row r="1" spans="2:43" ht="24" customHeight="1">
      <c r="B1" s="3050" t="str">
        <f>IF(dms_DataQuality="backcast",INDEX(dms_Worksheet_List,MATCH(dms_Model,dms_Model_List))&amp;" BACKCAST",INDEX(dms_Worksheet_List,MATCH(dms_Model,dms_Model_List)))</f>
        <v>REGULATORY REPORTING STATEMENT</v>
      </c>
      <c r="C1" s="3051"/>
      <c r="D1" s="3051"/>
      <c r="E1" s="3051"/>
      <c r="F1" s="3051"/>
      <c r="G1" s="3051"/>
      <c r="H1" s="3051"/>
      <c r="I1" s="3051"/>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row>
    <row r="2" spans="2:43" ht="24" customHeight="1">
      <c r="B2" s="3054" t="str">
        <f>INDEX(dms_TradingNameFull_List,MATCH(dms_TradingName,dms_TradingName_List))</f>
        <v>AusNet Gas Services</v>
      </c>
      <c r="C2" s="3051"/>
      <c r="D2" s="3051"/>
      <c r="E2" s="3051"/>
      <c r="F2" s="3051"/>
      <c r="G2" s="3051"/>
      <c r="H2" s="3051"/>
      <c r="I2" s="3051"/>
      <c r="M2" s="2676"/>
      <c r="N2" s="2676"/>
      <c r="O2" s="2676"/>
      <c r="P2" s="2676"/>
      <c r="Q2" s="2676"/>
      <c r="R2" s="2676"/>
      <c r="S2" s="2676"/>
      <c r="T2" s="2676"/>
      <c r="U2" s="2676"/>
      <c r="V2" s="2676"/>
      <c r="W2" s="2676"/>
      <c r="X2" s="2676"/>
      <c r="Y2" s="2676"/>
      <c r="Z2" s="2676"/>
      <c r="AA2" s="2676"/>
      <c r="AB2" s="2676"/>
      <c r="AC2" s="2676"/>
      <c r="AD2" s="2676"/>
      <c r="AE2" s="2676"/>
      <c r="AF2" s="2676"/>
      <c r="AG2" s="2676"/>
      <c r="AH2" s="2676"/>
      <c r="AI2" s="2676"/>
      <c r="AJ2" s="2676"/>
      <c r="AK2" s="2676"/>
      <c r="AL2" s="2676"/>
      <c r="AM2" s="2676"/>
      <c r="AN2" s="2676"/>
      <c r="AO2" s="2676"/>
      <c r="AP2" s="2676"/>
      <c r="AQ2" s="2676"/>
    </row>
    <row r="3" spans="2:43" ht="24" customHeight="1">
      <c r="B3" s="3054" t="str">
        <f ca="1">IF(SUM(dms_SingleYear_Model)&gt;0,CRY,CONCATENATE(FRCP_y1," to ",dms_MultiYear_FinalYear_Result))</f>
        <v>2018 to 2022</v>
      </c>
      <c r="C3" s="3055"/>
      <c r="D3" s="3056"/>
      <c r="E3" s="3056"/>
      <c r="F3" s="3056"/>
      <c r="G3" s="3056"/>
      <c r="H3" s="3056"/>
      <c r="I3" s="3056"/>
      <c r="M3" s="2676"/>
      <c r="N3" s="2676"/>
      <c r="O3" s="2676"/>
      <c r="P3" s="2676"/>
      <c r="Q3" s="2676"/>
      <c r="R3" s="2676"/>
      <c r="S3" s="2676"/>
      <c r="T3" s="2676"/>
      <c r="U3" s="2676"/>
      <c r="V3" s="2676"/>
      <c r="W3" s="2676"/>
      <c r="X3" s="2676"/>
      <c r="Y3" s="2676"/>
      <c r="Z3" s="2676"/>
      <c r="AA3" s="2676"/>
      <c r="AB3" s="2676"/>
      <c r="AC3" s="2676"/>
      <c r="AD3" s="2676"/>
      <c r="AE3" s="2676"/>
      <c r="AF3" s="2676"/>
      <c r="AG3" s="2676"/>
      <c r="AH3" s="2676"/>
      <c r="AI3" s="2676"/>
      <c r="AJ3" s="2676"/>
      <c r="AK3" s="2676"/>
      <c r="AL3" s="2676"/>
      <c r="AM3" s="2676"/>
      <c r="AN3" s="2676"/>
      <c r="AO3" s="2676"/>
      <c r="AP3" s="2676"/>
      <c r="AQ3" s="2676"/>
    </row>
    <row r="4" spans="2:43" ht="24" customHeight="1">
      <c r="B4" s="3057" t="s">
        <v>581</v>
      </c>
      <c r="C4" s="3057"/>
      <c r="D4" s="3057"/>
      <c r="E4" s="3057"/>
      <c r="F4" s="3057"/>
      <c r="G4" s="3057"/>
      <c r="H4" s="3057"/>
      <c r="I4" s="3057"/>
      <c r="M4" s="2676"/>
      <c r="N4" s="2676"/>
      <c r="O4" s="2676"/>
      <c r="P4" s="2676"/>
      <c r="Q4" s="2676"/>
      <c r="R4" s="2676"/>
      <c r="S4" s="2676"/>
      <c r="T4" s="2676"/>
      <c r="U4" s="2676"/>
      <c r="V4" s="2676"/>
      <c r="W4" s="2676"/>
      <c r="X4" s="2676"/>
      <c r="Y4" s="2676"/>
      <c r="Z4" s="2676"/>
      <c r="AA4" s="2676"/>
      <c r="AB4" s="2676"/>
      <c r="AC4" s="2676"/>
      <c r="AD4" s="2676"/>
      <c r="AE4" s="2676"/>
      <c r="AF4" s="2676"/>
      <c r="AG4" s="2676"/>
      <c r="AH4" s="2676"/>
      <c r="AI4" s="2676"/>
      <c r="AJ4" s="2676"/>
      <c r="AK4" s="2676"/>
      <c r="AL4" s="2676"/>
      <c r="AM4" s="2676"/>
      <c r="AN4" s="2676"/>
      <c r="AO4" s="2676"/>
      <c r="AP4" s="2676"/>
      <c r="AQ4" s="2676"/>
    </row>
    <row r="5" spans="2:43">
      <c r="B5" s="3058"/>
      <c r="M5" s="2676"/>
      <c r="N5" s="2676"/>
      <c r="O5" s="2676"/>
      <c r="P5" s="2676"/>
      <c r="Q5" s="2676"/>
      <c r="R5" s="2676"/>
      <c r="S5" s="2676"/>
      <c r="T5" s="2676"/>
      <c r="U5" s="2676"/>
      <c r="V5" s="2676"/>
      <c r="W5" s="2676"/>
      <c r="X5" s="2676"/>
      <c r="Y5" s="2676"/>
      <c r="Z5" s="2676"/>
      <c r="AA5" s="2676"/>
      <c r="AB5" s="2676"/>
      <c r="AC5" s="2676"/>
      <c r="AD5" s="2676"/>
      <c r="AE5" s="2676"/>
      <c r="AF5" s="2676"/>
      <c r="AG5" s="2676"/>
      <c r="AH5" s="2676"/>
      <c r="AI5" s="2676"/>
      <c r="AJ5" s="2676"/>
      <c r="AK5" s="2676"/>
      <c r="AL5" s="2676"/>
      <c r="AM5" s="2676"/>
      <c r="AN5" s="2676"/>
      <c r="AO5" s="2676"/>
      <c r="AP5" s="2676"/>
      <c r="AQ5" s="2676"/>
    </row>
    <row r="6" spans="2:43">
      <c r="B6" s="3058"/>
      <c r="M6" s="2676"/>
      <c r="N6" s="2676"/>
      <c r="O6" s="2676"/>
      <c r="P6" s="2676"/>
      <c r="Q6" s="2676"/>
      <c r="R6" s="2676"/>
      <c r="S6" s="2676"/>
      <c r="T6" s="2676"/>
      <c r="U6" s="2676"/>
      <c r="V6" s="2676"/>
      <c r="W6" s="2676"/>
      <c r="X6" s="2676"/>
      <c r="Y6" s="2676"/>
      <c r="Z6" s="2676"/>
      <c r="AA6" s="2676"/>
      <c r="AB6" s="2676"/>
      <c r="AC6" s="2676"/>
      <c r="AD6" s="2676"/>
      <c r="AE6" s="2676"/>
      <c r="AF6" s="2676"/>
      <c r="AG6" s="2676"/>
      <c r="AH6" s="2676"/>
      <c r="AI6" s="2676"/>
      <c r="AJ6" s="2676"/>
      <c r="AK6" s="2676"/>
      <c r="AL6" s="2676"/>
      <c r="AM6" s="2676"/>
      <c r="AN6" s="2676"/>
      <c r="AO6" s="2676"/>
      <c r="AP6" s="2676"/>
      <c r="AQ6" s="2676"/>
    </row>
    <row r="7" spans="2:43">
      <c r="B7" s="3059" t="s">
        <v>59</v>
      </c>
      <c r="C7" s="3060"/>
      <c r="D7" s="3060"/>
      <c r="E7" s="3060"/>
      <c r="F7" s="3060"/>
      <c r="G7" s="3060"/>
      <c r="H7" s="3060"/>
      <c r="I7" s="3060"/>
      <c r="M7" s="2676"/>
      <c r="N7" s="2676"/>
      <c r="O7" s="2676"/>
      <c r="P7" s="2676"/>
      <c r="Q7" s="2676"/>
      <c r="R7" s="2676"/>
      <c r="S7" s="2676"/>
      <c r="T7" s="2676"/>
      <c r="U7" s="2676"/>
      <c r="V7" s="2676"/>
      <c r="W7" s="2676"/>
      <c r="X7" s="2676"/>
      <c r="Y7" s="2676"/>
      <c r="Z7" s="2676"/>
      <c r="AA7" s="2676"/>
      <c r="AB7" s="2676"/>
      <c r="AC7" s="2676"/>
      <c r="AD7" s="2676"/>
      <c r="AE7" s="2676"/>
      <c r="AF7" s="2676"/>
      <c r="AG7" s="2676"/>
      <c r="AH7" s="2676"/>
      <c r="AI7" s="2676"/>
      <c r="AJ7" s="2676"/>
      <c r="AK7" s="2676"/>
      <c r="AL7" s="2676"/>
      <c r="AM7" s="2676"/>
      <c r="AN7" s="2676"/>
      <c r="AO7" s="2676"/>
      <c r="AP7" s="2676"/>
      <c r="AQ7" s="2676"/>
    </row>
    <row r="8" spans="2:43" ht="38.25" customHeight="1">
      <c r="B8" s="3473" t="s">
        <v>1272</v>
      </c>
      <c r="C8" s="3474"/>
      <c r="D8" s="3473"/>
      <c r="E8" s="3473"/>
      <c r="F8" s="3473"/>
      <c r="G8" s="3473"/>
      <c r="H8" s="3473"/>
      <c r="I8" s="3473"/>
      <c r="M8" s="2676"/>
      <c r="N8" s="2676"/>
      <c r="O8" s="2676"/>
      <c r="P8" s="2676"/>
      <c r="Q8" s="2676"/>
      <c r="R8" s="2676"/>
      <c r="S8" s="2676"/>
      <c r="T8" s="2676"/>
      <c r="U8" s="2676"/>
      <c r="V8" s="2676"/>
      <c r="W8" s="2676"/>
      <c r="X8" s="2676"/>
      <c r="Y8" s="2676"/>
      <c r="Z8" s="2676"/>
      <c r="AA8" s="2676"/>
      <c r="AB8" s="2676"/>
      <c r="AC8" s="2676"/>
      <c r="AD8" s="2676"/>
      <c r="AE8" s="2676"/>
      <c r="AF8" s="2676"/>
      <c r="AG8" s="2676"/>
      <c r="AH8" s="2676"/>
      <c r="AI8" s="2676"/>
      <c r="AJ8" s="2676"/>
      <c r="AK8" s="2676"/>
      <c r="AL8" s="2676"/>
      <c r="AM8" s="2676"/>
      <c r="AN8" s="2676"/>
      <c r="AO8" s="2676"/>
      <c r="AP8" s="2676"/>
      <c r="AQ8" s="2676"/>
    </row>
    <row r="9" spans="2:43">
      <c r="B9" s="3061"/>
      <c r="C9" s="3062"/>
      <c r="D9" s="3062"/>
      <c r="E9" s="3062"/>
      <c r="F9" s="3062"/>
      <c r="G9" s="3062"/>
      <c r="H9" s="3062"/>
      <c r="I9" s="3062"/>
      <c r="M9" s="2676"/>
      <c r="N9" s="2676"/>
      <c r="O9" s="2676"/>
      <c r="P9" s="2676"/>
      <c r="Q9" s="2676"/>
      <c r="R9" s="2676"/>
      <c r="S9" s="2676"/>
      <c r="T9" s="2676"/>
      <c r="U9" s="2676"/>
      <c r="V9" s="2676"/>
      <c r="W9" s="2676"/>
      <c r="X9" s="2676"/>
      <c r="Y9" s="2676"/>
      <c r="Z9" s="2676"/>
      <c r="AA9" s="2676"/>
      <c r="AB9" s="2676"/>
      <c r="AC9" s="2676"/>
      <c r="AD9" s="2676"/>
      <c r="AE9" s="2676"/>
      <c r="AF9" s="2676"/>
      <c r="AG9" s="2676"/>
      <c r="AH9" s="2676"/>
      <c r="AI9" s="2676"/>
      <c r="AJ9" s="2676"/>
      <c r="AK9" s="2676"/>
      <c r="AL9" s="2676"/>
      <c r="AM9" s="2676"/>
      <c r="AN9" s="2676"/>
      <c r="AO9" s="2676"/>
      <c r="AP9" s="2676"/>
      <c r="AQ9" s="2676"/>
    </row>
    <row r="10" spans="2:43" ht="15.75">
      <c r="B10" s="3063" t="s">
        <v>580</v>
      </c>
      <c r="C10" s="3063"/>
      <c r="D10" s="3063"/>
      <c r="E10" s="3063"/>
      <c r="F10" s="3063"/>
      <c r="G10" s="3063"/>
      <c r="H10" s="3063"/>
      <c r="I10" s="3063"/>
      <c r="M10" s="2676"/>
      <c r="N10" s="2676"/>
      <c r="O10" s="2676"/>
      <c r="P10" s="2676"/>
      <c r="Q10" s="2676"/>
      <c r="R10" s="2676"/>
      <c r="S10" s="2676"/>
      <c r="T10" s="2676"/>
      <c r="U10" s="2676"/>
      <c r="V10" s="2676"/>
      <c r="W10" s="2676"/>
      <c r="X10" s="2676"/>
      <c r="Y10" s="2676"/>
      <c r="Z10" s="2676"/>
      <c r="AA10" s="2676"/>
      <c r="AB10" s="2676"/>
      <c r="AC10" s="2676"/>
      <c r="AD10" s="2676"/>
      <c r="AE10" s="2676"/>
      <c r="AF10" s="2676"/>
      <c r="AG10" s="2676"/>
      <c r="AH10" s="2676"/>
      <c r="AI10" s="2676"/>
      <c r="AJ10" s="2676"/>
      <c r="AK10" s="2676"/>
      <c r="AL10" s="2676"/>
      <c r="AM10" s="2676"/>
      <c r="AN10" s="2676"/>
      <c r="AO10" s="2676"/>
      <c r="AP10" s="2676"/>
      <c r="AQ10" s="2676"/>
    </row>
    <row r="11" spans="2:43" ht="15.75" thickBot="1">
      <c r="B11" s="3064"/>
      <c r="C11" s="3064"/>
      <c r="D11" s="3064"/>
      <c r="E11" s="3064"/>
      <c r="F11" s="3064"/>
      <c r="G11" s="3064"/>
      <c r="H11" s="3064"/>
      <c r="I11" s="3064"/>
      <c r="M11" s="2676"/>
      <c r="N11" s="2676"/>
      <c r="O11" s="2676"/>
      <c r="P11" s="2676"/>
      <c r="Q11" s="2676"/>
      <c r="R11" s="2676"/>
      <c r="S11" s="2676"/>
      <c r="T11" s="2676"/>
      <c r="U11" s="2676"/>
      <c r="V11" s="2676"/>
      <c r="W11" s="2676"/>
      <c r="X11" s="2676"/>
      <c r="Y11" s="2676"/>
      <c r="Z11" s="2676"/>
      <c r="AA11" s="2676"/>
      <c r="AB11" s="2676"/>
      <c r="AC11" s="2676"/>
      <c r="AD11" s="2676"/>
      <c r="AE11" s="2676"/>
      <c r="AF11" s="2676"/>
      <c r="AG11" s="2676"/>
      <c r="AH11" s="2676"/>
      <c r="AI11" s="2676"/>
      <c r="AJ11" s="2676"/>
      <c r="AK11" s="2676"/>
      <c r="AL11" s="2676"/>
      <c r="AM11" s="2676"/>
      <c r="AN11" s="2676"/>
      <c r="AO11" s="2676"/>
      <c r="AP11" s="2676"/>
      <c r="AQ11" s="2676"/>
    </row>
    <row r="12" spans="2:43" ht="20.25">
      <c r="B12" s="3475" t="s">
        <v>1273</v>
      </c>
      <c r="C12" s="3476"/>
      <c r="D12" s="3476"/>
      <c r="E12" s="3476"/>
      <c r="F12" s="3476"/>
      <c r="G12" s="3476"/>
      <c r="H12" s="3476"/>
      <c r="I12" s="3477"/>
      <c r="M12" s="2676"/>
      <c r="N12" s="2676"/>
      <c r="O12" s="2676"/>
      <c r="P12" s="2676"/>
      <c r="Q12" s="2676"/>
      <c r="R12" s="2676"/>
      <c r="S12" s="2676"/>
      <c r="T12" s="2676"/>
      <c r="U12" s="2676"/>
      <c r="V12" s="2676"/>
      <c r="W12" s="2676"/>
      <c r="X12" s="2676"/>
      <c r="Y12" s="2676"/>
      <c r="Z12" s="2676"/>
      <c r="AA12" s="2676"/>
      <c r="AB12" s="2676"/>
      <c r="AC12" s="2676"/>
      <c r="AD12" s="2676"/>
      <c r="AE12" s="2676"/>
      <c r="AF12" s="2676"/>
      <c r="AG12" s="2676"/>
      <c r="AH12" s="2676"/>
      <c r="AI12" s="2676"/>
      <c r="AJ12" s="2676"/>
      <c r="AK12" s="2676"/>
      <c r="AL12" s="2676"/>
      <c r="AM12" s="2676"/>
      <c r="AN12" s="2676"/>
      <c r="AO12" s="2676"/>
      <c r="AP12" s="2676"/>
      <c r="AQ12" s="2676"/>
    </row>
    <row r="13" spans="2:43" ht="20.25">
      <c r="B13" s="3065"/>
      <c r="C13" s="3066"/>
      <c r="D13" s="3066"/>
      <c r="E13" s="3067"/>
      <c r="F13" s="3067"/>
      <c r="G13" s="3067"/>
      <c r="H13" s="3067"/>
      <c r="I13" s="3068"/>
      <c r="M13" s="2676"/>
      <c r="N13" s="2676"/>
      <c r="O13" s="2676"/>
      <c r="P13" s="2676"/>
      <c r="Q13" s="2676"/>
      <c r="R13" s="2676"/>
      <c r="S13" s="2676"/>
      <c r="T13" s="2676"/>
      <c r="U13" s="2676"/>
      <c r="V13" s="2676"/>
      <c r="W13" s="2676"/>
      <c r="X13" s="2676"/>
      <c r="Y13" s="2676"/>
      <c r="Z13" s="2676"/>
      <c r="AA13" s="2676"/>
      <c r="AB13" s="2676"/>
      <c r="AC13" s="2676"/>
      <c r="AD13" s="2676"/>
      <c r="AE13" s="2676"/>
      <c r="AF13" s="2676"/>
      <c r="AG13" s="2676"/>
      <c r="AH13" s="2676"/>
      <c r="AI13" s="2676"/>
      <c r="AJ13" s="2676"/>
      <c r="AK13" s="2676"/>
      <c r="AL13" s="2676"/>
      <c r="AM13" s="2676"/>
      <c r="AN13" s="2676"/>
      <c r="AO13" s="2676"/>
      <c r="AP13" s="2676"/>
      <c r="AQ13" s="2676"/>
    </row>
    <row r="14" spans="2:43" ht="15.75">
      <c r="B14" s="3069" t="s">
        <v>1274</v>
      </c>
      <c r="C14" s="3478" t="s">
        <v>888</v>
      </c>
      <c r="D14" s="3479"/>
      <c r="E14" s="3479"/>
      <c r="F14" s="3070" t="s">
        <v>1275</v>
      </c>
      <c r="G14" s="3067"/>
      <c r="H14" s="3067"/>
      <c r="I14" s="3068"/>
      <c r="M14" s="2676"/>
      <c r="N14" s="2676"/>
      <c r="O14" s="2676"/>
      <c r="P14" s="2676"/>
      <c r="Q14" s="2676"/>
      <c r="R14" s="2676"/>
      <c r="S14" s="2676"/>
      <c r="T14" s="2676"/>
      <c r="U14" s="2676"/>
      <c r="V14" s="2676"/>
      <c r="W14" s="2676"/>
      <c r="X14" s="2676"/>
      <c r="Y14" s="2676"/>
      <c r="Z14" s="2676"/>
      <c r="AA14" s="2676"/>
      <c r="AB14" s="2676"/>
      <c r="AC14" s="2676"/>
      <c r="AD14" s="2676"/>
      <c r="AE14" s="2676"/>
      <c r="AF14" s="2676"/>
      <c r="AG14" s="2676"/>
      <c r="AH14" s="2676"/>
      <c r="AI14" s="2676"/>
      <c r="AJ14" s="2676"/>
      <c r="AK14" s="2676"/>
      <c r="AL14" s="2676"/>
      <c r="AM14" s="2676"/>
      <c r="AN14" s="2676"/>
      <c r="AO14" s="2676"/>
      <c r="AP14" s="2676"/>
      <c r="AQ14" s="2676"/>
    </row>
    <row r="15" spans="2:43">
      <c r="B15" s="3071" t="s">
        <v>300</v>
      </c>
      <c r="C15" s="3480" t="str">
        <f>INDEX(dms_ABN_List,MATCH(dms_TradingName,dms_TradingName_List))</f>
        <v xml:space="preserve">086 015 036 </v>
      </c>
      <c r="D15" s="3480"/>
      <c r="E15" s="3480"/>
      <c r="F15" s="3072"/>
      <c r="G15" s="3072"/>
      <c r="H15" s="3072"/>
      <c r="I15" s="3068"/>
      <c r="M15" s="2676"/>
      <c r="N15" s="2676"/>
      <c r="O15" s="2676"/>
      <c r="P15" s="2676"/>
      <c r="Q15" s="2676"/>
      <c r="R15" s="2676"/>
      <c r="S15" s="2676"/>
      <c r="T15" s="2676"/>
      <c r="U15" s="2676"/>
      <c r="V15" s="2676"/>
      <c r="W15" s="2676"/>
      <c r="X15" s="2676"/>
      <c r="Y15" s="2676"/>
      <c r="Z15" s="2676"/>
      <c r="AA15" s="2676"/>
      <c r="AB15" s="2676"/>
      <c r="AC15" s="2676"/>
      <c r="AD15" s="2676"/>
      <c r="AE15" s="2676"/>
      <c r="AF15" s="2676"/>
      <c r="AG15" s="2676"/>
      <c r="AH15" s="2676"/>
      <c r="AI15" s="2676"/>
      <c r="AJ15" s="2676"/>
      <c r="AK15" s="2676"/>
      <c r="AL15" s="2676"/>
      <c r="AM15" s="2676"/>
      <c r="AN15" s="2676"/>
      <c r="AO15" s="2676"/>
      <c r="AP15" s="2676"/>
      <c r="AQ15" s="2676"/>
    </row>
    <row r="16" spans="2:43" ht="15.75" thickBot="1">
      <c r="B16" s="3073"/>
      <c r="C16" s="3074"/>
      <c r="D16" s="3074"/>
      <c r="E16" s="3074"/>
      <c r="F16" s="3075"/>
      <c r="G16" s="3075"/>
      <c r="H16" s="3075"/>
      <c r="I16" s="3076"/>
      <c r="M16" s="2676"/>
      <c r="N16" s="2676"/>
      <c r="O16" s="2676"/>
      <c r="P16" s="2676"/>
      <c r="Q16" s="2676"/>
      <c r="R16" s="2676"/>
      <c r="S16" s="2676"/>
      <c r="T16" s="2676"/>
      <c r="U16" s="2676"/>
      <c r="V16" s="2676"/>
      <c r="W16" s="2676"/>
      <c r="X16" s="2676"/>
      <c r="Y16" s="2676"/>
      <c r="Z16" s="2676"/>
      <c r="AA16" s="2676"/>
      <c r="AB16" s="2676"/>
      <c r="AC16" s="2676"/>
      <c r="AD16" s="2676"/>
      <c r="AE16" s="2676"/>
      <c r="AF16" s="2676"/>
      <c r="AG16" s="2676"/>
      <c r="AH16" s="2676"/>
      <c r="AI16" s="2676"/>
      <c r="AJ16" s="2676"/>
      <c r="AK16" s="2676"/>
      <c r="AL16" s="2676"/>
      <c r="AM16" s="2676"/>
      <c r="AN16" s="2676"/>
      <c r="AO16" s="2676"/>
      <c r="AP16" s="2676"/>
      <c r="AQ16" s="2676"/>
    </row>
    <row r="17" spans="2:43" ht="29.25" customHeight="1">
      <c r="B17" s="3077"/>
      <c r="C17" s="3078"/>
      <c r="D17" s="3078"/>
      <c r="E17" s="3078"/>
      <c r="F17" s="3079"/>
      <c r="G17" s="3079"/>
      <c r="H17" s="3079"/>
      <c r="I17" s="3080"/>
      <c r="M17" s="2676"/>
      <c r="N17" s="2676"/>
      <c r="O17" s="2676"/>
      <c r="P17" s="2676"/>
      <c r="Q17" s="2676"/>
      <c r="R17" s="2676"/>
      <c r="S17" s="2676"/>
      <c r="T17" s="2676"/>
      <c r="U17" s="2676"/>
      <c r="V17" s="2676"/>
      <c r="W17" s="2676"/>
      <c r="X17" s="2676"/>
      <c r="Y17" s="2676"/>
      <c r="Z17" s="2676"/>
      <c r="AA17" s="2676"/>
      <c r="AB17" s="2676"/>
      <c r="AC17" s="2676"/>
      <c r="AD17" s="2676"/>
      <c r="AE17" s="2676"/>
      <c r="AF17" s="2676"/>
      <c r="AG17" s="2676"/>
      <c r="AH17" s="2676"/>
      <c r="AI17" s="2676"/>
      <c r="AJ17" s="2676"/>
      <c r="AK17" s="2676"/>
      <c r="AL17" s="2676"/>
      <c r="AM17" s="2676"/>
      <c r="AN17" s="2676"/>
      <c r="AO17" s="2676"/>
      <c r="AP17" s="2676"/>
      <c r="AQ17" s="2676"/>
    </row>
    <row r="18" spans="2:43">
      <c r="B18" s="3069" t="s">
        <v>28</v>
      </c>
      <c r="C18" s="3481" t="s">
        <v>305</v>
      </c>
      <c r="D18" s="3482"/>
      <c r="E18" s="3478"/>
      <c r="F18" s="3479"/>
      <c r="G18" s="3479"/>
      <c r="H18" s="3483"/>
      <c r="I18" s="3081"/>
      <c r="M18" s="2676"/>
      <c r="N18" s="2676"/>
      <c r="O18" s="2676"/>
      <c r="P18" s="2676"/>
      <c r="Q18" s="2676"/>
      <c r="R18" s="2676"/>
      <c r="S18" s="2676"/>
      <c r="T18" s="2676"/>
      <c r="U18" s="2676"/>
      <c r="V18" s="2676"/>
      <c r="W18" s="2676"/>
      <c r="X18" s="2676"/>
      <c r="Y18" s="2676"/>
      <c r="Z18" s="2676"/>
      <c r="AA18" s="2676"/>
      <c r="AB18" s="2676"/>
      <c r="AC18" s="2676"/>
      <c r="AD18" s="2676"/>
      <c r="AE18" s="2676"/>
      <c r="AF18" s="2676"/>
      <c r="AG18" s="2676"/>
      <c r="AH18" s="2676"/>
      <c r="AI18" s="2676"/>
      <c r="AJ18" s="2676"/>
      <c r="AK18" s="2676"/>
      <c r="AL18" s="2676"/>
      <c r="AM18" s="2676"/>
      <c r="AN18" s="2676"/>
      <c r="AO18" s="2676"/>
      <c r="AP18" s="2676"/>
      <c r="AQ18" s="2676"/>
    </row>
    <row r="19" spans="2:43">
      <c r="B19" s="3082"/>
      <c r="C19" s="3083"/>
      <c r="D19" s="3083" t="s">
        <v>308</v>
      </c>
      <c r="E19" s="3478"/>
      <c r="F19" s="3479"/>
      <c r="G19" s="3479"/>
      <c r="H19" s="3483"/>
      <c r="I19" s="3081"/>
      <c r="M19" s="2676"/>
      <c r="N19" s="2676"/>
      <c r="O19" s="2676"/>
      <c r="P19" s="2676"/>
      <c r="Q19" s="2676"/>
      <c r="R19" s="2676"/>
      <c r="S19" s="2676"/>
      <c r="T19" s="2676"/>
      <c r="U19" s="2676"/>
      <c r="V19" s="2676"/>
      <c r="W19" s="2676"/>
      <c r="X19" s="2676"/>
      <c r="Y19" s="2676"/>
      <c r="Z19" s="2676"/>
      <c r="AA19" s="2676"/>
      <c r="AB19" s="2676"/>
      <c r="AC19" s="2676"/>
      <c r="AD19" s="2676"/>
      <c r="AE19" s="2676"/>
      <c r="AF19" s="2676"/>
      <c r="AG19" s="2676"/>
      <c r="AH19" s="2676"/>
      <c r="AI19" s="2676"/>
      <c r="AJ19" s="2676"/>
      <c r="AK19" s="2676"/>
      <c r="AL19" s="2676"/>
      <c r="AM19" s="2676"/>
      <c r="AN19" s="2676"/>
      <c r="AO19" s="2676"/>
      <c r="AP19" s="2676"/>
      <c r="AQ19" s="2676"/>
    </row>
    <row r="20" spans="2:43">
      <c r="B20" s="3082"/>
      <c r="C20" s="3481" t="s">
        <v>29</v>
      </c>
      <c r="D20" s="3482"/>
      <c r="E20" s="3478"/>
      <c r="F20" s="3479"/>
      <c r="G20" s="3479"/>
      <c r="H20" s="3483"/>
      <c r="I20" s="3081"/>
      <c r="M20" s="2676"/>
      <c r="N20" s="2676"/>
      <c r="O20" s="2676"/>
      <c r="P20" s="2676"/>
      <c r="Q20" s="2676"/>
      <c r="R20" s="2676"/>
      <c r="S20" s="2676"/>
      <c r="T20" s="2676"/>
      <c r="U20" s="2676"/>
      <c r="V20" s="2676"/>
      <c r="W20" s="2676"/>
      <c r="X20" s="2676"/>
      <c r="Y20" s="2676"/>
      <c r="Z20" s="2676"/>
      <c r="AA20" s="2676"/>
      <c r="AB20" s="2676"/>
      <c r="AC20" s="2676"/>
      <c r="AD20" s="2676"/>
      <c r="AE20" s="2676"/>
      <c r="AF20" s="2676"/>
      <c r="AG20" s="2676"/>
      <c r="AH20" s="2676"/>
      <c r="AI20" s="2676"/>
      <c r="AJ20" s="2676"/>
      <c r="AK20" s="2676"/>
      <c r="AL20" s="2676"/>
      <c r="AM20" s="2676"/>
      <c r="AN20" s="2676"/>
      <c r="AO20" s="2676"/>
      <c r="AP20" s="2676"/>
      <c r="AQ20" s="2676"/>
    </row>
    <row r="21" spans="2:43">
      <c r="B21" s="3082"/>
      <c r="C21" s="3084"/>
      <c r="D21" s="3083" t="s">
        <v>30</v>
      </c>
      <c r="E21" s="3085" t="s">
        <v>698</v>
      </c>
      <c r="F21" s="3083" t="s">
        <v>316</v>
      </c>
      <c r="G21" s="3086"/>
      <c r="H21" s="3067"/>
      <c r="I21" s="3068"/>
      <c r="M21" s="2676"/>
      <c r="N21" s="2676"/>
      <c r="O21" s="2676"/>
      <c r="P21" s="2676"/>
      <c r="Q21" s="2676"/>
      <c r="R21" s="2676"/>
      <c r="S21" s="2676"/>
      <c r="T21" s="2676"/>
      <c r="U21" s="2676"/>
      <c r="V21" s="2676"/>
      <c r="W21" s="2676"/>
      <c r="X21" s="2676"/>
      <c r="Y21" s="2676"/>
      <c r="Z21" s="2676"/>
      <c r="AA21" s="2676"/>
      <c r="AB21" s="2676"/>
      <c r="AC21" s="2676"/>
      <c r="AD21" s="2676"/>
      <c r="AE21" s="2676"/>
      <c r="AF21" s="2676"/>
      <c r="AG21" s="2676"/>
      <c r="AH21" s="2676"/>
      <c r="AI21" s="2676"/>
      <c r="AJ21" s="2676"/>
      <c r="AK21" s="2676"/>
      <c r="AL21" s="2676"/>
      <c r="AM21" s="2676"/>
      <c r="AN21" s="2676"/>
      <c r="AO21" s="2676"/>
      <c r="AP21" s="2676"/>
      <c r="AQ21" s="2676"/>
    </row>
    <row r="22" spans="2:43">
      <c r="B22" s="3082"/>
      <c r="C22" s="3084"/>
      <c r="D22" s="3084"/>
      <c r="E22" s="3084"/>
      <c r="F22" s="3067"/>
      <c r="G22" s="3084"/>
      <c r="H22" s="3067"/>
      <c r="I22" s="3068"/>
      <c r="M22" s="2676"/>
      <c r="N22" s="2676"/>
      <c r="O22" s="2676"/>
      <c r="P22" s="2676"/>
      <c r="Q22" s="2676"/>
      <c r="R22" s="2676"/>
      <c r="S22" s="2676"/>
      <c r="T22" s="2676"/>
      <c r="U22" s="2676"/>
      <c r="V22" s="2676"/>
      <c r="W22" s="2676"/>
      <c r="X22" s="2676"/>
      <c r="Y22" s="2676"/>
      <c r="Z22" s="2676"/>
      <c r="AA22" s="2676"/>
      <c r="AB22" s="2676"/>
      <c r="AC22" s="2676"/>
      <c r="AD22" s="2676"/>
      <c r="AE22" s="2676"/>
      <c r="AF22" s="2676"/>
      <c r="AG22" s="2676"/>
      <c r="AH22" s="2676"/>
      <c r="AI22" s="2676"/>
      <c r="AJ22" s="2676"/>
      <c r="AK22" s="2676"/>
      <c r="AL22" s="2676"/>
      <c r="AM22" s="2676"/>
      <c r="AN22" s="2676"/>
      <c r="AO22" s="2676"/>
      <c r="AP22" s="2676"/>
      <c r="AQ22" s="2676"/>
    </row>
    <row r="23" spans="2:43">
      <c r="B23" s="3069" t="s">
        <v>31</v>
      </c>
      <c r="C23" s="3481" t="s">
        <v>305</v>
      </c>
      <c r="D23" s="3482"/>
      <c r="E23" s="3478"/>
      <c r="F23" s="3479"/>
      <c r="G23" s="3479"/>
      <c r="H23" s="3483"/>
      <c r="I23" s="3087"/>
      <c r="M23" s="2676"/>
      <c r="N23" s="2676"/>
      <c r="O23" s="2676"/>
      <c r="P23" s="2676"/>
      <c r="Q23" s="2676"/>
      <c r="R23" s="2676"/>
      <c r="S23" s="2676"/>
      <c r="T23" s="2676"/>
      <c r="U23" s="2676"/>
      <c r="V23" s="2676"/>
      <c r="W23" s="2676"/>
      <c r="X23" s="2676"/>
      <c r="Y23" s="2676"/>
      <c r="Z23" s="2676"/>
      <c r="AA23" s="2676"/>
      <c r="AB23" s="2676"/>
      <c r="AC23" s="2676"/>
      <c r="AD23" s="2676"/>
      <c r="AE23" s="2676"/>
      <c r="AF23" s="2676"/>
      <c r="AG23" s="2676"/>
      <c r="AH23" s="2676"/>
      <c r="AI23" s="2676"/>
      <c r="AJ23" s="2676"/>
      <c r="AK23" s="2676"/>
      <c r="AL23" s="2676"/>
      <c r="AM23" s="2676"/>
      <c r="AN23" s="2676"/>
      <c r="AO23" s="2676"/>
      <c r="AP23" s="2676"/>
      <c r="AQ23" s="2676"/>
    </row>
    <row r="24" spans="2:43">
      <c r="B24" s="3082"/>
      <c r="C24" s="3083"/>
      <c r="D24" s="3083" t="s">
        <v>308</v>
      </c>
      <c r="E24" s="3478"/>
      <c r="F24" s="3479"/>
      <c r="G24" s="3479"/>
      <c r="H24" s="3483"/>
      <c r="I24" s="3087"/>
      <c r="M24" s="2676"/>
      <c r="N24" s="2676"/>
      <c r="O24" s="2676"/>
      <c r="P24" s="2676"/>
      <c r="Q24" s="2676"/>
      <c r="R24" s="2676"/>
      <c r="S24" s="2676"/>
      <c r="T24" s="2676"/>
      <c r="U24" s="2676"/>
      <c r="V24" s="2676"/>
      <c r="W24" s="2676"/>
      <c r="X24" s="2676"/>
      <c r="Y24" s="2676"/>
      <c r="Z24" s="2676"/>
      <c r="AA24" s="2676"/>
      <c r="AB24" s="2676"/>
      <c r="AC24" s="2676"/>
      <c r="AD24" s="2676"/>
      <c r="AE24" s="2676"/>
      <c r="AF24" s="2676"/>
      <c r="AG24" s="2676"/>
      <c r="AH24" s="2676"/>
      <c r="AI24" s="2676"/>
      <c r="AJ24" s="2676"/>
      <c r="AK24" s="2676"/>
      <c r="AL24" s="2676"/>
      <c r="AM24" s="2676"/>
      <c r="AN24" s="2676"/>
      <c r="AO24" s="2676"/>
      <c r="AP24" s="2676"/>
      <c r="AQ24" s="2676"/>
    </row>
    <row r="25" spans="2:43">
      <c r="B25" s="3082"/>
      <c r="C25" s="3481" t="s">
        <v>29</v>
      </c>
      <c r="D25" s="3482"/>
      <c r="E25" s="3478"/>
      <c r="F25" s="3479"/>
      <c r="G25" s="3479"/>
      <c r="H25" s="3483"/>
      <c r="I25" s="3087"/>
      <c r="M25" s="2676"/>
      <c r="N25" s="2676"/>
      <c r="O25" s="2676"/>
      <c r="P25" s="2676"/>
      <c r="Q25" s="2676"/>
      <c r="R25" s="2676"/>
      <c r="S25" s="2676"/>
      <c r="T25" s="2676"/>
      <c r="U25" s="2676"/>
      <c r="V25" s="2676"/>
      <c r="W25" s="2676"/>
      <c r="X25" s="2676"/>
      <c r="Y25" s="2676"/>
      <c r="Z25" s="2676"/>
      <c r="AA25" s="2676"/>
      <c r="AB25" s="2676"/>
      <c r="AC25" s="2676"/>
      <c r="AD25" s="2676"/>
      <c r="AE25" s="2676"/>
      <c r="AF25" s="2676"/>
      <c r="AG25" s="2676"/>
      <c r="AH25" s="2676"/>
      <c r="AI25" s="2676"/>
      <c r="AJ25" s="2676"/>
      <c r="AK25" s="2676"/>
      <c r="AL25" s="2676"/>
      <c r="AM25" s="2676"/>
      <c r="AN25" s="2676"/>
      <c r="AO25" s="2676"/>
      <c r="AP25" s="2676"/>
      <c r="AQ25" s="2676"/>
    </row>
    <row r="26" spans="2:43">
      <c r="B26" s="3088"/>
      <c r="C26" s="3084"/>
      <c r="D26" s="3083" t="s">
        <v>30</v>
      </c>
      <c r="E26" s="3086" t="s">
        <v>698</v>
      </c>
      <c r="F26" s="3083" t="s">
        <v>316</v>
      </c>
      <c r="G26" s="3086"/>
      <c r="H26" s="3067"/>
      <c r="I26" s="3068"/>
      <c r="M26" s="2676"/>
      <c r="N26" s="2676"/>
      <c r="O26" s="2676"/>
      <c r="P26" s="2676"/>
      <c r="Q26" s="2676"/>
      <c r="R26" s="2676"/>
      <c r="S26" s="2676"/>
      <c r="T26" s="2676"/>
      <c r="U26" s="2676"/>
      <c r="V26" s="2676"/>
      <c r="W26" s="2676"/>
      <c r="X26" s="2676"/>
      <c r="Y26" s="2676"/>
      <c r="Z26" s="2676"/>
      <c r="AA26" s="2676"/>
      <c r="AB26" s="2676"/>
      <c r="AC26" s="2676"/>
      <c r="AD26" s="2676"/>
      <c r="AE26" s="2676"/>
      <c r="AF26" s="2676"/>
      <c r="AG26" s="2676"/>
      <c r="AH26" s="2676"/>
      <c r="AI26" s="2676"/>
      <c r="AJ26" s="2676"/>
      <c r="AK26" s="2676"/>
      <c r="AL26" s="2676"/>
      <c r="AM26" s="2676"/>
      <c r="AN26" s="2676"/>
      <c r="AO26" s="2676"/>
      <c r="AP26" s="2676"/>
      <c r="AQ26" s="2676"/>
    </row>
    <row r="27" spans="2:43">
      <c r="B27" s="3089"/>
      <c r="C27" s="3090"/>
      <c r="D27" s="3090"/>
      <c r="E27" s="3090"/>
      <c r="F27" s="3091"/>
      <c r="G27" s="3091"/>
      <c r="H27" s="3091"/>
      <c r="I27" s="3092"/>
      <c r="M27" s="2676"/>
      <c r="N27" s="2676"/>
      <c r="O27" s="2676"/>
      <c r="P27" s="2676"/>
      <c r="Q27" s="2676"/>
      <c r="R27" s="2676"/>
      <c r="S27" s="2676"/>
      <c r="T27" s="2676"/>
      <c r="U27" s="2676"/>
      <c r="V27" s="2676"/>
      <c r="W27" s="2676"/>
      <c r="X27" s="2676"/>
      <c r="Y27" s="2676"/>
      <c r="Z27" s="2676"/>
      <c r="AA27" s="2676"/>
      <c r="AB27" s="2676"/>
      <c r="AC27" s="2676"/>
      <c r="AD27" s="2676"/>
      <c r="AE27" s="2676"/>
      <c r="AF27" s="2676"/>
      <c r="AG27" s="2676"/>
      <c r="AH27" s="2676"/>
      <c r="AI27" s="2676"/>
      <c r="AJ27" s="2676"/>
      <c r="AK27" s="2676"/>
      <c r="AL27" s="2676"/>
      <c r="AM27" s="2676"/>
      <c r="AN27" s="2676"/>
      <c r="AO27" s="2676"/>
      <c r="AP27" s="2676"/>
      <c r="AQ27" s="2676"/>
    </row>
    <row r="28" spans="2:43">
      <c r="B28" s="3088"/>
      <c r="C28" s="3093"/>
      <c r="D28" s="3093"/>
      <c r="E28" s="3093"/>
      <c r="F28" s="3067"/>
      <c r="G28" s="3067"/>
      <c r="H28" s="3067"/>
      <c r="I28" s="3068"/>
      <c r="M28" s="2676"/>
      <c r="N28" s="2676"/>
      <c r="O28" s="2676"/>
      <c r="P28" s="2676"/>
      <c r="Q28" s="2676"/>
      <c r="R28" s="2676"/>
      <c r="S28" s="2676"/>
      <c r="T28" s="2676"/>
      <c r="U28" s="2676"/>
      <c r="V28" s="2676"/>
      <c r="W28" s="2676"/>
      <c r="X28" s="2676"/>
      <c r="Y28" s="2676"/>
      <c r="Z28" s="2676"/>
      <c r="AA28" s="2676"/>
      <c r="AB28" s="2676"/>
      <c r="AC28" s="2676"/>
      <c r="AD28" s="2676"/>
      <c r="AE28" s="2676"/>
      <c r="AF28" s="2676"/>
      <c r="AG28" s="2676"/>
      <c r="AH28" s="2676"/>
      <c r="AI28" s="2676"/>
      <c r="AJ28" s="2676"/>
      <c r="AK28" s="2676"/>
      <c r="AL28" s="2676"/>
      <c r="AM28" s="2676"/>
      <c r="AN28" s="2676"/>
      <c r="AO28" s="2676"/>
      <c r="AP28" s="2676"/>
      <c r="AQ28" s="2676"/>
    </row>
    <row r="29" spans="2:43">
      <c r="B29" s="3094" t="s">
        <v>32</v>
      </c>
      <c r="C29" s="3095"/>
      <c r="D29" s="3096"/>
      <c r="E29" s="3097"/>
      <c r="F29" s="3095"/>
      <c r="G29" s="3096"/>
      <c r="H29" s="3098"/>
      <c r="I29" s="3099"/>
      <c r="M29" s="2676"/>
      <c r="N29" s="2676"/>
      <c r="O29" s="2676"/>
      <c r="P29" s="2676"/>
      <c r="Q29" s="2676"/>
      <c r="R29" s="2676"/>
      <c r="S29" s="2676"/>
      <c r="T29" s="2676"/>
      <c r="U29" s="2676"/>
      <c r="V29" s="2676"/>
      <c r="W29" s="2676"/>
      <c r="X29" s="2676"/>
      <c r="Y29" s="2676"/>
      <c r="Z29" s="2676"/>
      <c r="AA29" s="2676"/>
      <c r="AB29" s="2676"/>
      <c r="AC29" s="2676"/>
      <c r="AD29" s="2676"/>
      <c r="AE29" s="2676"/>
      <c r="AF29" s="2676"/>
      <c r="AG29" s="2676"/>
      <c r="AH29" s="2676"/>
      <c r="AI29" s="2676"/>
      <c r="AJ29" s="2676"/>
      <c r="AK29" s="2676"/>
      <c r="AL29" s="2676"/>
      <c r="AM29" s="2676"/>
      <c r="AN29" s="2676"/>
      <c r="AO29" s="2676"/>
      <c r="AP29" s="2676"/>
      <c r="AQ29" s="2676"/>
    </row>
    <row r="30" spans="2:43">
      <c r="B30" s="3069" t="s">
        <v>33</v>
      </c>
      <c r="C30" s="3095"/>
      <c r="D30" s="3100"/>
      <c r="E30" s="3101"/>
      <c r="F30" s="3102"/>
      <c r="G30" s="3100"/>
      <c r="H30" s="3067"/>
      <c r="I30" s="3068"/>
      <c r="M30" s="2676"/>
      <c r="N30" s="2676"/>
      <c r="O30" s="2676"/>
      <c r="P30" s="2676"/>
      <c r="Q30" s="2676"/>
      <c r="R30" s="2676"/>
      <c r="S30" s="2676"/>
      <c r="T30" s="2676"/>
      <c r="U30" s="2676"/>
      <c r="V30" s="2676"/>
      <c r="W30" s="2676"/>
      <c r="X30" s="2676"/>
      <c r="Y30" s="2676"/>
      <c r="Z30" s="2676"/>
      <c r="AA30" s="2676"/>
      <c r="AB30" s="2676"/>
      <c r="AC30" s="2676"/>
      <c r="AD30" s="2676"/>
      <c r="AE30" s="2676"/>
      <c r="AF30" s="2676"/>
      <c r="AG30" s="2676"/>
      <c r="AH30" s="2676"/>
      <c r="AI30" s="2676"/>
      <c r="AJ30" s="2676"/>
      <c r="AK30" s="2676"/>
      <c r="AL30" s="2676"/>
      <c r="AM30" s="2676"/>
      <c r="AN30" s="2676"/>
      <c r="AO30" s="2676"/>
      <c r="AP30" s="2676"/>
      <c r="AQ30" s="2676"/>
    </row>
    <row r="31" spans="2:43">
      <c r="B31" s="3069" t="s">
        <v>34</v>
      </c>
      <c r="C31" s="3095"/>
      <c r="D31" s="3096"/>
      <c r="E31" s="3101"/>
      <c r="F31" s="3103"/>
      <c r="G31" s="3096"/>
      <c r="H31" s="3067"/>
      <c r="I31" s="3068"/>
      <c r="M31" s="2676"/>
      <c r="N31" s="2676"/>
      <c r="O31" s="2676"/>
      <c r="P31" s="2676"/>
      <c r="Q31" s="2676"/>
      <c r="R31" s="2676"/>
      <c r="S31" s="2676"/>
      <c r="T31" s="2676"/>
      <c r="U31" s="2676"/>
      <c r="V31" s="2676"/>
      <c r="W31" s="2676"/>
      <c r="X31" s="2676"/>
      <c r="Y31" s="2676"/>
      <c r="Z31" s="2676"/>
      <c r="AA31" s="2676"/>
      <c r="AB31" s="2676"/>
      <c r="AC31" s="2676"/>
      <c r="AD31" s="2676"/>
      <c r="AE31" s="2676"/>
      <c r="AF31" s="2676"/>
      <c r="AG31" s="2676"/>
      <c r="AH31" s="2676"/>
      <c r="AI31" s="2676"/>
      <c r="AJ31" s="2676"/>
      <c r="AK31" s="2676"/>
      <c r="AL31" s="2676"/>
      <c r="AM31" s="2676"/>
      <c r="AN31" s="2676"/>
      <c r="AO31" s="2676"/>
      <c r="AP31" s="2676"/>
      <c r="AQ31" s="2676"/>
    </row>
    <row r="32" spans="2:43" ht="15.75" thickBot="1">
      <c r="B32" s="3073"/>
      <c r="C32" s="3074"/>
      <c r="D32" s="3074"/>
      <c r="E32" s="3074"/>
      <c r="F32" s="3075"/>
      <c r="G32" s="3075"/>
      <c r="H32" s="3075"/>
      <c r="I32" s="3076"/>
      <c r="M32" s="2676"/>
      <c r="N32" s="2676"/>
      <c r="O32" s="2676"/>
      <c r="P32" s="2676"/>
      <c r="Q32" s="2676"/>
      <c r="R32" s="2676"/>
      <c r="S32" s="2676"/>
      <c r="T32" s="2676"/>
      <c r="U32" s="2676"/>
      <c r="V32" s="2676"/>
      <c r="W32" s="2676"/>
      <c r="X32" s="2676"/>
      <c r="Y32" s="2676"/>
      <c r="Z32" s="2676"/>
      <c r="AA32" s="2676"/>
      <c r="AB32" s="2676"/>
      <c r="AC32" s="2676"/>
      <c r="AD32" s="2676"/>
      <c r="AE32" s="2676"/>
      <c r="AF32" s="2676"/>
      <c r="AG32" s="2676"/>
      <c r="AH32" s="2676"/>
      <c r="AI32" s="2676"/>
      <c r="AJ32" s="2676"/>
      <c r="AK32" s="2676"/>
      <c r="AL32" s="2676"/>
      <c r="AM32" s="2676"/>
      <c r="AN32" s="2676"/>
      <c r="AO32" s="2676"/>
      <c r="AP32" s="2676"/>
      <c r="AQ32" s="2676"/>
    </row>
    <row r="33" spans="2:43" ht="20.25">
      <c r="B33" s="3487" t="s">
        <v>1276</v>
      </c>
      <c r="C33" s="3488"/>
      <c r="D33" s="3488"/>
      <c r="E33" s="3488"/>
      <c r="F33" s="3488"/>
      <c r="G33" s="3488"/>
      <c r="H33" s="3488"/>
      <c r="I33" s="3489"/>
      <c r="M33" s="2676"/>
      <c r="N33" s="2676"/>
      <c r="O33" s="2676"/>
      <c r="P33" s="2676"/>
      <c r="Q33" s="2676"/>
      <c r="R33" s="2676"/>
      <c r="S33" s="2676"/>
      <c r="T33" s="2676"/>
      <c r="U33" s="2676"/>
      <c r="V33" s="2676"/>
      <c r="W33" s="2676"/>
      <c r="X33" s="2676"/>
      <c r="Y33" s="2676"/>
      <c r="Z33" s="2676"/>
      <c r="AA33" s="2676"/>
      <c r="AB33" s="2676"/>
      <c r="AC33" s="2676"/>
      <c r="AD33" s="2676"/>
      <c r="AE33" s="2676"/>
      <c r="AF33" s="2676"/>
      <c r="AG33" s="2676"/>
      <c r="AH33" s="2676"/>
      <c r="AI33" s="2676"/>
      <c r="AJ33" s="2676"/>
      <c r="AK33" s="2676"/>
      <c r="AL33" s="2676"/>
      <c r="AM33" s="2676"/>
      <c r="AN33" s="2676"/>
      <c r="AO33" s="2676"/>
      <c r="AP33" s="2676"/>
      <c r="AQ33" s="2676"/>
    </row>
    <row r="34" spans="2:43" ht="15.75" thickBot="1">
      <c r="B34" s="3104"/>
      <c r="C34" s="3105"/>
      <c r="D34" s="3105"/>
      <c r="E34" s="3106"/>
      <c r="F34" s="3106"/>
      <c r="G34" s="3106"/>
      <c r="H34" s="3106"/>
      <c r="I34" s="3107"/>
      <c r="M34" s="2676"/>
      <c r="N34" s="2676"/>
      <c r="O34" s="2676"/>
      <c r="P34" s="2676"/>
      <c r="Q34" s="2676"/>
      <c r="R34" s="2676"/>
      <c r="S34" s="2676"/>
      <c r="T34" s="2676"/>
      <c r="U34" s="2676"/>
      <c r="V34" s="2676"/>
      <c r="W34" s="2676"/>
      <c r="X34" s="2676"/>
      <c r="Y34" s="2676"/>
      <c r="Z34" s="2676"/>
      <c r="AA34" s="2676"/>
      <c r="AB34" s="2676"/>
      <c r="AC34" s="2676"/>
      <c r="AD34" s="2676"/>
      <c r="AE34" s="2676"/>
      <c r="AF34" s="2676"/>
      <c r="AG34" s="2676"/>
      <c r="AH34" s="2676"/>
      <c r="AI34" s="2676"/>
      <c r="AJ34" s="2676"/>
      <c r="AK34" s="2676"/>
      <c r="AL34" s="2676"/>
      <c r="AM34" s="2676"/>
      <c r="AN34" s="2676"/>
      <c r="AO34" s="2676"/>
      <c r="AP34" s="2676"/>
      <c r="AQ34" s="2676"/>
    </row>
    <row r="35" spans="2:43" ht="15.75" thickBot="1">
      <c r="B35" s="3108" t="s">
        <v>322</v>
      </c>
      <c r="C35" s="3109" t="s">
        <v>768</v>
      </c>
      <c r="D35" s="3110">
        <f>dms_FRCP_y2</f>
        <v>2019</v>
      </c>
      <c r="E35" s="3111">
        <f>dms_FRCP_y3</f>
        <v>2020</v>
      </c>
      <c r="F35" s="3111">
        <f>dms_FRCP_y4</f>
        <v>2021</v>
      </c>
      <c r="G35" s="3111">
        <f>dms_FRCP_y5</f>
        <v>2022</v>
      </c>
      <c r="H35" s="3111">
        <f>dms_FRCP_y6</f>
        <v>2023</v>
      </c>
      <c r="I35" s="3112">
        <f>dms_FRCP_y7</f>
        <v>2024</v>
      </c>
      <c r="J35" s="3113">
        <f>dms_FRCP_y8</f>
        <v>2025</v>
      </c>
      <c r="K35" s="3113">
        <f>dms_FRCP_y9</f>
        <v>2026</v>
      </c>
      <c r="L35" s="3113">
        <f>dms_FRCP_y10</f>
        <v>2027</v>
      </c>
      <c r="M35" s="2676"/>
      <c r="N35" s="2676"/>
      <c r="O35" s="2676"/>
      <c r="P35" s="2676"/>
      <c r="Q35" s="2676"/>
      <c r="R35" s="2676"/>
      <c r="S35" s="2676"/>
      <c r="T35" s="2676"/>
      <c r="U35" s="2676"/>
      <c r="V35" s="2676"/>
      <c r="W35" s="2676"/>
      <c r="X35" s="2676"/>
      <c r="Y35" s="2676"/>
      <c r="Z35" s="2676"/>
      <c r="AA35" s="2676"/>
      <c r="AB35" s="2676"/>
      <c r="AC35" s="2676"/>
      <c r="AD35" s="2676"/>
      <c r="AE35" s="2676"/>
      <c r="AF35" s="2676"/>
      <c r="AG35" s="2676"/>
      <c r="AH35" s="2676"/>
      <c r="AI35" s="2676"/>
      <c r="AJ35" s="2676"/>
      <c r="AK35" s="2676"/>
      <c r="AL35" s="2676"/>
      <c r="AM35" s="2676"/>
      <c r="AN35" s="2676"/>
      <c r="AO35" s="2676"/>
      <c r="AP35" s="2676"/>
      <c r="AQ35" s="2676"/>
    </row>
    <row r="36" spans="2:43" ht="15.75" thickBot="1">
      <c r="B36" s="3114"/>
      <c r="C36" s="3115"/>
      <c r="D36" s="3115"/>
      <c r="E36" s="3115"/>
      <c r="F36" s="3116"/>
      <c r="G36" s="3116"/>
      <c r="H36" s="3116"/>
      <c r="I36" s="3117"/>
      <c r="M36" s="2676"/>
      <c r="N36" s="2676"/>
      <c r="O36" s="2676"/>
      <c r="P36" s="2676"/>
      <c r="Q36" s="2676"/>
      <c r="R36" s="2676"/>
      <c r="S36" s="2676"/>
      <c r="T36" s="2676"/>
      <c r="U36" s="2676"/>
      <c r="V36" s="2676"/>
      <c r="W36" s="2676"/>
      <c r="X36" s="2676"/>
      <c r="Y36" s="2676"/>
      <c r="Z36" s="2676"/>
      <c r="AA36" s="2676"/>
      <c r="AB36" s="2676"/>
      <c r="AC36" s="2676"/>
      <c r="AD36" s="2676"/>
      <c r="AE36" s="2676"/>
      <c r="AF36" s="2676"/>
      <c r="AG36" s="2676"/>
      <c r="AH36" s="2676"/>
      <c r="AI36" s="2676"/>
      <c r="AJ36" s="2676"/>
      <c r="AK36" s="2676"/>
      <c r="AL36" s="2676"/>
      <c r="AM36" s="2676"/>
      <c r="AN36" s="2676"/>
      <c r="AO36" s="2676"/>
      <c r="AP36" s="2676"/>
      <c r="AQ36" s="2676"/>
    </row>
    <row r="37" spans="2:43">
      <c r="B37" s="3118"/>
      <c r="C37" s="3119"/>
      <c r="D37" s="3119"/>
      <c r="E37" s="3119"/>
      <c r="F37" s="3120"/>
      <c r="G37" s="3120"/>
      <c r="H37" s="3120"/>
      <c r="I37" s="3121"/>
      <c r="M37" s="2676"/>
      <c r="N37" s="2676"/>
      <c r="O37" s="2676"/>
      <c r="P37" s="2676"/>
      <c r="Q37" s="2676"/>
      <c r="R37" s="2676"/>
      <c r="S37" s="2676"/>
      <c r="T37" s="2676"/>
      <c r="U37" s="2676"/>
      <c r="V37" s="2676"/>
      <c r="W37" s="2676"/>
      <c r="X37" s="2676"/>
      <c r="Y37" s="2676"/>
      <c r="Z37" s="2676"/>
      <c r="AA37" s="2676"/>
      <c r="AB37" s="2676"/>
      <c r="AC37" s="2676"/>
      <c r="AD37" s="2676"/>
      <c r="AE37" s="2676"/>
      <c r="AF37" s="2676"/>
      <c r="AG37" s="2676"/>
      <c r="AH37" s="2676"/>
      <c r="AI37" s="2676"/>
      <c r="AJ37" s="2676"/>
      <c r="AK37" s="2676"/>
      <c r="AL37" s="2676"/>
      <c r="AM37" s="2676"/>
      <c r="AN37" s="2676"/>
      <c r="AO37" s="2676"/>
      <c r="AP37" s="2676"/>
      <c r="AQ37" s="2676"/>
    </row>
    <row r="38" spans="2:43">
      <c r="B38" s="3108" t="s">
        <v>326</v>
      </c>
      <c r="C38" s="3111">
        <f>dms_CRCP_FirstYear_Result</f>
        <v>2013</v>
      </c>
      <c r="D38" s="3122">
        <f>IF(dms_RPT="financial",VALUE(LEFT(CRCP_y1,4)+1)&amp;"-"&amp;TEXT(MID(CRCP_y1,3,2)+2,"00"),VALUE(LEFT(CRCP_y1,4)+1))</f>
        <v>2014</v>
      </c>
      <c r="E38" s="3122">
        <f>IF(dms_RPT="financial",VALUE(LEFT(CRCP_y2,4)+1)&amp;"-"&amp;TEXT(VALUE(MID(CRCP_y2,3,2)+2),"00"),VALUE(LEFT(CRCP_y2,4)+1))</f>
        <v>2015</v>
      </c>
      <c r="F38" s="3122">
        <f>IF(dms_RPT="financial",VALUE(LEFT(CRCP_y3,4)+1)&amp;"-"&amp;TEXT(VALUE(MID(CRCP_y3,3,2)+2),"00"),VALUE(LEFT(CRCP_y3,4)+1))</f>
        <v>2016</v>
      </c>
      <c r="G38" s="3122">
        <f>IF(dms_RPT="financial",VALUE(LEFT(CRCP_y4,4)+1)&amp;"-"&amp;TEXT(VALUE(MID(CRCP_y4,3,2)+2),"00"),VALUE(LEFT(CRCP_y4,4)+1))</f>
        <v>2017</v>
      </c>
      <c r="H38" s="3122">
        <f>IF(dms_RPT="financial",VALUE(LEFT(CRCP_y5,4)+1)&amp;"-"&amp;TEXT(VALUE(MID(CRCP_y5,3,2)+2),"00"),VALUE(LEFT(CRCP_y5,4)+1))</f>
        <v>2018</v>
      </c>
      <c r="I38" s="3123">
        <f>IF(dms_RPT="financial",VALUE(LEFT(CRCP_y6,4)+1)&amp;"-"&amp;TEXT(VALUE(MID(CRCP_y6,3,2)+2),"00"),VALUE(LEFT(CRCP_y6,4)+1))</f>
        <v>2019</v>
      </c>
      <c r="J38" s="3113">
        <f>IF(dms_RPT="financial",VALUE(LEFT(CRCP_y7,4)+1)&amp;"-"&amp;TEXT(VALUE(MID(CRCP_y7,3,2)+2),"00"),VALUE(LEFT(CRCP_y7,4)+1))</f>
        <v>2020</v>
      </c>
      <c r="K38" s="3113">
        <f>IF(dms_RPT="financial",VALUE(LEFT(CRCP_y8,4)+1)&amp;"-"&amp;TEXT(VALUE(MID(CRCP_y8,3,2)+2),"00"),VALUE(LEFT(CRCP_y8,4)+1))</f>
        <v>2021</v>
      </c>
      <c r="L38" s="3113">
        <f>IF(dms_RPT="financial",VALUE(LEFT(CRCP_y9,4)+1)&amp;"-"&amp;TEXT(VALUE(MID(CRCP_y9,3,2)+2),"00"),VALUE(LEFT(CRCP_y9,4)+1))</f>
        <v>2022</v>
      </c>
      <c r="M38" s="2676"/>
      <c r="N38" s="2676"/>
      <c r="O38" s="2676"/>
      <c r="P38" s="2676"/>
      <c r="Q38" s="2676"/>
      <c r="R38" s="2676"/>
      <c r="S38" s="2676"/>
      <c r="T38" s="2676"/>
      <c r="U38" s="2676"/>
      <c r="V38" s="2676"/>
      <c r="W38" s="2676"/>
      <c r="X38" s="2676"/>
      <c r="Y38" s="2676"/>
      <c r="Z38" s="2676"/>
      <c r="AA38" s="2676"/>
      <c r="AB38" s="2676"/>
      <c r="AC38" s="2676"/>
      <c r="AD38" s="2676"/>
      <c r="AE38" s="2676"/>
      <c r="AF38" s="2676"/>
      <c r="AG38" s="2676"/>
      <c r="AH38" s="2676"/>
      <c r="AI38" s="2676"/>
      <c r="AJ38" s="2676"/>
      <c r="AK38" s="2676"/>
      <c r="AL38" s="2676"/>
      <c r="AM38" s="2676"/>
      <c r="AN38" s="2676"/>
      <c r="AO38" s="2676"/>
      <c r="AP38" s="2676"/>
      <c r="AQ38" s="2676"/>
    </row>
    <row r="39" spans="2:43" ht="15.75" thickBot="1">
      <c r="B39" s="3114"/>
      <c r="C39" s="3115"/>
      <c r="D39" s="3115"/>
      <c r="E39" s="3115"/>
      <c r="F39" s="3116"/>
      <c r="G39" s="3116"/>
      <c r="H39" s="3116"/>
      <c r="I39" s="3117"/>
      <c r="M39" s="2676"/>
      <c r="N39" s="2676"/>
      <c r="O39" s="2676"/>
      <c r="P39" s="2676"/>
      <c r="Q39" s="2676"/>
      <c r="R39" s="2676"/>
      <c r="S39" s="2676"/>
      <c r="T39" s="2676"/>
      <c r="U39" s="2676"/>
      <c r="V39" s="2676"/>
      <c r="W39" s="2676"/>
      <c r="X39" s="2676"/>
      <c r="Y39" s="2676"/>
      <c r="Z39" s="2676"/>
      <c r="AA39" s="2676"/>
      <c r="AB39" s="2676"/>
      <c r="AC39" s="2676"/>
      <c r="AD39" s="2676"/>
      <c r="AE39" s="2676"/>
      <c r="AF39" s="2676"/>
      <c r="AG39" s="2676"/>
      <c r="AH39" s="2676"/>
      <c r="AI39" s="2676"/>
      <c r="AJ39" s="2676"/>
      <c r="AK39" s="2676"/>
      <c r="AL39" s="2676"/>
      <c r="AM39" s="2676"/>
      <c r="AN39" s="2676"/>
      <c r="AO39" s="2676"/>
      <c r="AP39" s="2676"/>
      <c r="AQ39" s="2676"/>
    </row>
    <row r="40" spans="2:43">
      <c r="B40" s="3118"/>
      <c r="C40" s="3119"/>
      <c r="D40" s="3119"/>
      <c r="E40" s="3119"/>
      <c r="F40" s="3120"/>
      <c r="G40" s="3120"/>
      <c r="H40" s="3120"/>
      <c r="I40" s="3121"/>
      <c r="M40" s="2676"/>
      <c r="N40" s="2676"/>
      <c r="O40" s="2676"/>
      <c r="P40" s="2676"/>
      <c r="Q40" s="2676"/>
      <c r="R40" s="2676"/>
      <c r="S40" s="2676"/>
      <c r="T40" s="2676"/>
      <c r="U40" s="2676"/>
      <c r="V40" s="2676"/>
      <c r="W40" s="2676"/>
      <c r="X40" s="2676"/>
      <c r="Y40" s="2676"/>
      <c r="Z40" s="2676"/>
      <c r="AA40" s="2676"/>
      <c r="AB40" s="2676"/>
      <c r="AC40" s="2676"/>
      <c r="AD40" s="2676"/>
      <c r="AE40" s="2676"/>
      <c r="AF40" s="2676"/>
      <c r="AG40" s="2676"/>
      <c r="AH40" s="2676"/>
      <c r="AI40" s="2676"/>
      <c r="AJ40" s="2676"/>
      <c r="AK40" s="2676"/>
      <c r="AL40" s="2676"/>
      <c r="AM40" s="2676"/>
      <c r="AN40" s="2676"/>
      <c r="AO40" s="2676"/>
      <c r="AP40" s="2676"/>
      <c r="AQ40" s="2676"/>
    </row>
    <row r="41" spans="2:43">
      <c r="B41" s="3108" t="s">
        <v>329</v>
      </c>
      <c r="C41" s="3111">
        <f>IF(dms_RPT="financial",VALUE(LEFT(PRCP_y2,4)-1)&amp;"-"&amp;TEXT(VALUE(MID(PRCP_y2,3,2)),"00"),VALUE(LEFT(PRCP_y2,4)-1))</f>
        <v>2008</v>
      </c>
      <c r="D41" s="3111">
        <f>IF(dms_RPT="financial",VALUE(LEFT(PRCP_y3,4)-1)&amp;"-"&amp;TEXT(VALUE(MID(PRCP_y3,3,2)),"00"),VALUE(LEFT(PRCP_y3,4)-1))</f>
        <v>2009</v>
      </c>
      <c r="E41" s="3111">
        <f>IF(dms_RPT="financial",VALUE(LEFT(PRCP_y4,4)-1)&amp;"-"&amp;TEXT(VALUE(MID(PRCP_y4,3,2)),"00"),VALUE(LEFT(PRCP_y4,4)-1))</f>
        <v>2010</v>
      </c>
      <c r="F41" s="3111">
        <f>IF(dms_RPT="financial",VALUE(LEFT(PRCP_y5,4)-1)&amp;"-"&amp;TEXT(VALUE(RIGHT(PRCP_y5,2)-1),"00"),VALUE(LEFT(PRCP_y5,4)-1))</f>
        <v>2011</v>
      </c>
      <c r="G41" s="3122">
        <f>IF(dms_RPT="financial",VALUE(LEFT(CRCP_y1,4)-1)&amp;"-"&amp;TEXT(VALUE(RIGHT(CRCP_y1,2)-1),"00"),VALUE(LEFT(CRCP_y1,4)-1))</f>
        <v>2012</v>
      </c>
      <c r="H41" s="3122"/>
      <c r="I41" s="3124"/>
      <c r="M41" s="2676"/>
      <c r="N41" s="2676"/>
      <c r="O41" s="2676"/>
      <c r="P41" s="2676"/>
      <c r="Q41" s="2676"/>
      <c r="R41" s="2676"/>
      <c r="S41" s="2676"/>
      <c r="T41" s="2676"/>
      <c r="U41" s="2676"/>
      <c r="V41" s="2676"/>
      <c r="W41" s="2676"/>
      <c r="X41" s="2676"/>
      <c r="Y41" s="2676"/>
      <c r="Z41" s="2676"/>
      <c r="AA41" s="2676"/>
      <c r="AB41" s="2676"/>
      <c r="AC41" s="2676"/>
      <c r="AD41" s="2676"/>
      <c r="AE41" s="2676"/>
      <c r="AF41" s="2676"/>
      <c r="AG41" s="2676"/>
      <c r="AH41" s="2676"/>
      <c r="AI41" s="2676"/>
      <c r="AJ41" s="2676"/>
      <c r="AK41" s="2676"/>
      <c r="AL41" s="2676"/>
      <c r="AM41" s="2676"/>
      <c r="AN41" s="2676"/>
      <c r="AO41" s="2676"/>
      <c r="AP41" s="2676"/>
      <c r="AQ41" s="2676"/>
    </row>
    <row r="42" spans="2:43" ht="15.75" thickBot="1">
      <c r="B42" s="3125"/>
      <c r="C42" s="3126"/>
      <c r="D42" s="3126"/>
      <c r="E42" s="3116"/>
      <c r="F42" s="3127"/>
      <c r="G42" s="3127"/>
      <c r="H42" s="3127"/>
      <c r="I42" s="3128"/>
      <c r="M42" s="2676"/>
      <c r="N42" s="2676"/>
      <c r="O42" s="2676"/>
      <c r="P42" s="2676"/>
      <c r="Q42" s="2676"/>
      <c r="R42" s="2676"/>
      <c r="S42" s="2676"/>
      <c r="T42" s="2676"/>
      <c r="U42" s="2676"/>
      <c r="V42" s="2676"/>
      <c r="W42" s="2676"/>
      <c r="X42" s="2676"/>
      <c r="Y42" s="2676"/>
      <c r="Z42" s="2676"/>
      <c r="AA42" s="2676"/>
      <c r="AB42" s="2676"/>
      <c r="AC42" s="2676"/>
      <c r="AD42" s="2676"/>
      <c r="AE42" s="2676"/>
      <c r="AF42" s="2676"/>
      <c r="AG42" s="2676"/>
      <c r="AH42" s="2676"/>
      <c r="AI42" s="2676"/>
      <c r="AJ42" s="2676"/>
      <c r="AK42" s="2676"/>
      <c r="AL42" s="2676"/>
      <c r="AM42" s="2676"/>
      <c r="AN42" s="2676"/>
      <c r="AO42" s="2676"/>
      <c r="AP42" s="2676"/>
      <c r="AQ42" s="2676"/>
    </row>
    <row r="43" spans="2:43" ht="15" hidden="1" customHeight="1" thickBot="1">
      <c r="B43" s="3129"/>
      <c r="C43" s="3130"/>
      <c r="D43" s="3130"/>
      <c r="E43" s="3130"/>
      <c r="F43" s="3131"/>
      <c r="G43" s="3131"/>
      <c r="H43" s="3131"/>
      <c r="I43" s="3132"/>
      <c r="M43" s="2676"/>
      <c r="N43" s="2676"/>
      <c r="O43" s="2676"/>
      <c r="P43" s="2676"/>
      <c r="Q43" s="2676"/>
      <c r="R43" s="2676"/>
      <c r="S43" s="2676"/>
      <c r="T43" s="2676"/>
      <c r="U43" s="2676"/>
      <c r="V43" s="2676"/>
      <c r="W43" s="2676"/>
      <c r="X43" s="2676"/>
      <c r="Y43" s="2676"/>
      <c r="Z43" s="2676"/>
      <c r="AA43" s="2676"/>
      <c r="AB43" s="2676"/>
      <c r="AC43" s="2676"/>
      <c r="AD43" s="2676"/>
      <c r="AE43" s="2676"/>
      <c r="AF43" s="2676"/>
      <c r="AG43" s="2676"/>
      <c r="AH43" s="2676"/>
      <c r="AI43" s="2676"/>
      <c r="AJ43" s="2676"/>
      <c r="AK43" s="2676"/>
      <c r="AL43" s="2676"/>
      <c r="AM43" s="2676"/>
      <c r="AN43" s="2676"/>
      <c r="AO43" s="2676"/>
      <c r="AP43" s="2676"/>
      <c r="AQ43" s="2676"/>
    </row>
    <row r="44" spans="2:43" ht="15" hidden="1" customHeight="1" thickBot="1">
      <c r="B44" s="3133" t="s">
        <v>1277</v>
      </c>
      <c r="C44" s="3134" t="s">
        <v>109</v>
      </c>
      <c r="D44" s="3135" t="s">
        <v>1278</v>
      </c>
      <c r="E44" s="3136"/>
      <c r="F44" s="3137"/>
      <c r="G44" s="3137"/>
      <c r="H44" s="3137"/>
      <c r="I44" s="3138"/>
      <c r="M44" s="2676"/>
      <c r="N44" s="2676"/>
      <c r="O44" s="2676"/>
      <c r="P44" s="2676"/>
      <c r="Q44" s="2676"/>
      <c r="R44" s="2676"/>
      <c r="S44" s="2676"/>
      <c r="T44" s="2676"/>
      <c r="U44" s="2676"/>
      <c r="V44" s="2676"/>
      <c r="W44" s="2676"/>
      <c r="X44" s="2676"/>
      <c r="Y44" s="2676"/>
      <c r="Z44" s="2676"/>
      <c r="AA44" s="2676"/>
      <c r="AB44" s="2676"/>
      <c r="AC44" s="2676"/>
      <c r="AD44" s="2676"/>
      <c r="AE44" s="2676"/>
      <c r="AF44" s="2676"/>
      <c r="AG44" s="2676"/>
      <c r="AH44" s="2676"/>
      <c r="AI44" s="2676"/>
      <c r="AJ44" s="2676"/>
      <c r="AK44" s="2676"/>
      <c r="AL44" s="2676"/>
      <c r="AM44" s="2676"/>
      <c r="AN44" s="2676"/>
      <c r="AO44" s="2676"/>
      <c r="AP44" s="2676"/>
      <c r="AQ44" s="2676"/>
    </row>
    <row r="45" spans="2:43" ht="14.25" hidden="1" customHeight="1">
      <c r="B45" s="3139"/>
      <c r="C45" s="3140"/>
      <c r="D45" s="3140"/>
      <c r="E45" s="3140"/>
      <c r="F45" s="3140"/>
      <c r="G45" s="3140"/>
      <c r="H45" s="3140"/>
      <c r="I45" s="3138"/>
      <c r="M45" s="2676"/>
      <c r="N45" s="2676"/>
      <c r="O45" s="2676"/>
      <c r="P45" s="2676"/>
      <c r="Q45" s="2676"/>
      <c r="R45" s="2676"/>
      <c r="S45" s="2676"/>
      <c r="T45" s="2676"/>
      <c r="U45" s="2676"/>
      <c r="V45" s="2676"/>
      <c r="W45" s="2676"/>
      <c r="X45" s="2676"/>
      <c r="Y45" s="2676"/>
      <c r="Z45" s="2676"/>
      <c r="AA45" s="2676"/>
      <c r="AB45" s="2676"/>
      <c r="AC45" s="2676"/>
      <c r="AD45" s="2676"/>
      <c r="AE45" s="2676"/>
      <c r="AF45" s="2676"/>
      <c r="AG45" s="2676"/>
      <c r="AH45" s="2676"/>
      <c r="AI45" s="2676"/>
      <c r="AJ45" s="2676"/>
      <c r="AK45" s="2676"/>
      <c r="AL45" s="2676"/>
      <c r="AM45" s="2676"/>
      <c r="AN45" s="2676"/>
      <c r="AO45" s="2676"/>
      <c r="AP45" s="2676"/>
      <c r="AQ45" s="2676"/>
    </row>
    <row r="46" spans="2:43" ht="15" hidden="1" customHeight="1" thickBot="1">
      <c r="B46" s="3141"/>
      <c r="C46" s="3142"/>
      <c r="D46" s="3142"/>
      <c r="E46" s="3142"/>
      <c r="F46" s="3143"/>
      <c r="G46" s="3143"/>
      <c r="H46" s="3143"/>
      <c r="I46" s="3144"/>
    </row>
    <row r="47" spans="2:43" ht="15.75" hidden="1">
      <c r="B47" s="3052"/>
      <c r="C47" s="3146" t="s">
        <v>1031</v>
      </c>
      <c r="E47" s="3147"/>
      <c r="F47" s="3052"/>
      <c r="G47" s="3052"/>
      <c r="H47" s="3052"/>
      <c r="I47" s="3052"/>
    </row>
    <row r="48" spans="2:43" ht="15.75" hidden="1">
      <c r="B48" s="3052"/>
      <c r="C48" s="3146" t="s">
        <v>1279</v>
      </c>
      <c r="E48" s="3147"/>
      <c r="F48" s="3052"/>
      <c r="G48" s="3052"/>
      <c r="H48" s="3052"/>
      <c r="I48" s="3052"/>
    </row>
    <row r="49" spans="1:11" ht="15.75" thickBot="1">
      <c r="E49" s="3148"/>
    </row>
    <row r="50" spans="1:11" ht="15.75" thickBot="1">
      <c r="B50" s="3149" t="s">
        <v>339</v>
      </c>
      <c r="C50" s="3490" t="s">
        <v>340</v>
      </c>
      <c r="D50" s="3491"/>
      <c r="E50" s="3150" t="s">
        <v>1280</v>
      </c>
      <c r="F50" s="3151"/>
      <c r="G50" s="3151"/>
      <c r="H50" s="3151"/>
      <c r="I50" s="3152"/>
    </row>
    <row r="51" spans="1:11" ht="15.75" thickBot="1">
      <c r="B51" s="3153" t="s">
        <v>583</v>
      </c>
      <c r="C51" s="3154" t="s">
        <v>345</v>
      </c>
      <c r="D51" s="3155"/>
      <c r="E51" s="3155"/>
      <c r="F51" s="3155"/>
      <c r="G51" s="3155"/>
      <c r="H51" s="3155"/>
      <c r="I51" s="3156"/>
    </row>
    <row r="52" spans="1:11" ht="39" customHeight="1" thickBot="1">
      <c r="B52" s="3157" t="s">
        <v>347</v>
      </c>
      <c r="C52" s="3492"/>
      <c r="D52" s="3493"/>
      <c r="E52" s="3493"/>
      <c r="F52" s="3493"/>
      <c r="G52" s="3493"/>
      <c r="H52" s="3493"/>
      <c r="I52" s="3494"/>
    </row>
    <row r="53" spans="1:11" ht="15" customHeight="1">
      <c r="B53" s="3158" t="s">
        <v>1281</v>
      </c>
      <c r="C53" s="3159" t="s">
        <v>1282</v>
      </c>
      <c r="D53" s="3160" t="s">
        <v>1283</v>
      </c>
      <c r="E53" s="3150" t="s">
        <v>1284</v>
      </c>
      <c r="F53" s="3161"/>
      <c r="G53" s="3161"/>
      <c r="H53" s="3161"/>
      <c r="I53" s="3162"/>
      <c r="K53" s="2676"/>
    </row>
    <row r="54" spans="1:11" ht="15.75" thickBot="1">
      <c r="B54" s="3163" t="s">
        <v>1285</v>
      </c>
      <c r="C54" s="3164" t="s">
        <v>1286</v>
      </c>
      <c r="D54" s="3165"/>
      <c r="E54" s="3165"/>
      <c r="F54" s="3165"/>
      <c r="G54" s="3165"/>
      <c r="H54" s="3165"/>
      <c r="I54" s="3166"/>
    </row>
    <row r="55" spans="1:11" s="3174" customFormat="1" hidden="1">
      <c r="A55" s="2676"/>
      <c r="B55" s="3167" t="s">
        <v>333</v>
      </c>
      <c r="C55" s="3168" t="str">
        <f>INDEX(dms_Sector_List,MATCH(dms_TradingName,dms_TradingName_List))</f>
        <v>Gas</v>
      </c>
      <c r="D55" s="3169" t="s">
        <v>1287</v>
      </c>
      <c r="E55" s="3170" t="s">
        <v>1288</v>
      </c>
      <c r="F55" s="3171"/>
      <c r="G55" s="3171"/>
      <c r="H55" s="3171"/>
      <c r="I55" s="3172"/>
      <c r="J55" s="3173"/>
    </row>
    <row r="56" spans="1:11" hidden="1">
      <c r="B56" s="3175" t="s">
        <v>336</v>
      </c>
      <c r="C56" s="3176" t="str">
        <f>INDEX(dms_Segment_List,MATCH(dms_TradingName,dms_TradingName_List))</f>
        <v>Distribution</v>
      </c>
      <c r="D56" s="3177" t="s">
        <v>1289</v>
      </c>
      <c r="E56" s="3178" t="s">
        <v>1290</v>
      </c>
      <c r="F56" s="3179"/>
      <c r="G56" s="3179"/>
      <c r="H56" s="3179"/>
      <c r="I56" s="3180"/>
    </row>
    <row r="57" spans="1:11" hidden="1">
      <c r="B57" s="3175" t="s">
        <v>341</v>
      </c>
      <c r="C57" s="3181" t="str">
        <f ca="1">IF(dms_MultiYear_Flag=1,LEFT(dms_Specified_FinalYear,2)&amp;RIGHT(dms_Specified_FinalYear,2),INDEX(dms_RYE_Formula_Result,MATCH(dms_Model,dms_Model_List)))</f>
        <v>2022</v>
      </c>
      <c r="D57" s="3177" t="s">
        <v>1291</v>
      </c>
      <c r="E57" s="3178" t="s">
        <v>1292</v>
      </c>
      <c r="F57" s="3179"/>
      <c r="G57" s="3179"/>
      <c r="H57" s="3179"/>
      <c r="I57" s="3180"/>
    </row>
    <row r="58" spans="1:11" hidden="1">
      <c r="B58" s="3175" t="s">
        <v>342</v>
      </c>
      <c r="C58" s="3176" t="str">
        <f>INDEX(dms_RPT_List,MATCH(dms_TradingName,dms_TradingName_List))</f>
        <v>Calendar</v>
      </c>
      <c r="D58" s="3177" t="s">
        <v>1293</v>
      </c>
      <c r="E58" s="3178" t="s">
        <v>1294</v>
      </c>
      <c r="F58" s="3179"/>
      <c r="G58" s="3179"/>
      <c r="H58" s="3179"/>
      <c r="I58" s="3180"/>
    </row>
    <row r="59" spans="1:11" hidden="1">
      <c r="B59" s="3175" t="s">
        <v>343</v>
      </c>
      <c r="C59" s="3182" t="s">
        <v>311</v>
      </c>
      <c r="D59" s="3183" t="s">
        <v>1295</v>
      </c>
      <c r="E59" s="3184" t="s">
        <v>1296</v>
      </c>
      <c r="F59" s="3179"/>
      <c r="G59" s="3179"/>
      <c r="H59" s="3179"/>
      <c r="I59" s="3180"/>
    </row>
    <row r="60" spans="1:11" hidden="1">
      <c r="B60" s="3175" t="s">
        <v>344</v>
      </c>
      <c r="C60" s="3176" t="s">
        <v>1207</v>
      </c>
      <c r="D60" s="3183" t="s">
        <v>1297</v>
      </c>
      <c r="E60" s="3184" t="s">
        <v>1298</v>
      </c>
      <c r="F60" s="3179"/>
      <c r="G60" s="3179"/>
      <c r="H60" s="3179"/>
      <c r="I60" s="3180"/>
    </row>
    <row r="61" spans="1:11" hidden="1">
      <c r="B61" s="3185" t="s">
        <v>348</v>
      </c>
      <c r="C61" s="3186">
        <v>5</v>
      </c>
      <c r="D61" s="3187" t="s">
        <v>1299</v>
      </c>
      <c r="E61" s="3188"/>
      <c r="F61" s="3189"/>
      <c r="G61" s="3189"/>
      <c r="H61" s="3189"/>
      <c r="I61" s="3190"/>
    </row>
    <row r="62" spans="1:11" hidden="1">
      <c r="B62" s="3175" t="s">
        <v>1300</v>
      </c>
      <c r="C62" s="3176" t="str">
        <f>INDEX(dms_RPTMonth_List,MATCH(dms_TradingName,dms_TradingName_List))</f>
        <v>December</v>
      </c>
      <c r="D62" s="3183" t="s">
        <v>1301</v>
      </c>
      <c r="E62" s="3178" t="s">
        <v>1302</v>
      </c>
      <c r="F62" s="3179"/>
      <c r="G62" s="3179"/>
      <c r="H62" s="3179"/>
      <c r="I62" s="3180"/>
      <c r="K62" s="2676"/>
    </row>
    <row r="63" spans="1:11" ht="14.25" hidden="1" customHeight="1">
      <c r="B63" s="3175" t="s">
        <v>1303</v>
      </c>
      <c r="C63" s="3191" t="str">
        <f>CONCATENATE(dms_RPTMonth)&amp;" "&amp;VALUE((LEFT(dms_CRCP_FinalYear_Result,2)&amp;RIGHT(dms_CRCP_FinalYear_Result,2)))</f>
        <v>December 2017</v>
      </c>
      <c r="D63" s="3177" t="s">
        <v>1304</v>
      </c>
      <c r="E63" s="3178" t="s">
        <v>1305</v>
      </c>
      <c r="F63" s="3179"/>
      <c r="G63" s="3179"/>
      <c r="H63" s="3179"/>
      <c r="I63" s="3180"/>
      <c r="K63" s="2676"/>
    </row>
    <row r="64" spans="1:11" ht="15" hidden="1" customHeight="1">
      <c r="B64" s="3175" t="s">
        <v>422</v>
      </c>
      <c r="C64" s="3176" t="str">
        <f>INDEX(dms_FormControl_List,MATCH(dms_TradingName,dms_TradingName_List))</f>
        <v>Weighted average price cap</v>
      </c>
      <c r="D64" s="3177" t="s">
        <v>689</v>
      </c>
      <c r="E64" s="3178" t="s">
        <v>1306</v>
      </c>
      <c r="F64" s="3179"/>
      <c r="G64" s="3179"/>
      <c r="H64" s="3179"/>
      <c r="I64" s="3180"/>
      <c r="K64" s="2676"/>
    </row>
    <row r="65" spans="1:19" ht="15" hidden="1" customHeight="1">
      <c r="B65" s="3175" t="s">
        <v>346</v>
      </c>
      <c r="C65" s="3176">
        <v>1</v>
      </c>
      <c r="D65" s="3183" t="s">
        <v>1307</v>
      </c>
      <c r="E65" s="3184"/>
      <c r="F65" s="3179"/>
      <c r="G65" s="3179"/>
      <c r="H65" s="3179"/>
      <c r="I65" s="3180"/>
      <c r="K65" s="2676"/>
    </row>
    <row r="66" spans="1:19" ht="15.75" hidden="1" customHeight="1" thickBot="1">
      <c r="B66" s="3192" t="s">
        <v>1308</v>
      </c>
      <c r="C66" s="3193" t="str">
        <f>INDEX(dms_JurisdictionList,MATCH(dms_TradingName,dms_TradingName_List))</f>
        <v>Vic</v>
      </c>
      <c r="D66" s="3194" t="s">
        <v>1309</v>
      </c>
      <c r="E66" s="3195" t="s">
        <v>1310</v>
      </c>
      <c r="F66" s="3196"/>
      <c r="G66" s="3196"/>
      <c r="H66" s="3196"/>
      <c r="I66" s="3197"/>
    </row>
    <row r="67" spans="1:19" ht="15" hidden="1" customHeight="1">
      <c r="B67" s="3198" t="s">
        <v>1311</v>
      </c>
      <c r="C67" s="3199">
        <v>0</v>
      </c>
      <c r="D67" s="3169" t="s">
        <v>1312</v>
      </c>
      <c r="E67" s="3170" t="s">
        <v>1313</v>
      </c>
      <c r="F67" s="3171"/>
      <c r="G67" s="3171"/>
      <c r="H67" s="3171"/>
      <c r="I67" s="3172"/>
    </row>
    <row r="68" spans="1:19" ht="15" hidden="1" customHeight="1">
      <c r="B68" s="3200"/>
      <c r="C68" s="3201">
        <v>2013</v>
      </c>
      <c r="D68" s="3202" t="s">
        <v>1314</v>
      </c>
      <c r="E68" s="3203" t="s">
        <v>1315</v>
      </c>
      <c r="F68" s="3204"/>
      <c r="G68" s="3204"/>
      <c r="H68" s="3204"/>
      <c r="I68" s="3205"/>
    </row>
    <row r="69" spans="1:19" ht="15" hidden="1" customHeight="1">
      <c r="B69" s="3206" t="s">
        <v>1316</v>
      </c>
      <c r="C69" s="3207">
        <f>IF(dms_Model="EB",1,0)</f>
        <v>0</v>
      </c>
      <c r="D69" s="3208" t="s">
        <v>1317</v>
      </c>
      <c r="E69" s="3209"/>
      <c r="F69" s="3210"/>
      <c r="G69" s="3210"/>
      <c r="H69" s="3210"/>
      <c r="I69" s="3211"/>
    </row>
    <row r="70" spans="1:19" ht="15" hidden="1" customHeight="1">
      <c r="B70" s="3206"/>
      <c r="C70" s="3207">
        <f>IF(dms_Model="CA",1,0)</f>
        <v>0</v>
      </c>
      <c r="D70" s="3177" t="s">
        <v>1318</v>
      </c>
      <c r="E70" s="3178" t="s">
        <v>1319</v>
      </c>
      <c r="F70" s="3179"/>
      <c r="G70" s="3179"/>
      <c r="H70" s="3179"/>
      <c r="I70" s="3180"/>
    </row>
    <row r="71" spans="1:19" hidden="1">
      <c r="B71" s="3212"/>
      <c r="C71" s="3207">
        <f>IF(dms_Model="ARR",1,0)</f>
        <v>0</v>
      </c>
      <c r="D71" s="3177" t="s">
        <v>1320</v>
      </c>
      <c r="E71" s="3178"/>
      <c r="F71" s="3179"/>
      <c r="G71" s="3179"/>
      <c r="H71" s="3179"/>
      <c r="I71" s="3180"/>
    </row>
    <row r="72" spans="1:19" ht="15" hidden="1" customHeight="1">
      <c r="B72" s="3213" t="s">
        <v>1321</v>
      </c>
      <c r="C72" s="3214" t="s">
        <v>1278</v>
      </c>
      <c r="D72" s="3177" t="s">
        <v>1322</v>
      </c>
      <c r="E72" s="3178" t="s">
        <v>1323</v>
      </c>
      <c r="F72" s="3155"/>
      <c r="G72" s="3155"/>
      <c r="H72" s="3155"/>
      <c r="I72" s="3156"/>
    </row>
    <row r="73" spans="1:19" ht="15" hidden="1" customHeight="1">
      <c r="B73" s="3215" t="s">
        <v>1324</v>
      </c>
      <c r="C73" s="3216" t="e">
        <f ca="1">INDIRECT(dms_SingleYear_FinalYear_Ref)</f>
        <v>#REF!</v>
      </c>
      <c r="D73" s="3177" t="s">
        <v>1325</v>
      </c>
      <c r="E73" s="3178" t="s">
        <v>1326</v>
      </c>
      <c r="F73" s="3155"/>
      <c r="G73" s="3155"/>
      <c r="H73" s="3155"/>
      <c r="I73" s="3217" t="s">
        <v>1327</v>
      </c>
      <c r="K73" s="2676"/>
      <c r="L73" s="2676"/>
      <c r="M73" s="2676"/>
    </row>
    <row r="74" spans="1:19" ht="15" hidden="1" customHeight="1">
      <c r="B74" s="3218" t="s">
        <v>1328</v>
      </c>
      <c r="C74" s="3176">
        <f>INDEX(dms_FRCPlength_List,MATCH(dms_TradingName,dms_TradingName_List))</f>
        <v>5</v>
      </c>
      <c r="D74" s="3177" t="s">
        <v>1329</v>
      </c>
      <c r="E74" s="3178" t="s">
        <v>1330</v>
      </c>
      <c r="F74" s="3179"/>
      <c r="G74" s="3179"/>
      <c r="H74" s="3179"/>
      <c r="I74" s="3180"/>
      <c r="K74" s="2676"/>
      <c r="L74" s="2676"/>
      <c r="M74" s="2676"/>
    </row>
    <row r="75" spans="1:19" ht="15" hidden="1" customHeight="1">
      <c r="B75" s="3213" t="s">
        <v>1331</v>
      </c>
      <c r="C75" s="3191" t="str">
        <f>INDEX(dms_FinalYear_List,MATCH(dms_FRCPlength_Num,dms_FRCPlength_Num_List))</f>
        <v>dms_FRCP_y5</v>
      </c>
      <c r="D75" s="3177" t="s">
        <v>1332</v>
      </c>
      <c r="E75" s="3178" t="s">
        <v>1333</v>
      </c>
      <c r="F75" s="3155"/>
      <c r="G75" s="3155"/>
      <c r="H75" s="3155"/>
      <c r="I75" s="3156"/>
      <c r="K75" s="2676"/>
      <c r="L75" s="2676"/>
      <c r="M75" s="2676"/>
    </row>
    <row r="76" spans="1:19" ht="15" hidden="1" customHeight="1">
      <c r="B76" s="3215" t="s">
        <v>1334</v>
      </c>
      <c r="C76" s="3216">
        <f ca="1">IF(dms_MultiYear_Flag=0,INDIRECT(dms_MultiYear_FinalYear_Ref),dms_Specified_FinalYear)</f>
        <v>2022</v>
      </c>
      <c r="D76" s="3177" t="s">
        <v>1335</v>
      </c>
      <c r="E76" s="3178" t="s">
        <v>1336</v>
      </c>
      <c r="F76" s="3155"/>
      <c r="G76" s="3155"/>
      <c r="H76" s="3155"/>
      <c r="I76" s="3217" t="s">
        <v>1327</v>
      </c>
      <c r="K76" s="2676"/>
      <c r="L76" s="2676"/>
      <c r="M76" s="2676"/>
    </row>
    <row r="77" spans="1:19" hidden="1">
      <c r="B77" s="3218" t="s">
        <v>1337</v>
      </c>
      <c r="C77" s="3176">
        <f>INDEX(dms_CRCPlength_List,MATCH(dms_TradingName,dms_TradingName_List))</f>
        <v>5</v>
      </c>
      <c r="D77" s="3219" t="s">
        <v>1338</v>
      </c>
      <c r="E77" s="3220" t="s">
        <v>1339</v>
      </c>
      <c r="F77" s="3179"/>
      <c r="G77" s="3179"/>
      <c r="H77" s="3179"/>
      <c r="I77" s="3180"/>
      <c r="K77" s="2676"/>
      <c r="L77" s="2676"/>
      <c r="M77" s="2676"/>
    </row>
    <row r="78" spans="1:19" s="3223" customFormat="1" hidden="1">
      <c r="A78" s="2676"/>
      <c r="B78" s="3218" t="s">
        <v>1340</v>
      </c>
      <c r="C78" s="3176" t="str">
        <f>INDEX(dms_CFinalYear_List,MATCH(dms_CRCPlength_Num,dms_CRCPlength_Num_List))</f>
        <v>CRCP_y5</v>
      </c>
      <c r="D78" s="3219" t="s">
        <v>1341</v>
      </c>
      <c r="E78" s="3220" t="s">
        <v>1342</v>
      </c>
      <c r="F78" s="3179"/>
      <c r="G78" s="3179"/>
      <c r="H78" s="3179"/>
      <c r="I78" s="3180"/>
      <c r="J78" s="3221"/>
      <c r="K78" s="3221"/>
      <c r="L78" s="3221"/>
      <c r="M78" s="3221"/>
      <c r="N78" s="3221"/>
      <c r="O78" s="3222"/>
      <c r="P78" s="3221"/>
      <c r="Q78" s="3221"/>
      <c r="R78" s="3221"/>
      <c r="S78" s="3221"/>
    </row>
    <row r="79" spans="1:19" s="3223" customFormat="1" hidden="1">
      <c r="A79" s="2676"/>
      <c r="B79" s="3224" t="s">
        <v>1343</v>
      </c>
      <c r="C79" s="3176">
        <f>INDEX(dms_CRCP_years,MATCH(dms_CRCPlength_Num,dms_CRCP_index))</f>
        <v>2013</v>
      </c>
      <c r="D79" s="3225" t="s">
        <v>1344</v>
      </c>
      <c r="E79" s="3220" t="s">
        <v>1345</v>
      </c>
      <c r="F79" s="3226"/>
      <c r="G79" s="3226"/>
      <c r="H79" s="3226"/>
      <c r="I79" s="3162"/>
      <c r="J79" s="3221"/>
      <c r="K79" s="3221"/>
      <c r="L79" s="3221"/>
      <c r="M79" s="3221"/>
      <c r="N79" s="3221"/>
      <c r="O79" s="3222"/>
      <c r="P79" s="3221"/>
      <c r="Q79" s="3221"/>
      <c r="R79" s="3221"/>
      <c r="S79" s="3221"/>
    </row>
    <row r="80" spans="1:19" s="3052" customFormat="1" ht="15.75" hidden="1" thickBot="1">
      <c r="A80" s="2676"/>
      <c r="B80" s="3227" t="s">
        <v>1346</v>
      </c>
      <c r="C80" s="3228">
        <f>IF(dms_MultiYear_Flag=0,(IF(SUM(dms_SingleYear_Model)&gt;0,CRY,dms_CRCP_yZ)),dms_Specified_FinalYear)</f>
        <v>2017</v>
      </c>
      <c r="D80" s="3229" t="s">
        <v>1347</v>
      </c>
      <c r="E80" s="3230" t="s">
        <v>1348</v>
      </c>
      <c r="F80" s="3196"/>
      <c r="G80" s="3196"/>
      <c r="H80" s="3196"/>
      <c r="I80" s="3231"/>
      <c r="O80" s="3145"/>
    </row>
    <row r="81" spans="1:15" hidden="1">
      <c r="B81" s="3232" t="s">
        <v>1349</v>
      </c>
      <c r="C81" s="3233" t="str">
        <f>INDEX(dms_663_List,MATCH(dms_TradingName,dms_TradingName_List))</f>
        <v>X</v>
      </c>
      <c r="D81" s="3208" t="s">
        <v>1350</v>
      </c>
      <c r="E81" s="3234"/>
      <c r="F81" s="3235"/>
      <c r="G81" s="3235"/>
      <c r="H81" s="3235"/>
      <c r="I81" s="3236"/>
    </row>
    <row r="82" spans="1:15" s="3052" customFormat="1" ht="14.25" hidden="1" customHeight="1" thickBot="1">
      <c r="A82" s="2676"/>
      <c r="B82" s="3237" t="s">
        <v>1351</v>
      </c>
      <c r="C82" s="3238">
        <f>INDEX(dms_DeterminationRef_List,MATCH(dms_TradingName,dms_TradingName_List))</f>
        <v>0</v>
      </c>
      <c r="D82" s="3239"/>
      <c r="E82" s="3240"/>
      <c r="F82" s="3241"/>
      <c r="G82" s="3241"/>
      <c r="H82" s="3241"/>
      <c r="I82" s="3242"/>
      <c r="O82" s="3145"/>
    </row>
    <row r="83" spans="1:15" hidden="1">
      <c r="B83" s="3167" t="s">
        <v>1352</v>
      </c>
      <c r="C83" s="3243" t="s">
        <v>1066</v>
      </c>
      <c r="D83" s="3244" t="s">
        <v>1353</v>
      </c>
      <c r="E83" s="3484" t="s">
        <v>1354</v>
      </c>
      <c r="F83" s="3485"/>
      <c r="G83" s="3485"/>
      <c r="H83" s="3485"/>
      <c r="I83" s="3486"/>
    </row>
    <row r="84" spans="1:15" hidden="1">
      <c r="B84" s="3175" t="s">
        <v>1355</v>
      </c>
      <c r="C84" s="3245" t="s">
        <v>1066</v>
      </c>
      <c r="D84" s="3177" t="s">
        <v>1356</v>
      </c>
      <c r="E84" s="3246" t="s">
        <v>1357</v>
      </c>
      <c r="F84" s="3247"/>
      <c r="G84" s="3247"/>
      <c r="H84" s="3247"/>
      <c r="I84" s="3248"/>
    </row>
    <row r="85" spans="1:15" hidden="1">
      <c r="B85" s="3175"/>
      <c r="C85" s="3245"/>
      <c r="D85" s="3177"/>
      <c r="E85" s="3246"/>
      <c r="F85" s="3247"/>
      <c r="G85" s="3247"/>
      <c r="H85" s="3247"/>
      <c r="I85" s="3248"/>
    </row>
    <row r="86" spans="1:15" ht="15.75" hidden="1" thickBot="1">
      <c r="B86" s="3192" t="s">
        <v>1358</v>
      </c>
      <c r="C86" s="3249" t="s">
        <v>837</v>
      </c>
      <c r="D86" s="3194" t="s">
        <v>1359</v>
      </c>
      <c r="E86" s="3250" t="s">
        <v>1360</v>
      </c>
      <c r="F86" s="3251"/>
      <c r="G86" s="3251"/>
      <c r="H86" s="3251"/>
      <c r="I86" s="3252"/>
    </row>
    <row r="87" spans="1:15" hidden="1"/>
    <row r="88" spans="1:15" ht="20.25" hidden="1">
      <c r="B88" s="3253" t="s">
        <v>1361</v>
      </c>
      <c r="C88" s="3254" t="s">
        <v>1362</v>
      </c>
      <c r="D88" s="3255" t="s">
        <v>1363</v>
      </c>
      <c r="E88" s="3256"/>
      <c r="F88" s="3256"/>
      <c r="G88" s="3256"/>
      <c r="H88" s="3256"/>
      <c r="I88" s="3256"/>
    </row>
    <row r="90" spans="1:15">
      <c r="E90" s="2676"/>
      <c r="F90" s="2676"/>
      <c r="G90" s="2676"/>
      <c r="H90" s="2676"/>
    </row>
    <row r="91" spans="1:15">
      <c r="C91" s="2676"/>
      <c r="D91" s="2676"/>
      <c r="E91" s="2676"/>
      <c r="F91" s="2676"/>
      <c r="G91" s="2676"/>
      <c r="H91" s="2676"/>
    </row>
    <row r="92" spans="1:15">
      <c r="C92" s="2676"/>
      <c r="D92" s="2676"/>
      <c r="E92" s="2676"/>
      <c r="F92" s="2676"/>
      <c r="G92" s="2676"/>
      <c r="H92" s="2676"/>
    </row>
    <row r="93" spans="1:15">
      <c r="C93" s="2676"/>
      <c r="D93" s="2676"/>
      <c r="E93" s="2676"/>
      <c r="F93" s="2676"/>
      <c r="G93" s="2676"/>
      <c r="H93" s="2676"/>
    </row>
    <row r="94" spans="1:15">
      <c r="C94" s="2676"/>
      <c r="D94" s="2676"/>
      <c r="E94" s="2676"/>
      <c r="F94" s="2676"/>
      <c r="G94" s="2676"/>
      <c r="H94" s="2676"/>
    </row>
    <row r="95" spans="1:15">
      <c r="C95" s="2676"/>
      <c r="D95" s="2676"/>
      <c r="E95" s="2676"/>
      <c r="F95" s="2676"/>
      <c r="G95" s="2676"/>
      <c r="H95" s="2676"/>
    </row>
    <row r="96" spans="1:15">
      <c r="C96" s="2676"/>
      <c r="D96" s="2676"/>
      <c r="E96" s="2676"/>
      <c r="F96" s="2676"/>
      <c r="G96" s="2676"/>
      <c r="H96" s="2676"/>
    </row>
  </sheetData>
  <sheetProtection algorithmName="SHA-256" hashValue="gRiTw+9qgAQYIxsErrFYgKkw9dyZPX9lBEE++lHw080=" saltValue="iZ4UCDZvP4U7P8RjsHCcXQ==" spinCount="100000" sheet="1" objects="1" scenarios="1" formatColumns="0" formatRows="0" autoFilter="0"/>
  <dataConsolidate/>
  <mergeCells count="18">
    <mergeCell ref="E83:I83"/>
    <mergeCell ref="E19:H19"/>
    <mergeCell ref="C20:D20"/>
    <mergeCell ref="E20:H20"/>
    <mergeCell ref="C23:D23"/>
    <mergeCell ref="E23:H23"/>
    <mergeCell ref="E24:H24"/>
    <mergeCell ref="C25:D25"/>
    <mergeCell ref="E25:H25"/>
    <mergeCell ref="B33:I33"/>
    <mergeCell ref="C50:D50"/>
    <mergeCell ref="C52:I52"/>
    <mergeCell ref="B8:I8"/>
    <mergeCell ref="B12:I12"/>
    <mergeCell ref="C14:E14"/>
    <mergeCell ref="C15:E15"/>
    <mergeCell ref="C18:D18"/>
    <mergeCell ref="E18:H18"/>
  </mergeCells>
  <conditionalFormatting sqref="H35">
    <cfRule type="expression" dxfId="3" priority="4">
      <formula>dms_FRCPlength_Num&lt;6</formula>
    </cfRule>
  </conditionalFormatting>
  <conditionalFormatting sqref="H38">
    <cfRule type="expression" dxfId="2" priority="3">
      <formula>dms_CRCPlength_Num&lt;6</formula>
    </cfRule>
  </conditionalFormatting>
  <conditionalFormatting sqref="C84">
    <cfRule type="expression" dxfId="1" priority="2">
      <formula>SUM(dms_SingleYear_Model)&gt;0</formula>
    </cfRule>
  </conditionalFormatting>
  <conditionalFormatting sqref="C68">
    <cfRule type="expression" dxfId="0" priority="1">
      <formula>dms_MultiYear_Flag=1</formula>
    </cfRule>
  </conditionalFormatting>
  <dataValidations count="15">
    <dataValidation type="list" allowBlank="1" showInputMessage="1" showErrorMessage="1" sqref="C35">
      <formula1>IF(dms_RPT="financial",dms_FRCP_ListF,dms_FRCP_ListC)</formula1>
    </dataValidation>
    <dataValidation type="list" allowBlank="1" showInputMessage="1" showErrorMessage="1" sqref="C59">
      <formula1>dms_Model_List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52:I52">
      <formula1>150</formula1>
    </dataValidation>
    <dataValidation type="list" allowBlank="1" showInputMessage="1" showErrorMessage="1" sqref="C51">
      <formula1>dms_DataQuality_List</formula1>
    </dataValidation>
    <dataValidation type="list" allowBlank="1" showInputMessage="1" showErrorMessage="1" sqref="C58">
      <formula1>"Financial, Calendar, Other"</formula1>
    </dataValidation>
    <dataValidation type="textLength" operator="greaterThan" showInputMessage="1" showErrorMessage="1" sqref="E18:H18 E20:H20 E23:H23 E25:H25">
      <formula1>1</formula1>
    </dataValidation>
    <dataValidation type="list" operator="lessThanOrEqual" showInputMessage="1" showErrorMessage="1" sqref="E26">
      <formula1>"ACT,Qld,NSW,Vic,Tas,SA"</formula1>
    </dataValidation>
    <dataValidation type="list" allowBlank="1" showInputMessage="1" showErrorMessage="1" sqref="C60">
      <formula1>"Public, Confidential"</formula1>
    </dataValidation>
    <dataValidation type="list" allowBlank="1" showInputMessage="1" showErrorMessage="1" sqref="C54">
      <formula1>"Yes, No"</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 NSW,NT,SA,Qld,Vic,-,Tas,WA"</formula1>
    </dataValidation>
    <dataValidation type="list" allowBlank="1" showInputMessage="1" showErrorMessage="1" sqref="C50:D50">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
      <formula1>1</formula1>
      <formula2>9999</formula2>
    </dataValidation>
    <dataValidation type="list" allowBlank="1" showInputMessage="1" showErrorMessage="1" sqref="C44">
      <formula1>IF(dms_RPT="financial",dms_CRY_ListF,dms_CRY_ListC)</formula1>
    </dataValidation>
  </dataValidations>
  <pageMargins left="0.25" right="0.25" top="0.75" bottom="0.75" header="0.3" footer="0.3"/>
  <pageSetup paperSize="9" scale="90" orientation="landscape" r:id="rId1"/>
  <customProperties>
    <customPr name="_pios_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26"/>
    <pageSetUpPr autoPageBreaks="0"/>
  </sheetPr>
  <dimension ref="A1:EE91"/>
  <sheetViews>
    <sheetView showGridLines="0" zoomScale="70" zoomScaleNormal="70" workbookViewId="0">
      <selection activeCell="C29" sqref="C29"/>
    </sheetView>
  </sheetViews>
  <sheetFormatPr defaultRowHeight="12.75"/>
  <cols>
    <col min="1" max="1" width="13.85546875" style="96" customWidth="1"/>
    <col min="2" max="2" width="61.7109375" style="150" customWidth="1"/>
    <col min="3" max="3" width="40.28515625" style="96" customWidth="1"/>
    <col min="4" max="4" width="33.42578125" style="96" customWidth="1"/>
    <col min="5" max="28" width="15.7109375" style="96" customWidth="1"/>
    <col min="32" max="264" width="9.140625" style="96"/>
    <col min="265" max="265" width="13.85546875" style="96" customWidth="1"/>
    <col min="266" max="266" width="61.7109375" style="96" customWidth="1"/>
    <col min="267" max="267" width="16.5703125" style="96" bestFit="1" customWidth="1"/>
    <col min="268" max="269" width="6.42578125" style="96" bestFit="1" customWidth="1"/>
    <col min="270" max="270" width="9.140625" style="96"/>
    <col min="271" max="271" width="14.42578125" style="96" bestFit="1" customWidth="1"/>
    <col min="272" max="272" width="17.7109375" style="96" customWidth="1"/>
    <col min="273" max="284" width="8.5703125" style="96" bestFit="1" customWidth="1"/>
    <col min="285" max="520" width="9.140625" style="96"/>
    <col min="521" max="521" width="13.85546875" style="96" customWidth="1"/>
    <col min="522" max="522" width="61.7109375" style="96" customWidth="1"/>
    <col min="523" max="523" width="16.5703125" style="96" bestFit="1" customWidth="1"/>
    <col min="524" max="525" width="6.42578125" style="96" bestFit="1" customWidth="1"/>
    <col min="526" max="526" width="9.140625" style="96"/>
    <col min="527" max="527" width="14.42578125" style="96" bestFit="1" customWidth="1"/>
    <col min="528" max="528" width="17.7109375" style="96" customWidth="1"/>
    <col min="529" max="540" width="8.5703125" style="96" bestFit="1" customWidth="1"/>
    <col min="541" max="776" width="9.140625" style="96"/>
    <col min="777" max="777" width="13.85546875" style="96" customWidth="1"/>
    <col min="778" max="778" width="61.7109375" style="96" customWidth="1"/>
    <col min="779" max="779" width="16.5703125" style="96" bestFit="1" customWidth="1"/>
    <col min="780" max="781" width="6.42578125" style="96" bestFit="1" customWidth="1"/>
    <col min="782" max="782" width="9.140625" style="96"/>
    <col min="783" max="783" width="14.42578125" style="96" bestFit="1" customWidth="1"/>
    <col min="784" max="784" width="17.7109375" style="96" customWidth="1"/>
    <col min="785" max="796" width="8.5703125" style="96" bestFit="1" customWidth="1"/>
    <col min="797" max="1032" width="9.140625" style="96"/>
    <col min="1033" max="1033" width="13.85546875" style="96" customWidth="1"/>
    <col min="1034" max="1034" width="61.7109375" style="96" customWidth="1"/>
    <col min="1035" max="1035" width="16.5703125" style="96" bestFit="1" customWidth="1"/>
    <col min="1036" max="1037" width="6.42578125" style="96" bestFit="1" customWidth="1"/>
    <col min="1038" max="1038" width="9.140625" style="96"/>
    <col min="1039" max="1039" width="14.42578125" style="96" bestFit="1" customWidth="1"/>
    <col min="1040" max="1040" width="17.7109375" style="96" customWidth="1"/>
    <col min="1041" max="1052" width="8.5703125" style="96" bestFit="1" customWidth="1"/>
    <col min="1053" max="1288" width="9.140625" style="96"/>
    <col min="1289" max="1289" width="13.85546875" style="96" customWidth="1"/>
    <col min="1290" max="1290" width="61.7109375" style="96" customWidth="1"/>
    <col min="1291" max="1291" width="16.5703125" style="96" bestFit="1" customWidth="1"/>
    <col min="1292" max="1293" width="6.42578125" style="96" bestFit="1" customWidth="1"/>
    <col min="1294" max="1294" width="9.140625" style="96"/>
    <col min="1295" max="1295" width="14.42578125" style="96" bestFit="1" customWidth="1"/>
    <col min="1296" max="1296" width="17.7109375" style="96" customWidth="1"/>
    <col min="1297" max="1308" width="8.5703125" style="96" bestFit="1" customWidth="1"/>
    <col min="1309" max="1544" width="9.140625" style="96"/>
    <col min="1545" max="1545" width="13.85546875" style="96" customWidth="1"/>
    <col min="1546" max="1546" width="61.7109375" style="96" customWidth="1"/>
    <col min="1547" max="1547" width="16.5703125" style="96" bestFit="1" customWidth="1"/>
    <col min="1548" max="1549" width="6.42578125" style="96" bestFit="1" customWidth="1"/>
    <col min="1550" max="1550" width="9.140625" style="96"/>
    <col min="1551" max="1551" width="14.42578125" style="96" bestFit="1" customWidth="1"/>
    <col min="1552" max="1552" width="17.7109375" style="96" customWidth="1"/>
    <col min="1553" max="1564" width="8.5703125" style="96" bestFit="1" customWidth="1"/>
    <col min="1565" max="1800" width="9.140625" style="96"/>
    <col min="1801" max="1801" width="13.85546875" style="96" customWidth="1"/>
    <col min="1802" max="1802" width="61.7109375" style="96" customWidth="1"/>
    <col min="1803" max="1803" width="16.5703125" style="96" bestFit="1" customWidth="1"/>
    <col min="1804" max="1805" width="6.42578125" style="96" bestFit="1" customWidth="1"/>
    <col min="1806" max="1806" width="9.140625" style="96"/>
    <col min="1807" max="1807" width="14.42578125" style="96" bestFit="1" customWidth="1"/>
    <col min="1808" max="1808" width="17.7109375" style="96" customWidth="1"/>
    <col min="1809" max="1820" width="8.5703125" style="96" bestFit="1" customWidth="1"/>
    <col min="1821" max="2056" width="9.140625" style="96"/>
    <col min="2057" max="2057" width="13.85546875" style="96" customWidth="1"/>
    <col min="2058" max="2058" width="61.7109375" style="96" customWidth="1"/>
    <col min="2059" max="2059" width="16.5703125" style="96" bestFit="1" customWidth="1"/>
    <col min="2060" max="2061" width="6.42578125" style="96" bestFit="1" customWidth="1"/>
    <col min="2062" max="2062" width="9.140625" style="96"/>
    <col min="2063" max="2063" width="14.42578125" style="96" bestFit="1" customWidth="1"/>
    <col min="2064" max="2064" width="17.7109375" style="96" customWidth="1"/>
    <col min="2065" max="2076" width="8.5703125" style="96" bestFit="1" customWidth="1"/>
    <col min="2077" max="2312" width="9.140625" style="96"/>
    <col min="2313" max="2313" width="13.85546875" style="96" customWidth="1"/>
    <col min="2314" max="2314" width="61.7109375" style="96" customWidth="1"/>
    <col min="2315" max="2315" width="16.5703125" style="96" bestFit="1" customWidth="1"/>
    <col min="2316" max="2317" width="6.42578125" style="96" bestFit="1" customWidth="1"/>
    <col min="2318" max="2318" width="9.140625" style="96"/>
    <col min="2319" max="2319" width="14.42578125" style="96" bestFit="1" customWidth="1"/>
    <col min="2320" max="2320" width="17.7109375" style="96" customWidth="1"/>
    <col min="2321" max="2332" width="8.5703125" style="96" bestFit="1" customWidth="1"/>
    <col min="2333" max="2568" width="9.140625" style="96"/>
    <col min="2569" max="2569" width="13.85546875" style="96" customWidth="1"/>
    <col min="2570" max="2570" width="61.7109375" style="96" customWidth="1"/>
    <col min="2571" max="2571" width="16.5703125" style="96" bestFit="1" customWidth="1"/>
    <col min="2572" max="2573" width="6.42578125" style="96" bestFit="1" customWidth="1"/>
    <col min="2574" max="2574" width="9.140625" style="96"/>
    <col min="2575" max="2575" width="14.42578125" style="96" bestFit="1" customWidth="1"/>
    <col min="2576" max="2576" width="17.7109375" style="96" customWidth="1"/>
    <col min="2577" max="2588" width="8.5703125" style="96" bestFit="1" customWidth="1"/>
    <col min="2589" max="2824" width="9.140625" style="96"/>
    <col min="2825" max="2825" width="13.85546875" style="96" customWidth="1"/>
    <col min="2826" max="2826" width="61.7109375" style="96" customWidth="1"/>
    <col min="2827" max="2827" width="16.5703125" style="96" bestFit="1" customWidth="1"/>
    <col min="2828" max="2829" width="6.42578125" style="96" bestFit="1" customWidth="1"/>
    <col min="2830" max="2830" width="9.140625" style="96"/>
    <col min="2831" max="2831" width="14.42578125" style="96" bestFit="1" customWidth="1"/>
    <col min="2832" max="2832" width="17.7109375" style="96" customWidth="1"/>
    <col min="2833" max="2844" width="8.5703125" style="96" bestFit="1" customWidth="1"/>
    <col min="2845" max="3080" width="9.140625" style="96"/>
    <col min="3081" max="3081" width="13.85546875" style="96" customWidth="1"/>
    <col min="3082" max="3082" width="61.7109375" style="96" customWidth="1"/>
    <col min="3083" max="3083" width="16.5703125" style="96" bestFit="1" customWidth="1"/>
    <col min="3084" max="3085" width="6.42578125" style="96" bestFit="1" customWidth="1"/>
    <col min="3086" max="3086" width="9.140625" style="96"/>
    <col min="3087" max="3087" width="14.42578125" style="96" bestFit="1" customWidth="1"/>
    <col min="3088" max="3088" width="17.7109375" style="96" customWidth="1"/>
    <col min="3089" max="3100" width="8.5703125" style="96" bestFit="1" customWidth="1"/>
    <col min="3101" max="3336" width="9.140625" style="96"/>
    <col min="3337" max="3337" width="13.85546875" style="96" customWidth="1"/>
    <col min="3338" max="3338" width="61.7109375" style="96" customWidth="1"/>
    <col min="3339" max="3339" width="16.5703125" style="96" bestFit="1" customWidth="1"/>
    <col min="3340" max="3341" width="6.42578125" style="96" bestFit="1" customWidth="1"/>
    <col min="3342" max="3342" width="9.140625" style="96"/>
    <col min="3343" max="3343" width="14.42578125" style="96" bestFit="1" customWidth="1"/>
    <col min="3344" max="3344" width="17.7109375" style="96" customWidth="1"/>
    <col min="3345" max="3356" width="8.5703125" style="96" bestFit="1" customWidth="1"/>
    <col min="3357" max="3592" width="9.140625" style="96"/>
    <col min="3593" max="3593" width="13.85546875" style="96" customWidth="1"/>
    <col min="3594" max="3594" width="61.7109375" style="96" customWidth="1"/>
    <col min="3595" max="3595" width="16.5703125" style="96" bestFit="1" customWidth="1"/>
    <col min="3596" max="3597" width="6.42578125" style="96" bestFit="1" customWidth="1"/>
    <col min="3598" max="3598" width="9.140625" style="96"/>
    <col min="3599" max="3599" width="14.42578125" style="96" bestFit="1" customWidth="1"/>
    <col min="3600" max="3600" width="17.7109375" style="96" customWidth="1"/>
    <col min="3601" max="3612" width="8.5703125" style="96" bestFit="1" customWidth="1"/>
    <col min="3613" max="3848" width="9.140625" style="96"/>
    <col min="3849" max="3849" width="13.85546875" style="96" customWidth="1"/>
    <col min="3850" max="3850" width="61.7109375" style="96" customWidth="1"/>
    <col min="3851" max="3851" width="16.5703125" style="96" bestFit="1" customWidth="1"/>
    <col min="3852" max="3853" width="6.42578125" style="96" bestFit="1" customWidth="1"/>
    <col min="3854" max="3854" width="9.140625" style="96"/>
    <col min="3855" max="3855" width="14.42578125" style="96" bestFit="1" customWidth="1"/>
    <col min="3856" max="3856" width="17.7109375" style="96" customWidth="1"/>
    <col min="3857" max="3868" width="8.5703125" style="96" bestFit="1" customWidth="1"/>
    <col min="3869" max="4104" width="9.140625" style="96"/>
    <col min="4105" max="4105" width="13.85546875" style="96" customWidth="1"/>
    <col min="4106" max="4106" width="61.7109375" style="96" customWidth="1"/>
    <col min="4107" max="4107" width="16.5703125" style="96" bestFit="1" customWidth="1"/>
    <col min="4108" max="4109" width="6.42578125" style="96" bestFit="1" customWidth="1"/>
    <col min="4110" max="4110" width="9.140625" style="96"/>
    <col min="4111" max="4111" width="14.42578125" style="96" bestFit="1" customWidth="1"/>
    <col min="4112" max="4112" width="17.7109375" style="96" customWidth="1"/>
    <col min="4113" max="4124" width="8.5703125" style="96" bestFit="1" customWidth="1"/>
    <col min="4125" max="4360" width="9.140625" style="96"/>
    <col min="4361" max="4361" width="13.85546875" style="96" customWidth="1"/>
    <col min="4362" max="4362" width="61.7109375" style="96" customWidth="1"/>
    <col min="4363" max="4363" width="16.5703125" style="96" bestFit="1" customWidth="1"/>
    <col min="4364" max="4365" width="6.42578125" style="96" bestFit="1" customWidth="1"/>
    <col min="4366" max="4366" width="9.140625" style="96"/>
    <col min="4367" max="4367" width="14.42578125" style="96" bestFit="1" customWidth="1"/>
    <col min="4368" max="4368" width="17.7109375" style="96" customWidth="1"/>
    <col min="4369" max="4380" width="8.5703125" style="96" bestFit="1" customWidth="1"/>
    <col min="4381" max="4616" width="9.140625" style="96"/>
    <col min="4617" max="4617" width="13.85546875" style="96" customWidth="1"/>
    <col min="4618" max="4618" width="61.7109375" style="96" customWidth="1"/>
    <col min="4619" max="4619" width="16.5703125" style="96" bestFit="1" customWidth="1"/>
    <col min="4620" max="4621" width="6.42578125" style="96" bestFit="1" customWidth="1"/>
    <col min="4622" max="4622" width="9.140625" style="96"/>
    <col min="4623" max="4623" width="14.42578125" style="96" bestFit="1" customWidth="1"/>
    <col min="4624" max="4624" width="17.7109375" style="96" customWidth="1"/>
    <col min="4625" max="4636" width="8.5703125" style="96" bestFit="1" customWidth="1"/>
    <col min="4637" max="4872" width="9.140625" style="96"/>
    <col min="4873" max="4873" width="13.85546875" style="96" customWidth="1"/>
    <col min="4874" max="4874" width="61.7109375" style="96" customWidth="1"/>
    <col min="4875" max="4875" width="16.5703125" style="96" bestFit="1" customWidth="1"/>
    <col min="4876" max="4877" width="6.42578125" style="96" bestFit="1" customWidth="1"/>
    <col min="4878" max="4878" width="9.140625" style="96"/>
    <col min="4879" max="4879" width="14.42578125" style="96" bestFit="1" customWidth="1"/>
    <col min="4880" max="4880" width="17.7109375" style="96" customWidth="1"/>
    <col min="4881" max="4892" width="8.5703125" style="96" bestFit="1" customWidth="1"/>
    <col min="4893" max="5128" width="9.140625" style="96"/>
    <col min="5129" max="5129" width="13.85546875" style="96" customWidth="1"/>
    <col min="5130" max="5130" width="61.7109375" style="96" customWidth="1"/>
    <col min="5131" max="5131" width="16.5703125" style="96" bestFit="1" customWidth="1"/>
    <col min="5132" max="5133" width="6.42578125" style="96" bestFit="1" customWidth="1"/>
    <col min="5134" max="5134" width="9.140625" style="96"/>
    <col min="5135" max="5135" width="14.42578125" style="96" bestFit="1" customWidth="1"/>
    <col min="5136" max="5136" width="17.7109375" style="96" customWidth="1"/>
    <col min="5137" max="5148" width="8.5703125" style="96" bestFit="1" customWidth="1"/>
    <col min="5149" max="5384" width="9.140625" style="96"/>
    <col min="5385" max="5385" width="13.85546875" style="96" customWidth="1"/>
    <col min="5386" max="5386" width="61.7109375" style="96" customWidth="1"/>
    <col min="5387" max="5387" width="16.5703125" style="96" bestFit="1" customWidth="1"/>
    <col min="5388" max="5389" width="6.42578125" style="96" bestFit="1" customWidth="1"/>
    <col min="5390" max="5390" width="9.140625" style="96"/>
    <col min="5391" max="5391" width="14.42578125" style="96" bestFit="1" customWidth="1"/>
    <col min="5392" max="5392" width="17.7109375" style="96" customWidth="1"/>
    <col min="5393" max="5404" width="8.5703125" style="96" bestFit="1" customWidth="1"/>
    <col min="5405" max="5640" width="9.140625" style="96"/>
    <col min="5641" max="5641" width="13.85546875" style="96" customWidth="1"/>
    <col min="5642" max="5642" width="61.7109375" style="96" customWidth="1"/>
    <col min="5643" max="5643" width="16.5703125" style="96" bestFit="1" customWidth="1"/>
    <col min="5644" max="5645" width="6.42578125" style="96" bestFit="1" customWidth="1"/>
    <col min="5646" max="5646" width="9.140625" style="96"/>
    <col min="5647" max="5647" width="14.42578125" style="96" bestFit="1" customWidth="1"/>
    <col min="5648" max="5648" width="17.7109375" style="96" customWidth="1"/>
    <col min="5649" max="5660" width="8.5703125" style="96" bestFit="1" customWidth="1"/>
    <col min="5661" max="5896" width="9.140625" style="96"/>
    <col min="5897" max="5897" width="13.85546875" style="96" customWidth="1"/>
    <col min="5898" max="5898" width="61.7109375" style="96" customWidth="1"/>
    <col min="5899" max="5899" width="16.5703125" style="96" bestFit="1" customWidth="1"/>
    <col min="5900" max="5901" width="6.42578125" style="96" bestFit="1" customWidth="1"/>
    <col min="5902" max="5902" width="9.140625" style="96"/>
    <col min="5903" max="5903" width="14.42578125" style="96" bestFit="1" customWidth="1"/>
    <col min="5904" max="5904" width="17.7109375" style="96" customWidth="1"/>
    <col min="5905" max="5916" width="8.5703125" style="96" bestFit="1" customWidth="1"/>
    <col min="5917" max="6152" width="9.140625" style="96"/>
    <col min="6153" max="6153" width="13.85546875" style="96" customWidth="1"/>
    <col min="6154" max="6154" width="61.7109375" style="96" customWidth="1"/>
    <col min="6155" max="6155" width="16.5703125" style="96" bestFit="1" customWidth="1"/>
    <col min="6156" max="6157" width="6.42578125" style="96" bestFit="1" customWidth="1"/>
    <col min="6158" max="6158" width="9.140625" style="96"/>
    <col min="6159" max="6159" width="14.42578125" style="96" bestFit="1" customWidth="1"/>
    <col min="6160" max="6160" width="17.7109375" style="96" customWidth="1"/>
    <col min="6161" max="6172" width="8.5703125" style="96" bestFit="1" customWidth="1"/>
    <col min="6173" max="6408" width="9.140625" style="96"/>
    <col min="6409" max="6409" width="13.85546875" style="96" customWidth="1"/>
    <col min="6410" max="6410" width="61.7109375" style="96" customWidth="1"/>
    <col min="6411" max="6411" width="16.5703125" style="96" bestFit="1" customWidth="1"/>
    <col min="6412" max="6413" width="6.42578125" style="96" bestFit="1" customWidth="1"/>
    <col min="6414" max="6414" width="9.140625" style="96"/>
    <col min="6415" max="6415" width="14.42578125" style="96" bestFit="1" customWidth="1"/>
    <col min="6416" max="6416" width="17.7109375" style="96" customWidth="1"/>
    <col min="6417" max="6428" width="8.5703125" style="96" bestFit="1" customWidth="1"/>
    <col min="6429" max="6664" width="9.140625" style="96"/>
    <col min="6665" max="6665" width="13.85546875" style="96" customWidth="1"/>
    <col min="6666" max="6666" width="61.7109375" style="96" customWidth="1"/>
    <col min="6667" max="6667" width="16.5703125" style="96" bestFit="1" customWidth="1"/>
    <col min="6668" max="6669" width="6.42578125" style="96" bestFit="1" customWidth="1"/>
    <col min="6670" max="6670" width="9.140625" style="96"/>
    <col min="6671" max="6671" width="14.42578125" style="96" bestFit="1" customWidth="1"/>
    <col min="6672" max="6672" width="17.7109375" style="96" customWidth="1"/>
    <col min="6673" max="6684" width="8.5703125" style="96" bestFit="1" customWidth="1"/>
    <col min="6685" max="6920" width="9.140625" style="96"/>
    <col min="6921" max="6921" width="13.85546875" style="96" customWidth="1"/>
    <col min="6922" max="6922" width="61.7109375" style="96" customWidth="1"/>
    <col min="6923" max="6923" width="16.5703125" style="96" bestFit="1" customWidth="1"/>
    <col min="6924" max="6925" width="6.42578125" style="96" bestFit="1" customWidth="1"/>
    <col min="6926" max="6926" width="9.140625" style="96"/>
    <col min="6927" max="6927" width="14.42578125" style="96" bestFit="1" customWidth="1"/>
    <col min="6928" max="6928" width="17.7109375" style="96" customWidth="1"/>
    <col min="6929" max="6940" width="8.5703125" style="96" bestFit="1" customWidth="1"/>
    <col min="6941" max="7176" width="9.140625" style="96"/>
    <col min="7177" max="7177" width="13.85546875" style="96" customWidth="1"/>
    <col min="7178" max="7178" width="61.7109375" style="96" customWidth="1"/>
    <col min="7179" max="7179" width="16.5703125" style="96" bestFit="1" customWidth="1"/>
    <col min="7180" max="7181" width="6.42578125" style="96" bestFit="1" customWidth="1"/>
    <col min="7182" max="7182" width="9.140625" style="96"/>
    <col min="7183" max="7183" width="14.42578125" style="96" bestFit="1" customWidth="1"/>
    <col min="7184" max="7184" width="17.7109375" style="96" customWidth="1"/>
    <col min="7185" max="7196" width="8.5703125" style="96" bestFit="1" customWidth="1"/>
    <col min="7197" max="7432" width="9.140625" style="96"/>
    <col min="7433" max="7433" width="13.85546875" style="96" customWidth="1"/>
    <col min="7434" max="7434" width="61.7109375" style="96" customWidth="1"/>
    <col min="7435" max="7435" width="16.5703125" style="96" bestFit="1" customWidth="1"/>
    <col min="7436" max="7437" width="6.42578125" style="96" bestFit="1" customWidth="1"/>
    <col min="7438" max="7438" width="9.140625" style="96"/>
    <col min="7439" max="7439" width="14.42578125" style="96" bestFit="1" customWidth="1"/>
    <col min="7440" max="7440" width="17.7109375" style="96" customWidth="1"/>
    <col min="7441" max="7452" width="8.5703125" style="96" bestFit="1" customWidth="1"/>
    <col min="7453" max="7688" width="9.140625" style="96"/>
    <col min="7689" max="7689" width="13.85546875" style="96" customWidth="1"/>
    <col min="7690" max="7690" width="61.7109375" style="96" customWidth="1"/>
    <col min="7691" max="7691" width="16.5703125" style="96" bestFit="1" customWidth="1"/>
    <col min="7692" max="7693" width="6.42578125" style="96" bestFit="1" customWidth="1"/>
    <col min="7694" max="7694" width="9.140625" style="96"/>
    <col min="7695" max="7695" width="14.42578125" style="96" bestFit="1" customWidth="1"/>
    <col min="7696" max="7696" width="17.7109375" style="96" customWidth="1"/>
    <col min="7697" max="7708" width="8.5703125" style="96" bestFit="1" customWidth="1"/>
    <col min="7709" max="7944" width="9.140625" style="96"/>
    <col min="7945" max="7945" width="13.85546875" style="96" customWidth="1"/>
    <col min="7946" max="7946" width="61.7109375" style="96" customWidth="1"/>
    <col min="7947" max="7947" width="16.5703125" style="96" bestFit="1" customWidth="1"/>
    <col min="7948" max="7949" width="6.42578125" style="96" bestFit="1" customWidth="1"/>
    <col min="7950" max="7950" width="9.140625" style="96"/>
    <col min="7951" max="7951" width="14.42578125" style="96" bestFit="1" customWidth="1"/>
    <col min="7952" max="7952" width="17.7109375" style="96" customWidth="1"/>
    <col min="7953" max="7964" width="8.5703125" style="96" bestFit="1" customWidth="1"/>
    <col min="7965" max="8200" width="9.140625" style="96"/>
    <col min="8201" max="8201" width="13.85546875" style="96" customWidth="1"/>
    <col min="8202" max="8202" width="61.7109375" style="96" customWidth="1"/>
    <col min="8203" max="8203" width="16.5703125" style="96" bestFit="1" customWidth="1"/>
    <col min="8204" max="8205" width="6.42578125" style="96" bestFit="1" customWidth="1"/>
    <col min="8206" max="8206" width="9.140625" style="96"/>
    <col min="8207" max="8207" width="14.42578125" style="96" bestFit="1" customWidth="1"/>
    <col min="8208" max="8208" width="17.7109375" style="96" customWidth="1"/>
    <col min="8209" max="8220" width="8.5703125" style="96" bestFit="1" customWidth="1"/>
    <col min="8221" max="8456" width="9.140625" style="96"/>
    <col min="8457" max="8457" width="13.85546875" style="96" customWidth="1"/>
    <col min="8458" max="8458" width="61.7109375" style="96" customWidth="1"/>
    <col min="8459" max="8459" width="16.5703125" style="96" bestFit="1" customWidth="1"/>
    <col min="8460" max="8461" width="6.42578125" style="96" bestFit="1" customWidth="1"/>
    <col min="8462" max="8462" width="9.140625" style="96"/>
    <col min="8463" max="8463" width="14.42578125" style="96" bestFit="1" customWidth="1"/>
    <col min="8464" max="8464" width="17.7109375" style="96" customWidth="1"/>
    <col min="8465" max="8476" width="8.5703125" style="96" bestFit="1" customWidth="1"/>
    <col min="8477" max="8712" width="9.140625" style="96"/>
    <col min="8713" max="8713" width="13.85546875" style="96" customWidth="1"/>
    <col min="8714" max="8714" width="61.7109375" style="96" customWidth="1"/>
    <col min="8715" max="8715" width="16.5703125" style="96" bestFit="1" customWidth="1"/>
    <col min="8716" max="8717" width="6.42578125" style="96" bestFit="1" customWidth="1"/>
    <col min="8718" max="8718" width="9.140625" style="96"/>
    <col min="8719" max="8719" width="14.42578125" style="96" bestFit="1" customWidth="1"/>
    <col min="8720" max="8720" width="17.7109375" style="96" customWidth="1"/>
    <col min="8721" max="8732" width="8.5703125" style="96" bestFit="1" customWidth="1"/>
    <col min="8733" max="8968" width="9.140625" style="96"/>
    <col min="8969" max="8969" width="13.85546875" style="96" customWidth="1"/>
    <col min="8970" max="8970" width="61.7109375" style="96" customWidth="1"/>
    <col min="8971" max="8971" width="16.5703125" style="96" bestFit="1" customWidth="1"/>
    <col min="8972" max="8973" width="6.42578125" style="96" bestFit="1" customWidth="1"/>
    <col min="8974" max="8974" width="9.140625" style="96"/>
    <col min="8975" max="8975" width="14.42578125" style="96" bestFit="1" customWidth="1"/>
    <col min="8976" max="8976" width="17.7109375" style="96" customWidth="1"/>
    <col min="8977" max="8988" width="8.5703125" style="96" bestFit="1" customWidth="1"/>
    <col min="8989" max="9224" width="9.140625" style="96"/>
    <col min="9225" max="9225" width="13.85546875" style="96" customWidth="1"/>
    <col min="9226" max="9226" width="61.7109375" style="96" customWidth="1"/>
    <col min="9227" max="9227" width="16.5703125" style="96" bestFit="1" customWidth="1"/>
    <col min="9228" max="9229" width="6.42578125" style="96" bestFit="1" customWidth="1"/>
    <col min="9230" max="9230" width="9.140625" style="96"/>
    <col min="9231" max="9231" width="14.42578125" style="96" bestFit="1" customWidth="1"/>
    <col min="9232" max="9232" width="17.7109375" style="96" customWidth="1"/>
    <col min="9233" max="9244" width="8.5703125" style="96" bestFit="1" customWidth="1"/>
    <col min="9245" max="9480" width="9.140625" style="96"/>
    <col min="9481" max="9481" width="13.85546875" style="96" customWidth="1"/>
    <col min="9482" max="9482" width="61.7109375" style="96" customWidth="1"/>
    <col min="9483" max="9483" width="16.5703125" style="96" bestFit="1" customWidth="1"/>
    <col min="9484" max="9485" width="6.42578125" style="96" bestFit="1" customWidth="1"/>
    <col min="9486" max="9486" width="9.140625" style="96"/>
    <col min="9487" max="9487" width="14.42578125" style="96" bestFit="1" customWidth="1"/>
    <col min="9488" max="9488" width="17.7109375" style="96" customWidth="1"/>
    <col min="9489" max="9500" width="8.5703125" style="96" bestFit="1" customWidth="1"/>
    <col min="9501" max="9736" width="9.140625" style="96"/>
    <col min="9737" max="9737" width="13.85546875" style="96" customWidth="1"/>
    <col min="9738" max="9738" width="61.7109375" style="96" customWidth="1"/>
    <col min="9739" max="9739" width="16.5703125" style="96" bestFit="1" customWidth="1"/>
    <col min="9740" max="9741" width="6.42578125" style="96" bestFit="1" customWidth="1"/>
    <col min="9742" max="9742" width="9.140625" style="96"/>
    <col min="9743" max="9743" width="14.42578125" style="96" bestFit="1" customWidth="1"/>
    <col min="9744" max="9744" width="17.7109375" style="96" customWidth="1"/>
    <col min="9745" max="9756" width="8.5703125" style="96" bestFit="1" customWidth="1"/>
    <col min="9757" max="9992" width="9.140625" style="96"/>
    <col min="9993" max="9993" width="13.85546875" style="96" customWidth="1"/>
    <col min="9994" max="9994" width="61.7109375" style="96" customWidth="1"/>
    <col min="9995" max="9995" width="16.5703125" style="96" bestFit="1" customWidth="1"/>
    <col min="9996" max="9997" width="6.42578125" style="96" bestFit="1" customWidth="1"/>
    <col min="9998" max="9998" width="9.140625" style="96"/>
    <col min="9999" max="9999" width="14.42578125" style="96" bestFit="1" customWidth="1"/>
    <col min="10000" max="10000" width="17.7109375" style="96" customWidth="1"/>
    <col min="10001" max="10012" width="8.5703125" style="96" bestFit="1" customWidth="1"/>
    <col min="10013" max="10248" width="9.140625" style="96"/>
    <col min="10249" max="10249" width="13.85546875" style="96" customWidth="1"/>
    <col min="10250" max="10250" width="61.7109375" style="96" customWidth="1"/>
    <col min="10251" max="10251" width="16.5703125" style="96" bestFit="1" customWidth="1"/>
    <col min="10252" max="10253" width="6.42578125" style="96" bestFit="1" customWidth="1"/>
    <col min="10254" max="10254" width="9.140625" style="96"/>
    <col min="10255" max="10255" width="14.42578125" style="96" bestFit="1" customWidth="1"/>
    <col min="10256" max="10256" width="17.7109375" style="96" customWidth="1"/>
    <col min="10257" max="10268" width="8.5703125" style="96" bestFit="1" customWidth="1"/>
    <col min="10269" max="10504" width="9.140625" style="96"/>
    <col min="10505" max="10505" width="13.85546875" style="96" customWidth="1"/>
    <col min="10506" max="10506" width="61.7109375" style="96" customWidth="1"/>
    <col min="10507" max="10507" width="16.5703125" style="96" bestFit="1" customWidth="1"/>
    <col min="10508" max="10509" width="6.42578125" style="96" bestFit="1" customWidth="1"/>
    <col min="10510" max="10510" width="9.140625" style="96"/>
    <col min="10511" max="10511" width="14.42578125" style="96" bestFit="1" customWidth="1"/>
    <col min="10512" max="10512" width="17.7109375" style="96" customWidth="1"/>
    <col min="10513" max="10524" width="8.5703125" style="96" bestFit="1" customWidth="1"/>
    <col min="10525" max="10760" width="9.140625" style="96"/>
    <col min="10761" max="10761" width="13.85546875" style="96" customWidth="1"/>
    <col min="10762" max="10762" width="61.7109375" style="96" customWidth="1"/>
    <col min="10763" max="10763" width="16.5703125" style="96" bestFit="1" customWidth="1"/>
    <col min="10764" max="10765" width="6.42578125" style="96" bestFit="1" customWidth="1"/>
    <col min="10766" max="10766" width="9.140625" style="96"/>
    <col min="10767" max="10767" width="14.42578125" style="96" bestFit="1" customWidth="1"/>
    <col min="10768" max="10768" width="17.7109375" style="96" customWidth="1"/>
    <col min="10769" max="10780" width="8.5703125" style="96" bestFit="1" customWidth="1"/>
    <col min="10781" max="11016" width="9.140625" style="96"/>
    <col min="11017" max="11017" width="13.85546875" style="96" customWidth="1"/>
    <col min="11018" max="11018" width="61.7109375" style="96" customWidth="1"/>
    <col min="11019" max="11019" width="16.5703125" style="96" bestFit="1" customWidth="1"/>
    <col min="11020" max="11021" width="6.42578125" style="96" bestFit="1" customWidth="1"/>
    <col min="11022" max="11022" width="9.140625" style="96"/>
    <col min="11023" max="11023" width="14.42578125" style="96" bestFit="1" customWidth="1"/>
    <col min="11024" max="11024" width="17.7109375" style="96" customWidth="1"/>
    <col min="11025" max="11036" width="8.5703125" style="96" bestFit="1" customWidth="1"/>
    <col min="11037" max="11272" width="9.140625" style="96"/>
    <col min="11273" max="11273" width="13.85546875" style="96" customWidth="1"/>
    <col min="11274" max="11274" width="61.7109375" style="96" customWidth="1"/>
    <col min="11275" max="11275" width="16.5703125" style="96" bestFit="1" customWidth="1"/>
    <col min="11276" max="11277" width="6.42578125" style="96" bestFit="1" customWidth="1"/>
    <col min="11278" max="11278" width="9.140625" style="96"/>
    <col min="11279" max="11279" width="14.42578125" style="96" bestFit="1" customWidth="1"/>
    <col min="11280" max="11280" width="17.7109375" style="96" customWidth="1"/>
    <col min="11281" max="11292" width="8.5703125" style="96" bestFit="1" customWidth="1"/>
    <col min="11293" max="11528" width="9.140625" style="96"/>
    <col min="11529" max="11529" width="13.85546875" style="96" customWidth="1"/>
    <col min="11530" max="11530" width="61.7109375" style="96" customWidth="1"/>
    <col min="11531" max="11531" width="16.5703125" style="96" bestFit="1" customWidth="1"/>
    <col min="11532" max="11533" width="6.42578125" style="96" bestFit="1" customWidth="1"/>
    <col min="11534" max="11534" width="9.140625" style="96"/>
    <col min="11535" max="11535" width="14.42578125" style="96" bestFit="1" customWidth="1"/>
    <col min="11536" max="11536" width="17.7109375" style="96" customWidth="1"/>
    <col min="11537" max="11548" width="8.5703125" style="96" bestFit="1" customWidth="1"/>
    <col min="11549" max="11784" width="9.140625" style="96"/>
    <col min="11785" max="11785" width="13.85546875" style="96" customWidth="1"/>
    <col min="11786" max="11786" width="61.7109375" style="96" customWidth="1"/>
    <col min="11787" max="11787" width="16.5703125" style="96" bestFit="1" customWidth="1"/>
    <col min="11788" max="11789" width="6.42578125" style="96" bestFit="1" customWidth="1"/>
    <col min="11790" max="11790" width="9.140625" style="96"/>
    <col min="11791" max="11791" width="14.42578125" style="96" bestFit="1" customWidth="1"/>
    <col min="11792" max="11792" width="17.7109375" style="96" customWidth="1"/>
    <col min="11793" max="11804" width="8.5703125" style="96" bestFit="1" customWidth="1"/>
    <col min="11805" max="12040" width="9.140625" style="96"/>
    <col min="12041" max="12041" width="13.85546875" style="96" customWidth="1"/>
    <col min="12042" max="12042" width="61.7109375" style="96" customWidth="1"/>
    <col min="12043" max="12043" width="16.5703125" style="96" bestFit="1" customWidth="1"/>
    <col min="12044" max="12045" width="6.42578125" style="96" bestFit="1" customWidth="1"/>
    <col min="12046" max="12046" width="9.140625" style="96"/>
    <col min="12047" max="12047" width="14.42578125" style="96" bestFit="1" customWidth="1"/>
    <col min="12048" max="12048" width="17.7109375" style="96" customWidth="1"/>
    <col min="12049" max="12060" width="8.5703125" style="96" bestFit="1" customWidth="1"/>
    <col min="12061" max="12296" width="9.140625" style="96"/>
    <col min="12297" max="12297" width="13.85546875" style="96" customWidth="1"/>
    <col min="12298" max="12298" width="61.7109375" style="96" customWidth="1"/>
    <col min="12299" max="12299" width="16.5703125" style="96" bestFit="1" customWidth="1"/>
    <col min="12300" max="12301" width="6.42578125" style="96" bestFit="1" customWidth="1"/>
    <col min="12302" max="12302" width="9.140625" style="96"/>
    <col min="12303" max="12303" width="14.42578125" style="96" bestFit="1" customWidth="1"/>
    <col min="12304" max="12304" width="17.7109375" style="96" customWidth="1"/>
    <col min="12305" max="12316" width="8.5703125" style="96" bestFit="1" customWidth="1"/>
    <col min="12317" max="12552" width="9.140625" style="96"/>
    <col min="12553" max="12553" width="13.85546875" style="96" customWidth="1"/>
    <col min="12554" max="12554" width="61.7109375" style="96" customWidth="1"/>
    <col min="12555" max="12555" width="16.5703125" style="96" bestFit="1" customWidth="1"/>
    <col min="12556" max="12557" width="6.42578125" style="96" bestFit="1" customWidth="1"/>
    <col min="12558" max="12558" width="9.140625" style="96"/>
    <col min="12559" max="12559" width="14.42578125" style="96" bestFit="1" customWidth="1"/>
    <col min="12560" max="12560" width="17.7109375" style="96" customWidth="1"/>
    <col min="12561" max="12572" width="8.5703125" style="96" bestFit="1" customWidth="1"/>
    <col min="12573" max="12808" width="9.140625" style="96"/>
    <col min="12809" max="12809" width="13.85546875" style="96" customWidth="1"/>
    <col min="12810" max="12810" width="61.7109375" style="96" customWidth="1"/>
    <col min="12811" max="12811" width="16.5703125" style="96" bestFit="1" customWidth="1"/>
    <col min="12812" max="12813" width="6.42578125" style="96" bestFit="1" customWidth="1"/>
    <col min="12814" max="12814" width="9.140625" style="96"/>
    <col min="12815" max="12815" width="14.42578125" style="96" bestFit="1" customWidth="1"/>
    <col min="12816" max="12816" width="17.7109375" style="96" customWidth="1"/>
    <col min="12817" max="12828" width="8.5703125" style="96" bestFit="1" customWidth="1"/>
    <col min="12829" max="13064" width="9.140625" style="96"/>
    <col min="13065" max="13065" width="13.85546875" style="96" customWidth="1"/>
    <col min="13066" max="13066" width="61.7109375" style="96" customWidth="1"/>
    <col min="13067" max="13067" width="16.5703125" style="96" bestFit="1" customWidth="1"/>
    <col min="13068" max="13069" width="6.42578125" style="96" bestFit="1" customWidth="1"/>
    <col min="13070" max="13070" width="9.140625" style="96"/>
    <col min="13071" max="13071" width="14.42578125" style="96" bestFit="1" customWidth="1"/>
    <col min="13072" max="13072" width="17.7109375" style="96" customWidth="1"/>
    <col min="13073" max="13084" width="8.5703125" style="96" bestFit="1" customWidth="1"/>
    <col min="13085" max="13320" width="9.140625" style="96"/>
    <col min="13321" max="13321" width="13.85546875" style="96" customWidth="1"/>
    <col min="13322" max="13322" width="61.7109375" style="96" customWidth="1"/>
    <col min="13323" max="13323" width="16.5703125" style="96" bestFit="1" customWidth="1"/>
    <col min="13324" max="13325" width="6.42578125" style="96" bestFit="1" customWidth="1"/>
    <col min="13326" max="13326" width="9.140625" style="96"/>
    <col min="13327" max="13327" width="14.42578125" style="96" bestFit="1" customWidth="1"/>
    <col min="13328" max="13328" width="17.7109375" style="96" customWidth="1"/>
    <col min="13329" max="13340" width="8.5703125" style="96" bestFit="1" customWidth="1"/>
    <col min="13341" max="13576" width="9.140625" style="96"/>
    <col min="13577" max="13577" width="13.85546875" style="96" customWidth="1"/>
    <col min="13578" max="13578" width="61.7109375" style="96" customWidth="1"/>
    <col min="13579" max="13579" width="16.5703125" style="96" bestFit="1" customWidth="1"/>
    <col min="13580" max="13581" width="6.42578125" style="96" bestFit="1" customWidth="1"/>
    <col min="13582" max="13582" width="9.140625" style="96"/>
    <col min="13583" max="13583" width="14.42578125" style="96" bestFit="1" customWidth="1"/>
    <col min="13584" max="13584" width="17.7109375" style="96" customWidth="1"/>
    <col min="13585" max="13596" width="8.5703125" style="96" bestFit="1" customWidth="1"/>
    <col min="13597" max="13832" width="9.140625" style="96"/>
    <col min="13833" max="13833" width="13.85546875" style="96" customWidth="1"/>
    <col min="13834" max="13834" width="61.7109375" style="96" customWidth="1"/>
    <col min="13835" max="13835" width="16.5703125" style="96" bestFit="1" customWidth="1"/>
    <col min="13836" max="13837" width="6.42578125" style="96" bestFit="1" customWidth="1"/>
    <col min="13838" max="13838" width="9.140625" style="96"/>
    <col min="13839" max="13839" width="14.42578125" style="96" bestFit="1" customWidth="1"/>
    <col min="13840" max="13840" width="17.7109375" style="96" customWidth="1"/>
    <col min="13841" max="13852" width="8.5703125" style="96" bestFit="1" customWidth="1"/>
    <col min="13853" max="14088" width="9.140625" style="96"/>
    <col min="14089" max="14089" width="13.85546875" style="96" customWidth="1"/>
    <col min="14090" max="14090" width="61.7109375" style="96" customWidth="1"/>
    <col min="14091" max="14091" width="16.5703125" style="96" bestFit="1" customWidth="1"/>
    <col min="14092" max="14093" width="6.42578125" style="96" bestFit="1" customWidth="1"/>
    <col min="14094" max="14094" width="9.140625" style="96"/>
    <col min="14095" max="14095" width="14.42578125" style="96" bestFit="1" customWidth="1"/>
    <col min="14096" max="14096" width="17.7109375" style="96" customWidth="1"/>
    <col min="14097" max="14108" width="8.5703125" style="96" bestFit="1" customWidth="1"/>
    <col min="14109" max="14344" width="9.140625" style="96"/>
    <col min="14345" max="14345" width="13.85546875" style="96" customWidth="1"/>
    <col min="14346" max="14346" width="61.7109375" style="96" customWidth="1"/>
    <col min="14347" max="14347" width="16.5703125" style="96" bestFit="1" customWidth="1"/>
    <col min="14348" max="14349" width="6.42578125" style="96" bestFit="1" customWidth="1"/>
    <col min="14350" max="14350" width="9.140625" style="96"/>
    <col min="14351" max="14351" width="14.42578125" style="96" bestFit="1" customWidth="1"/>
    <col min="14352" max="14352" width="17.7109375" style="96" customWidth="1"/>
    <col min="14353" max="14364" width="8.5703125" style="96" bestFit="1" customWidth="1"/>
    <col min="14365" max="14600" width="9.140625" style="96"/>
    <col min="14601" max="14601" width="13.85546875" style="96" customWidth="1"/>
    <col min="14602" max="14602" width="61.7109375" style="96" customWidth="1"/>
    <col min="14603" max="14603" width="16.5703125" style="96" bestFit="1" customWidth="1"/>
    <col min="14604" max="14605" width="6.42578125" style="96" bestFit="1" customWidth="1"/>
    <col min="14606" max="14606" width="9.140625" style="96"/>
    <col min="14607" max="14607" width="14.42578125" style="96" bestFit="1" customWidth="1"/>
    <col min="14608" max="14608" width="17.7109375" style="96" customWidth="1"/>
    <col min="14609" max="14620" width="8.5703125" style="96" bestFit="1" customWidth="1"/>
    <col min="14621" max="14856" width="9.140625" style="96"/>
    <col min="14857" max="14857" width="13.85546875" style="96" customWidth="1"/>
    <col min="14858" max="14858" width="61.7109375" style="96" customWidth="1"/>
    <col min="14859" max="14859" width="16.5703125" style="96" bestFit="1" customWidth="1"/>
    <col min="14860" max="14861" width="6.42578125" style="96" bestFit="1" customWidth="1"/>
    <col min="14862" max="14862" width="9.140625" style="96"/>
    <col min="14863" max="14863" width="14.42578125" style="96" bestFit="1" customWidth="1"/>
    <col min="14864" max="14864" width="17.7109375" style="96" customWidth="1"/>
    <col min="14865" max="14876" width="8.5703125" style="96" bestFit="1" customWidth="1"/>
    <col min="14877" max="15112" width="9.140625" style="96"/>
    <col min="15113" max="15113" width="13.85546875" style="96" customWidth="1"/>
    <col min="15114" max="15114" width="61.7109375" style="96" customWidth="1"/>
    <col min="15115" max="15115" width="16.5703125" style="96" bestFit="1" customWidth="1"/>
    <col min="15116" max="15117" width="6.42578125" style="96" bestFit="1" customWidth="1"/>
    <col min="15118" max="15118" width="9.140625" style="96"/>
    <col min="15119" max="15119" width="14.42578125" style="96" bestFit="1" customWidth="1"/>
    <col min="15120" max="15120" width="17.7109375" style="96" customWidth="1"/>
    <col min="15121" max="15132" width="8.5703125" style="96" bestFit="1" customWidth="1"/>
    <col min="15133" max="15368" width="9.140625" style="96"/>
    <col min="15369" max="15369" width="13.85546875" style="96" customWidth="1"/>
    <col min="15370" max="15370" width="61.7109375" style="96" customWidth="1"/>
    <col min="15371" max="15371" width="16.5703125" style="96" bestFit="1" customWidth="1"/>
    <col min="15372" max="15373" width="6.42578125" style="96" bestFit="1" customWidth="1"/>
    <col min="15374" max="15374" width="9.140625" style="96"/>
    <col min="15375" max="15375" width="14.42578125" style="96" bestFit="1" customWidth="1"/>
    <col min="15376" max="15376" width="17.7109375" style="96" customWidth="1"/>
    <col min="15377" max="15388" width="8.5703125" style="96" bestFit="1" customWidth="1"/>
    <col min="15389" max="15624" width="9.140625" style="96"/>
    <col min="15625" max="15625" width="13.85546875" style="96" customWidth="1"/>
    <col min="15626" max="15626" width="61.7109375" style="96" customWidth="1"/>
    <col min="15627" max="15627" width="16.5703125" style="96" bestFit="1" customWidth="1"/>
    <col min="15628" max="15629" width="6.42578125" style="96" bestFit="1" customWidth="1"/>
    <col min="15630" max="15630" width="9.140625" style="96"/>
    <col min="15631" max="15631" width="14.42578125" style="96" bestFit="1" customWidth="1"/>
    <col min="15632" max="15632" width="17.7109375" style="96" customWidth="1"/>
    <col min="15633" max="15644" width="8.5703125" style="96" bestFit="1" customWidth="1"/>
    <col min="15645" max="15880" width="9.140625" style="96"/>
    <col min="15881" max="15881" width="13.85546875" style="96" customWidth="1"/>
    <col min="15882" max="15882" width="61.7109375" style="96" customWidth="1"/>
    <col min="15883" max="15883" width="16.5703125" style="96" bestFit="1" customWidth="1"/>
    <col min="15884" max="15885" width="6.42578125" style="96" bestFit="1" customWidth="1"/>
    <col min="15886" max="15886" width="9.140625" style="96"/>
    <col min="15887" max="15887" width="14.42578125" style="96" bestFit="1" customWidth="1"/>
    <col min="15888" max="15888" width="17.7109375" style="96" customWidth="1"/>
    <col min="15889" max="15900" width="8.5703125" style="96" bestFit="1" customWidth="1"/>
    <col min="15901" max="16136" width="9.140625" style="96"/>
    <col min="16137" max="16137" width="13.85546875" style="96" customWidth="1"/>
    <col min="16138" max="16138" width="61.7109375" style="96" customWidth="1"/>
    <col min="16139" max="16139" width="16.5703125" style="96" bestFit="1" customWidth="1"/>
    <col min="16140" max="16141" width="6.42578125" style="96" bestFit="1" customWidth="1"/>
    <col min="16142" max="16142" width="9.140625" style="96"/>
    <col min="16143" max="16143" width="14.42578125" style="96" bestFit="1" customWidth="1"/>
    <col min="16144" max="16144" width="17.7109375" style="96" customWidth="1"/>
    <col min="16145" max="16156" width="8.5703125" style="96" bestFit="1" customWidth="1"/>
    <col min="16157" max="16384" width="9.140625" style="96"/>
  </cols>
  <sheetData>
    <row r="1" spans="1:31"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s="546"/>
      <c r="Y1" s="546"/>
      <c r="Z1" s="546"/>
      <c r="AA1" s="546"/>
      <c r="AB1" s="546"/>
      <c r="AC1"/>
      <c r="AD1"/>
      <c r="AE1"/>
    </row>
    <row r="2" spans="1:31" s="223" customFormat="1" ht="24.95"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c r="AD2"/>
      <c r="AE2"/>
    </row>
    <row r="3" spans="1:31"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c r="AD3"/>
      <c r="AE3"/>
    </row>
    <row r="4" spans="1:31" s="165" customFormat="1" ht="24" customHeight="1">
      <c r="B4" s="10" t="s">
        <v>515</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1">
      <c r="A5" s="409"/>
      <c r="B5" s="1076"/>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row>
    <row r="6" spans="1:31">
      <c r="A6" s="798"/>
      <c r="B6" s="1076"/>
      <c r="C6" s="798"/>
      <c r="D6" s="798"/>
      <c r="E6" s="798"/>
      <c r="F6" s="798"/>
      <c r="G6" s="798"/>
      <c r="H6" s="798"/>
      <c r="I6" s="798"/>
      <c r="J6" s="798"/>
      <c r="K6" s="798"/>
      <c r="L6" s="798"/>
      <c r="M6" s="798"/>
      <c r="N6" s="798"/>
      <c r="O6" s="798"/>
      <c r="P6" s="798"/>
      <c r="Q6" s="798"/>
      <c r="R6" s="798"/>
      <c r="S6" s="798"/>
      <c r="T6" s="798"/>
      <c r="U6" s="798"/>
      <c r="V6" s="798"/>
      <c r="W6" s="798"/>
      <c r="X6" s="798"/>
      <c r="Y6" s="798"/>
      <c r="Z6" s="798"/>
      <c r="AA6" s="798"/>
      <c r="AB6" s="798"/>
    </row>
    <row r="7" spans="1:31">
      <c r="A7" s="798"/>
      <c r="B7" s="86" t="s">
        <v>59</v>
      </c>
      <c r="C7" s="86"/>
      <c r="D7" s="86"/>
      <c r="E7" s="86"/>
      <c r="F7"/>
      <c r="G7"/>
      <c r="H7"/>
      <c r="I7"/>
      <c r="J7"/>
      <c r="K7"/>
      <c r="L7"/>
      <c r="M7"/>
      <c r="N7" s="798"/>
      <c r="O7" s="798"/>
      <c r="P7" s="798"/>
      <c r="Q7" s="798"/>
      <c r="R7" s="798"/>
      <c r="S7" s="798"/>
      <c r="T7" s="798"/>
      <c r="U7" s="798"/>
      <c r="V7" s="798"/>
      <c r="W7" s="798"/>
      <c r="X7" s="798"/>
      <c r="Y7" s="798"/>
      <c r="Z7" s="798"/>
      <c r="AA7" s="798"/>
      <c r="AB7" s="798"/>
    </row>
    <row r="8" spans="1:31" s="203" customFormat="1" ht="27.75" customHeight="1">
      <c r="A8" s="293"/>
      <c r="B8" s="4209" t="s">
        <v>244</v>
      </c>
      <c r="C8" s="4209"/>
      <c r="D8" s="4209"/>
      <c r="E8" s="4209"/>
      <c r="N8" s="293"/>
      <c r="O8" s="293"/>
      <c r="P8" s="293"/>
      <c r="Q8" s="293"/>
      <c r="R8" s="293"/>
      <c r="S8" s="293"/>
      <c r="T8" s="293"/>
      <c r="U8" s="293"/>
      <c r="V8" s="293"/>
      <c r="W8" s="293"/>
      <c r="X8" s="293"/>
      <c r="Y8" s="293"/>
      <c r="Z8" s="293"/>
      <c r="AA8" s="293"/>
      <c r="AB8" s="293"/>
    </row>
    <row r="9" spans="1:31" s="203" customFormat="1" ht="27.75" customHeight="1">
      <c r="A9" s="293"/>
      <c r="B9" s="4209" t="s">
        <v>275</v>
      </c>
      <c r="C9" s="4209"/>
      <c r="D9" s="4209"/>
      <c r="E9" s="4209"/>
      <c r="N9" s="293"/>
      <c r="O9" s="293"/>
      <c r="P9" s="293"/>
      <c r="Q9" s="293"/>
      <c r="R9" s="293"/>
      <c r="S9" s="293"/>
      <c r="T9" s="293"/>
      <c r="U9" s="293"/>
      <c r="V9" s="293"/>
      <c r="W9" s="293"/>
      <c r="X9" s="293"/>
      <c r="Y9" s="293"/>
      <c r="Z9" s="293"/>
      <c r="AA9" s="293"/>
      <c r="AB9" s="293"/>
    </row>
    <row r="10" spans="1:31" s="203" customFormat="1" ht="27.75" customHeight="1">
      <c r="A10" s="293"/>
      <c r="B10" s="4209" t="s">
        <v>514</v>
      </c>
      <c r="C10" s="4209"/>
      <c r="D10" s="4209"/>
      <c r="E10" s="4209"/>
      <c r="N10" s="293"/>
      <c r="O10" s="293"/>
      <c r="P10" s="293"/>
      <c r="Q10" s="293"/>
      <c r="R10" s="293"/>
      <c r="S10" s="293"/>
      <c r="T10" s="293"/>
      <c r="U10" s="293"/>
      <c r="V10" s="293"/>
      <c r="W10" s="293"/>
      <c r="X10" s="293"/>
      <c r="Y10" s="293"/>
      <c r="Z10" s="293"/>
      <c r="AA10" s="293"/>
      <c r="AB10" s="293"/>
    </row>
    <row r="11" spans="1:31" s="203" customFormat="1" ht="27.75" customHeight="1">
      <c r="A11" s="293"/>
      <c r="B11" s="1683" t="s">
        <v>421</v>
      </c>
      <c r="C11" s="1684"/>
      <c r="D11" s="1684"/>
      <c r="E11" s="1684"/>
      <c r="N11" s="293"/>
      <c r="O11" s="293"/>
      <c r="P11" s="293"/>
      <c r="Q11" s="293"/>
      <c r="R11" s="293"/>
      <c r="S11" s="293"/>
      <c r="T11" s="293"/>
      <c r="U11" s="293"/>
      <c r="V11" s="293"/>
      <c r="W11" s="293"/>
      <c r="X11" s="293"/>
      <c r="Y11" s="293"/>
      <c r="Z11" s="293"/>
      <c r="AA11" s="293"/>
      <c r="AB11" s="293"/>
    </row>
    <row r="12" spans="1:31">
      <c r="A12" s="798"/>
      <c r="B12" s="1076"/>
      <c r="C12" s="798"/>
      <c r="D12" s="798"/>
      <c r="E12" s="798"/>
      <c r="F12" s="798"/>
      <c r="G12" s="798"/>
      <c r="H12" s="798"/>
      <c r="I12" s="798"/>
      <c r="J12" s="798"/>
      <c r="K12" s="798"/>
      <c r="L12" s="798"/>
      <c r="M12" s="798"/>
      <c r="N12" s="798"/>
      <c r="O12" s="798"/>
      <c r="P12" s="798"/>
      <c r="Q12" s="798"/>
      <c r="R12" s="798"/>
      <c r="S12" s="798"/>
      <c r="T12" s="798"/>
      <c r="U12" s="798"/>
      <c r="V12" s="798"/>
      <c r="W12" s="798"/>
      <c r="X12" s="798"/>
      <c r="Y12" s="798"/>
      <c r="Z12" s="798"/>
      <c r="AA12" s="798"/>
      <c r="AB12" s="798"/>
    </row>
    <row r="13" spans="1:31" ht="13.5" thickBot="1">
      <c r="A13" s="798"/>
      <c r="B13" s="1076"/>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row>
    <row r="14" spans="1:31">
      <c r="A14" s="798"/>
      <c r="B14" s="1073" t="s">
        <v>48</v>
      </c>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row>
    <row r="15" spans="1:31" ht="12.75" customHeight="1" thickBot="1">
      <c r="A15" s="798"/>
      <c r="B15" s="1074" t="s">
        <v>221</v>
      </c>
      <c r="C15" s="798"/>
      <c r="D15" s="798"/>
      <c r="E15" s="798"/>
      <c r="F15" s="798"/>
      <c r="G15" s="798"/>
      <c r="H15" s="798"/>
      <c r="I15" s="798"/>
      <c r="J15" s="798"/>
      <c r="K15" s="798"/>
      <c r="L15" s="798"/>
      <c r="M15" s="798"/>
      <c r="N15" s="798"/>
      <c r="O15" s="798"/>
      <c r="P15" s="798"/>
      <c r="Q15" s="798"/>
      <c r="R15" s="798"/>
      <c r="S15" s="798"/>
      <c r="T15" s="798"/>
      <c r="U15" s="798"/>
      <c r="V15" s="798"/>
      <c r="W15" s="798"/>
      <c r="X15" s="798"/>
      <c r="Y15" s="798"/>
      <c r="Z15" s="798"/>
      <c r="AA15" s="798"/>
      <c r="AB15" s="798"/>
    </row>
    <row r="16" spans="1:31" ht="21.75" customHeight="1" thickBot="1">
      <c r="A16" s="798"/>
      <c r="B16" s="151"/>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798"/>
      <c r="AA16" s="798"/>
      <c r="AB16" s="798"/>
    </row>
    <row r="17" spans="1:135">
      <c r="A17" s="798"/>
      <c r="B17" s="1073" t="s">
        <v>270</v>
      </c>
      <c r="C17" s="798"/>
      <c r="D17" s="798"/>
      <c r="E17" s="798"/>
      <c r="F17" s="798"/>
      <c r="G17" s="798"/>
      <c r="H17" s="798"/>
      <c r="I17" s="798"/>
      <c r="J17" s="798"/>
      <c r="K17" s="798"/>
      <c r="L17" s="798"/>
      <c r="M17" s="798"/>
      <c r="N17" s="798"/>
      <c r="O17" s="798"/>
      <c r="P17" s="798"/>
      <c r="Q17" s="798"/>
      <c r="R17" s="798"/>
      <c r="S17" s="798"/>
      <c r="T17" s="798"/>
      <c r="U17" s="798"/>
      <c r="V17" s="798"/>
      <c r="W17" s="798"/>
      <c r="X17" s="798"/>
      <c r="Y17" s="798"/>
      <c r="Z17" s="798"/>
      <c r="AA17" s="798"/>
      <c r="AB17" s="798"/>
    </row>
    <row r="18" spans="1:135" ht="27" customHeight="1" thickBot="1">
      <c r="A18" s="798"/>
      <c r="B18" s="1075"/>
      <c r="C18" s="798"/>
      <c r="D18" s="798"/>
      <c r="E18" s="798"/>
      <c r="F18" s="798"/>
      <c r="G18" s="798"/>
      <c r="H18" s="798"/>
      <c r="I18" s="798"/>
      <c r="J18" s="798"/>
      <c r="K18" s="798"/>
      <c r="L18" s="798"/>
      <c r="M18" s="798"/>
      <c r="N18" s="798"/>
      <c r="O18" s="798"/>
      <c r="P18" s="798"/>
      <c r="Q18" s="798"/>
      <c r="R18" s="798"/>
      <c r="S18" s="798"/>
      <c r="T18" s="798"/>
      <c r="U18" s="798"/>
      <c r="V18" s="798"/>
      <c r="W18" s="798"/>
      <c r="X18" s="798"/>
      <c r="Y18" s="798"/>
      <c r="Z18" s="798"/>
      <c r="AA18" s="798"/>
      <c r="AB18" s="798"/>
    </row>
    <row r="19" spans="1:135" ht="12.75" customHeight="1" thickBot="1">
      <c r="A19" s="798"/>
      <c r="B19" s="96"/>
    </row>
    <row r="20" spans="1:135" s="70" customFormat="1" ht="34.5" customHeight="1" thickBot="1">
      <c r="A20" s="410"/>
      <c r="B20" s="972" t="s">
        <v>570</v>
      </c>
      <c r="C20" s="989"/>
      <c r="D20" s="989"/>
      <c r="E20" s="989"/>
      <c r="F20" s="989"/>
      <c r="G20" s="989"/>
      <c r="H20" s="989"/>
      <c r="I20" s="989"/>
      <c r="J20" s="989"/>
      <c r="K20" s="990"/>
      <c r="L20" s="990"/>
      <c r="M20" s="990"/>
      <c r="N20" s="990"/>
      <c r="O20" s="990"/>
      <c r="P20" s="990"/>
      <c r="Q20" s="990"/>
      <c r="R20" s="990"/>
      <c r="S20" s="990"/>
      <c r="T20" s="990"/>
      <c r="U20" s="990"/>
      <c r="V20" s="990"/>
      <c r="W20" s="990"/>
      <c r="X20" s="990"/>
      <c r="Y20" s="990"/>
      <c r="Z20" s="990"/>
      <c r="AA20" s="990"/>
      <c r="AB20" s="990"/>
      <c r="AC20" s="990"/>
      <c r="AD20"/>
      <c r="AE20"/>
      <c r="AF20"/>
    </row>
    <row r="21" spans="1:135" ht="20.25" customHeight="1">
      <c r="A21" s="798"/>
      <c r="B21" s="4184"/>
      <c r="C21" s="4213" t="s">
        <v>673</v>
      </c>
      <c r="D21" s="4210" t="s">
        <v>70</v>
      </c>
      <c r="E21" s="4132" t="s">
        <v>37</v>
      </c>
      <c r="F21" s="4133"/>
      <c r="G21" s="4133"/>
      <c r="H21" s="4133"/>
      <c r="I21" s="4133"/>
      <c r="J21" s="4141" t="s">
        <v>73</v>
      </c>
      <c r="K21" s="4141"/>
      <c r="L21" s="4141"/>
      <c r="M21" s="4141"/>
      <c r="N21" s="4141"/>
      <c r="O21" s="4142" t="s">
        <v>272</v>
      </c>
      <c r="P21" s="4142"/>
      <c r="Q21" s="4142"/>
      <c r="R21" s="4142"/>
      <c r="S21" s="4142"/>
      <c r="T21" s="4142"/>
      <c r="U21" s="4142"/>
      <c r="V21" s="4142"/>
      <c r="W21" s="4142"/>
      <c r="X21" s="4142"/>
      <c r="Y21" s="4142"/>
      <c r="Z21" s="4142"/>
      <c r="AA21" s="4142"/>
      <c r="AB21" s="4142"/>
      <c r="AC21" s="4143"/>
      <c r="AF21"/>
    </row>
    <row r="22" spans="1:135" s="66" customFormat="1" ht="20.25" customHeight="1">
      <c r="A22" s="288"/>
      <c r="B22" s="4185"/>
      <c r="C22" s="4214"/>
      <c r="D22" s="4211"/>
      <c r="E22" s="4216" t="str">
        <f>B15</f>
        <v>$/day</v>
      </c>
      <c r="F22" s="4124"/>
      <c r="G22" s="4124"/>
      <c r="H22" s="4124"/>
      <c r="I22" s="4124"/>
      <c r="J22" s="4124"/>
      <c r="K22" s="4124"/>
      <c r="L22" s="4124"/>
      <c r="M22" s="4124"/>
      <c r="N22" s="4124"/>
      <c r="O22" s="4124"/>
      <c r="P22" s="4124"/>
      <c r="Q22" s="4124"/>
      <c r="R22" s="4124"/>
      <c r="S22" s="4124"/>
      <c r="T22" s="4124"/>
      <c r="U22" s="4124"/>
      <c r="V22" s="4124"/>
      <c r="W22" s="4124"/>
      <c r="X22" s="4124"/>
      <c r="Y22" s="4124"/>
      <c r="Z22" s="4124"/>
      <c r="AA22" s="4124"/>
      <c r="AB22" s="4124"/>
      <c r="AC22" s="4217"/>
      <c r="AD22"/>
      <c r="AE22"/>
      <c r="AF22"/>
    </row>
    <row r="23" spans="1:135" s="66" customFormat="1" ht="20.25" customHeight="1">
      <c r="A23" s="288"/>
      <c r="B23" s="4185"/>
      <c r="C23" s="4214"/>
      <c r="D23" s="4211"/>
      <c r="E23" s="4123" t="s">
        <v>54</v>
      </c>
      <c r="F23" s="4124"/>
      <c r="G23" s="4137"/>
      <c r="H23" s="4138" t="s">
        <v>411</v>
      </c>
      <c r="I23" s="4139"/>
      <c r="J23" s="4139"/>
      <c r="K23" s="4139"/>
      <c r="L23" s="4139"/>
      <c r="M23" s="4139"/>
      <c r="N23" s="4139"/>
      <c r="O23" s="4139"/>
      <c r="P23" s="4139"/>
      <c r="Q23" s="4139"/>
      <c r="R23" s="4139"/>
      <c r="S23" s="4139"/>
      <c r="T23" s="4139"/>
      <c r="U23" s="4139"/>
      <c r="V23" s="4139"/>
      <c r="W23" s="4139"/>
      <c r="X23" s="4139"/>
      <c r="Y23" s="4139"/>
      <c r="Z23" s="4139"/>
      <c r="AA23" s="4139"/>
      <c r="AB23" s="4139"/>
      <c r="AC23" s="4140"/>
      <c r="AD23"/>
      <c r="AE23"/>
      <c r="AF23"/>
    </row>
    <row r="24" spans="1:135" s="66" customFormat="1" ht="20.25" customHeight="1" thickBot="1">
      <c r="A24" s="288"/>
      <c r="B24" s="4186"/>
      <c r="C24" s="4215"/>
      <c r="D24" s="4212"/>
      <c r="E24" s="985">
        <f>CRCP_y1</f>
        <v>2013</v>
      </c>
      <c r="F24" s="985">
        <f>CRCP_y2</f>
        <v>2014</v>
      </c>
      <c r="G24" s="985">
        <f>CRCP_y3</f>
        <v>2015</v>
      </c>
      <c r="H24" s="985">
        <f>CRCP_y4</f>
        <v>2016</v>
      </c>
      <c r="I24" s="985">
        <f>CRCP_y5</f>
        <v>2017</v>
      </c>
      <c r="J24" s="984" t="str">
        <f>CONCATENATE(IF(dms_RPT="Calendar",I24+1,(LEFT(I24,4)+1&amp;"-"&amp;IF(MID(I24,6,2)&lt;"09","0"&amp;RIGHT(I24,1)+1,RIGHT(I24,2)+1))))</f>
        <v>2018</v>
      </c>
      <c r="K24" s="984" t="str">
        <f t="shared" ref="K24:AC24" si="0">CONCATENATE(IF(dms_RPT="Calendar",J24+1,(LEFT(J24,4)+1&amp;"-"&amp;IF(MID(J24,6,2)&lt;"09","0"&amp;RIGHT(J24,1)+1,RIGHT(J24,2)+1))))</f>
        <v>2019</v>
      </c>
      <c r="L24" s="984" t="str">
        <f t="shared" si="0"/>
        <v>2020</v>
      </c>
      <c r="M24" s="984" t="str">
        <f t="shared" si="0"/>
        <v>2021</v>
      </c>
      <c r="N24" s="984" t="str">
        <f t="shared" si="0"/>
        <v>2022</v>
      </c>
      <c r="O24" s="985" t="str">
        <f t="shared" si="0"/>
        <v>2023</v>
      </c>
      <c r="P24" s="985" t="str">
        <f t="shared" si="0"/>
        <v>2024</v>
      </c>
      <c r="Q24" s="985" t="str">
        <f t="shared" si="0"/>
        <v>2025</v>
      </c>
      <c r="R24" s="985" t="str">
        <f t="shared" si="0"/>
        <v>2026</v>
      </c>
      <c r="S24" s="985" t="str">
        <f t="shared" si="0"/>
        <v>2027</v>
      </c>
      <c r="T24" s="985" t="str">
        <f t="shared" si="0"/>
        <v>2028</v>
      </c>
      <c r="U24" s="985" t="str">
        <f t="shared" si="0"/>
        <v>2029</v>
      </c>
      <c r="V24" s="985" t="str">
        <f t="shared" si="0"/>
        <v>2030</v>
      </c>
      <c r="W24" s="985" t="str">
        <f t="shared" si="0"/>
        <v>2031</v>
      </c>
      <c r="X24" s="985" t="str">
        <f t="shared" si="0"/>
        <v>2032</v>
      </c>
      <c r="Y24" s="985" t="str">
        <f t="shared" si="0"/>
        <v>2033</v>
      </c>
      <c r="Z24" s="985" t="str">
        <f t="shared" si="0"/>
        <v>2034</v>
      </c>
      <c r="AA24" s="985" t="str">
        <f t="shared" si="0"/>
        <v>2035</v>
      </c>
      <c r="AB24" s="985" t="str">
        <f t="shared" si="0"/>
        <v>2036</v>
      </c>
      <c r="AC24" s="985" t="str">
        <f t="shared" si="0"/>
        <v>2037</v>
      </c>
      <c r="AD24"/>
      <c r="AE24"/>
      <c r="AF24"/>
    </row>
    <row r="25" spans="1:135" s="94" customFormat="1" ht="18.75" customHeight="1" thickBot="1">
      <c r="A25" s="308"/>
      <c r="B25" s="923" t="s">
        <v>571</v>
      </c>
      <c r="C25" s="924"/>
      <c r="D25" s="924"/>
      <c r="E25" s="924"/>
      <c r="F25" s="924"/>
      <c r="G25" s="924"/>
      <c r="H25" s="924"/>
      <c r="I25" s="924"/>
      <c r="J25" s="924"/>
      <c r="K25" s="924"/>
      <c r="L25" s="924"/>
      <c r="M25" s="924"/>
      <c r="N25" s="924"/>
      <c r="O25" s="924"/>
      <c r="P25" s="924"/>
      <c r="Q25" s="924"/>
      <c r="R25" s="924"/>
      <c r="S25" s="924"/>
      <c r="T25" s="924"/>
      <c r="U25" s="924"/>
      <c r="V25" s="924"/>
      <c r="W25" s="924"/>
      <c r="X25" s="924"/>
      <c r="Y25" s="924"/>
      <c r="Z25" s="924"/>
      <c r="AA25" s="924"/>
      <c r="AB25" s="924"/>
      <c r="AC25" s="925"/>
      <c r="AD25"/>
      <c r="AE25"/>
      <c r="AF25"/>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row>
    <row r="26" spans="1:135">
      <c r="A26" s="798"/>
      <c r="B26" s="4202" t="e">
        <f>'27. Customer numbers'!#REF!</f>
        <v>#REF!</v>
      </c>
      <c r="C26" s="4205" t="s">
        <v>262</v>
      </c>
      <c r="D26" s="4206"/>
      <c r="E26" s="1994"/>
      <c r="F26" s="1995"/>
      <c r="G26" s="1995"/>
      <c r="H26" s="1995"/>
      <c r="I26" s="1997"/>
      <c r="J26" s="1996"/>
      <c r="K26" s="1995"/>
      <c r="L26" s="1995"/>
      <c r="M26" s="1995"/>
      <c r="N26" s="1997"/>
      <c r="O26" s="1994"/>
      <c r="P26" s="1995"/>
      <c r="Q26" s="1995"/>
      <c r="R26" s="1995"/>
      <c r="S26" s="1995"/>
      <c r="T26" s="1995"/>
      <c r="U26" s="1995"/>
      <c r="V26" s="1995"/>
      <c r="W26" s="1995"/>
      <c r="X26" s="1995"/>
      <c r="Y26" s="1995"/>
      <c r="Z26" s="1995"/>
      <c r="AA26" s="1995"/>
      <c r="AB26" s="1995"/>
      <c r="AC26" s="1997"/>
      <c r="AF26"/>
    </row>
    <row r="27" spans="1:135">
      <c r="A27" s="798"/>
      <c r="B27" s="4203"/>
      <c r="C27" s="1026" t="s">
        <v>297</v>
      </c>
      <c r="D27" s="884" t="s">
        <v>296</v>
      </c>
      <c r="E27" s="823"/>
      <c r="F27" s="780"/>
      <c r="G27" s="780"/>
      <c r="H27" s="780"/>
      <c r="I27" s="884"/>
      <c r="J27" s="880"/>
      <c r="K27" s="780"/>
      <c r="L27" s="780"/>
      <c r="M27" s="780"/>
      <c r="N27" s="884"/>
      <c r="O27" s="823"/>
      <c r="P27" s="780"/>
      <c r="Q27" s="780"/>
      <c r="R27" s="780"/>
      <c r="S27" s="780"/>
      <c r="T27" s="780"/>
      <c r="U27" s="780"/>
      <c r="V27" s="780"/>
      <c r="W27" s="780"/>
      <c r="X27" s="780"/>
      <c r="Y27" s="780"/>
      <c r="Z27" s="780"/>
      <c r="AA27" s="780"/>
      <c r="AB27" s="780"/>
      <c r="AC27" s="884"/>
      <c r="AF27"/>
    </row>
    <row r="28" spans="1:135">
      <c r="A28" s="798"/>
      <c r="B28" s="4203"/>
      <c r="C28" s="1026" t="s">
        <v>297</v>
      </c>
      <c r="D28" s="884" t="s">
        <v>296</v>
      </c>
      <c r="E28" s="823"/>
      <c r="F28" s="780"/>
      <c r="G28" s="780"/>
      <c r="H28" s="780"/>
      <c r="I28" s="884"/>
      <c r="J28" s="880"/>
      <c r="K28" s="780"/>
      <c r="L28" s="780"/>
      <c r="M28" s="780"/>
      <c r="N28" s="884"/>
      <c r="O28" s="823"/>
      <c r="P28" s="780"/>
      <c r="Q28" s="780"/>
      <c r="R28" s="780"/>
      <c r="S28" s="780"/>
      <c r="T28" s="780"/>
      <c r="U28" s="780"/>
      <c r="V28" s="780"/>
      <c r="W28" s="780"/>
      <c r="X28" s="780"/>
      <c r="Y28" s="780"/>
      <c r="Z28" s="780"/>
      <c r="AA28" s="780"/>
      <c r="AB28" s="780"/>
      <c r="AC28" s="884"/>
      <c r="AF28"/>
    </row>
    <row r="29" spans="1:135">
      <c r="A29" s="798"/>
      <c r="B29" s="4203"/>
      <c r="C29" s="1026" t="s">
        <v>297</v>
      </c>
      <c r="D29" s="884" t="s">
        <v>296</v>
      </c>
      <c r="E29" s="823"/>
      <c r="F29" s="780"/>
      <c r="G29" s="780"/>
      <c r="H29" s="780"/>
      <c r="I29" s="884"/>
      <c r="J29" s="880"/>
      <c r="K29" s="780"/>
      <c r="L29" s="780"/>
      <c r="M29" s="780"/>
      <c r="N29" s="884"/>
      <c r="O29" s="823"/>
      <c r="P29" s="780"/>
      <c r="Q29" s="780"/>
      <c r="R29" s="780"/>
      <c r="S29" s="780"/>
      <c r="T29" s="780"/>
      <c r="U29" s="780"/>
      <c r="V29" s="780"/>
      <c r="W29" s="780"/>
      <c r="X29" s="780"/>
      <c r="Y29" s="780"/>
      <c r="Z29" s="780"/>
      <c r="AA29" s="780"/>
      <c r="AB29" s="780"/>
      <c r="AC29" s="884"/>
      <c r="AF29"/>
    </row>
    <row r="30" spans="1:135">
      <c r="A30" s="798"/>
      <c r="B30" s="4203"/>
      <c r="C30" s="1026" t="s">
        <v>297</v>
      </c>
      <c r="D30" s="884" t="s">
        <v>296</v>
      </c>
      <c r="E30" s="823"/>
      <c r="F30" s="780"/>
      <c r="G30" s="780"/>
      <c r="H30" s="780"/>
      <c r="I30" s="884"/>
      <c r="J30" s="880"/>
      <c r="K30" s="780"/>
      <c r="L30" s="780"/>
      <c r="M30" s="780"/>
      <c r="N30" s="884"/>
      <c r="O30" s="823"/>
      <c r="P30" s="780"/>
      <c r="Q30" s="780"/>
      <c r="R30" s="780"/>
      <c r="S30" s="780"/>
      <c r="T30" s="780"/>
      <c r="U30" s="780"/>
      <c r="V30" s="780"/>
      <c r="W30" s="780"/>
      <c r="X30" s="780"/>
      <c r="Y30" s="780"/>
      <c r="Z30" s="780"/>
      <c r="AA30" s="780"/>
      <c r="AB30" s="780"/>
      <c r="AC30" s="884"/>
      <c r="AF30"/>
    </row>
    <row r="31" spans="1:135">
      <c r="A31" s="798"/>
      <c r="B31" s="4203"/>
      <c r="C31" s="1026" t="s">
        <v>297</v>
      </c>
      <c r="D31" s="884" t="s">
        <v>296</v>
      </c>
      <c r="E31" s="823"/>
      <c r="F31" s="780"/>
      <c r="G31" s="780"/>
      <c r="H31" s="780"/>
      <c r="I31" s="884"/>
      <c r="J31" s="880"/>
      <c r="K31" s="780"/>
      <c r="L31" s="780"/>
      <c r="M31" s="780"/>
      <c r="N31" s="884"/>
      <c r="O31" s="823"/>
      <c r="P31" s="780"/>
      <c r="Q31" s="780"/>
      <c r="R31" s="780"/>
      <c r="S31" s="780"/>
      <c r="T31" s="780"/>
      <c r="U31" s="780"/>
      <c r="V31" s="780"/>
      <c r="W31" s="780"/>
      <c r="X31" s="780"/>
      <c r="Y31" s="780"/>
      <c r="Z31" s="780"/>
      <c r="AA31" s="780"/>
      <c r="AB31" s="780"/>
      <c r="AC31" s="884"/>
      <c r="AF31"/>
    </row>
    <row r="32" spans="1:135" ht="13.5" thickBot="1">
      <c r="A32" s="798"/>
      <c r="B32" s="4204"/>
      <c r="C32" s="1993" t="s">
        <v>297</v>
      </c>
      <c r="D32" s="887" t="s">
        <v>296</v>
      </c>
      <c r="E32" s="1932"/>
      <c r="F32" s="886"/>
      <c r="G32" s="886"/>
      <c r="H32" s="886"/>
      <c r="I32" s="887"/>
      <c r="J32" s="889"/>
      <c r="K32" s="886"/>
      <c r="L32" s="886"/>
      <c r="M32" s="886"/>
      <c r="N32" s="887"/>
      <c r="O32" s="1932"/>
      <c r="P32" s="886"/>
      <c r="Q32" s="886"/>
      <c r="R32" s="886"/>
      <c r="S32" s="886"/>
      <c r="T32" s="886"/>
      <c r="U32" s="886"/>
      <c r="V32" s="886"/>
      <c r="W32" s="886"/>
      <c r="X32" s="886"/>
      <c r="Y32" s="886"/>
      <c r="Z32" s="886"/>
      <c r="AA32" s="886"/>
      <c r="AB32" s="886"/>
      <c r="AC32" s="887"/>
      <c r="AF32"/>
    </row>
    <row r="33" spans="1:29" s="1427" customFormat="1">
      <c r="A33" s="1429"/>
      <c r="B33" s="4202" t="e">
        <f>'27. Customer numbers'!#REF!</f>
        <v>#REF!</v>
      </c>
      <c r="C33" s="4205" t="s">
        <v>262</v>
      </c>
      <c r="D33" s="4206"/>
      <c r="E33" s="1994"/>
      <c r="F33" s="1995"/>
      <c r="G33" s="1995"/>
      <c r="H33" s="1995"/>
      <c r="I33" s="1997"/>
      <c r="J33" s="1996"/>
      <c r="K33" s="1995"/>
      <c r="L33" s="1995"/>
      <c r="M33" s="1995"/>
      <c r="N33" s="1997"/>
      <c r="O33" s="1994"/>
      <c r="P33" s="1995"/>
      <c r="Q33" s="1995"/>
      <c r="R33" s="1995"/>
      <c r="S33" s="1995"/>
      <c r="T33" s="1995"/>
      <c r="U33" s="1995"/>
      <c r="V33" s="1995"/>
      <c r="W33" s="1995"/>
      <c r="X33" s="1995"/>
      <c r="Y33" s="1995"/>
      <c r="Z33" s="1995"/>
      <c r="AA33" s="1995"/>
      <c r="AB33" s="1995"/>
      <c r="AC33" s="1997"/>
    </row>
    <row r="34" spans="1:29" s="1427" customFormat="1">
      <c r="A34" s="1429"/>
      <c r="B34" s="4203"/>
      <c r="C34" s="1026" t="s">
        <v>297</v>
      </c>
      <c r="D34" s="884" t="s">
        <v>296</v>
      </c>
      <c r="E34" s="823"/>
      <c r="F34" s="780"/>
      <c r="G34" s="780"/>
      <c r="H34" s="780"/>
      <c r="I34" s="884"/>
      <c r="J34" s="880"/>
      <c r="K34" s="780"/>
      <c r="L34" s="780"/>
      <c r="M34" s="780"/>
      <c r="N34" s="884"/>
      <c r="O34" s="823"/>
      <c r="P34" s="780"/>
      <c r="Q34" s="780"/>
      <c r="R34" s="780"/>
      <c r="S34" s="780"/>
      <c r="T34" s="780"/>
      <c r="U34" s="780"/>
      <c r="V34" s="780"/>
      <c r="W34" s="780"/>
      <c r="X34" s="780"/>
      <c r="Y34" s="780"/>
      <c r="Z34" s="780"/>
      <c r="AA34" s="780"/>
      <c r="AB34" s="780"/>
      <c r="AC34" s="884"/>
    </row>
    <row r="35" spans="1:29" s="1427" customFormat="1">
      <c r="A35" s="1429"/>
      <c r="B35" s="4203"/>
      <c r="C35" s="1026" t="s">
        <v>297</v>
      </c>
      <c r="D35" s="884" t="s">
        <v>296</v>
      </c>
      <c r="E35" s="823"/>
      <c r="F35" s="780"/>
      <c r="G35" s="780"/>
      <c r="H35" s="780"/>
      <c r="I35" s="884"/>
      <c r="J35" s="880"/>
      <c r="K35" s="780"/>
      <c r="L35" s="780"/>
      <c r="M35" s="780"/>
      <c r="N35" s="884"/>
      <c r="O35" s="823"/>
      <c r="P35" s="780"/>
      <c r="Q35" s="780"/>
      <c r="R35" s="780"/>
      <c r="S35" s="780"/>
      <c r="T35" s="780"/>
      <c r="U35" s="780"/>
      <c r="V35" s="780"/>
      <c r="W35" s="780"/>
      <c r="X35" s="780"/>
      <c r="Y35" s="780"/>
      <c r="Z35" s="780"/>
      <c r="AA35" s="780"/>
      <c r="AB35" s="780"/>
      <c r="AC35" s="884"/>
    </row>
    <row r="36" spans="1:29" s="1427" customFormat="1">
      <c r="A36" s="1429"/>
      <c r="B36" s="4203"/>
      <c r="C36" s="1026" t="s">
        <v>297</v>
      </c>
      <c r="D36" s="884" t="s">
        <v>296</v>
      </c>
      <c r="E36" s="823"/>
      <c r="F36" s="780"/>
      <c r="G36" s="780"/>
      <c r="H36" s="780"/>
      <c r="I36" s="884"/>
      <c r="J36" s="880"/>
      <c r="K36" s="780"/>
      <c r="L36" s="780"/>
      <c r="M36" s="780"/>
      <c r="N36" s="884"/>
      <c r="O36" s="823"/>
      <c r="P36" s="780"/>
      <c r="Q36" s="780"/>
      <c r="R36" s="780"/>
      <c r="S36" s="780"/>
      <c r="T36" s="780"/>
      <c r="U36" s="780"/>
      <c r="V36" s="780"/>
      <c r="W36" s="780"/>
      <c r="X36" s="780"/>
      <c r="Y36" s="780"/>
      <c r="Z36" s="780"/>
      <c r="AA36" s="780"/>
      <c r="AB36" s="780"/>
      <c r="AC36" s="884"/>
    </row>
    <row r="37" spans="1:29" s="1427" customFormat="1">
      <c r="A37" s="1429"/>
      <c r="B37" s="4203"/>
      <c r="C37" s="1026" t="s">
        <v>297</v>
      </c>
      <c r="D37" s="884" t="s">
        <v>296</v>
      </c>
      <c r="E37" s="823"/>
      <c r="F37" s="780"/>
      <c r="G37" s="780"/>
      <c r="H37" s="780"/>
      <c r="I37" s="884"/>
      <c r="J37" s="880"/>
      <c r="K37" s="780"/>
      <c r="L37" s="780"/>
      <c r="M37" s="780"/>
      <c r="N37" s="884"/>
      <c r="O37" s="823"/>
      <c r="P37" s="780"/>
      <c r="Q37" s="780"/>
      <c r="R37" s="780"/>
      <c r="S37" s="780"/>
      <c r="T37" s="780"/>
      <c r="U37" s="780"/>
      <c r="V37" s="780"/>
      <c r="W37" s="780"/>
      <c r="X37" s="780"/>
      <c r="Y37" s="780"/>
      <c r="Z37" s="780"/>
      <c r="AA37" s="780"/>
      <c r="AB37" s="780"/>
      <c r="AC37" s="884"/>
    </row>
    <row r="38" spans="1:29" s="1427" customFormat="1">
      <c r="A38" s="1429"/>
      <c r="B38" s="4203"/>
      <c r="C38" s="1026" t="s">
        <v>297</v>
      </c>
      <c r="D38" s="884" t="s">
        <v>296</v>
      </c>
      <c r="E38" s="823"/>
      <c r="F38" s="780"/>
      <c r="G38" s="780"/>
      <c r="H38" s="780"/>
      <c r="I38" s="884"/>
      <c r="J38" s="880"/>
      <c r="K38" s="780"/>
      <c r="L38" s="780"/>
      <c r="M38" s="780"/>
      <c r="N38" s="884"/>
      <c r="O38" s="823"/>
      <c r="P38" s="780"/>
      <c r="Q38" s="780"/>
      <c r="R38" s="780"/>
      <c r="S38" s="780"/>
      <c r="T38" s="780"/>
      <c r="U38" s="780"/>
      <c r="V38" s="780"/>
      <c r="W38" s="780"/>
      <c r="X38" s="780"/>
      <c r="Y38" s="780"/>
      <c r="Z38" s="780"/>
      <c r="AA38" s="780"/>
      <c r="AB38" s="780"/>
      <c r="AC38" s="884"/>
    </row>
    <row r="39" spans="1:29" s="1427" customFormat="1" ht="13.5" thickBot="1">
      <c r="A39" s="1429"/>
      <c r="B39" s="4204"/>
      <c r="C39" s="1993" t="s">
        <v>297</v>
      </c>
      <c r="D39" s="887" t="s">
        <v>296</v>
      </c>
      <c r="E39" s="1932"/>
      <c r="F39" s="886"/>
      <c r="G39" s="886"/>
      <c r="H39" s="886"/>
      <c r="I39" s="887"/>
      <c r="J39" s="889"/>
      <c r="K39" s="886"/>
      <c r="L39" s="886"/>
      <c r="M39" s="886"/>
      <c r="N39" s="887"/>
      <c r="O39" s="1932"/>
      <c r="P39" s="886"/>
      <c r="Q39" s="886"/>
      <c r="R39" s="886"/>
      <c r="S39" s="886"/>
      <c r="T39" s="886"/>
      <c r="U39" s="886"/>
      <c r="V39" s="886"/>
      <c r="W39" s="886"/>
      <c r="X39" s="886"/>
      <c r="Y39" s="886"/>
      <c r="Z39" s="886"/>
      <c r="AA39" s="886"/>
      <c r="AB39" s="886"/>
      <c r="AC39" s="887"/>
    </row>
    <row r="40" spans="1:29" s="1427" customFormat="1">
      <c r="A40" s="1429"/>
      <c r="B40" s="4202" t="e">
        <f>'27. Customer numbers'!#REF!</f>
        <v>#REF!</v>
      </c>
      <c r="C40" s="4205" t="s">
        <v>262</v>
      </c>
      <c r="D40" s="4206"/>
      <c r="E40" s="1994"/>
      <c r="F40" s="1995"/>
      <c r="G40" s="1995"/>
      <c r="H40" s="1995"/>
      <c r="I40" s="1997"/>
      <c r="J40" s="1996"/>
      <c r="K40" s="1995"/>
      <c r="L40" s="1995"/>
      <c r="M40" s="1995"/>
      <c r="N40" s="1997"/>
      <c r="O40" s="1994"/>
      <c r="P40" s="1995"/>
      <c r="Q40" s="1995"/>
      <c r="R40" s="1995"/>
      <c r="S40" s="1995"/>
      <c r="T40" s="1995"/>
      <c r="U40" s="1995"/>
      <c r="V40" s="1995"/>
      <c r="W40" s="1995"/>
      <c r="X40" s="1995"/>
      <c r="Y40" s="1995"/>
      <c r="Z40" s="1995"/>
      <c r="AA40" s="1995"/>
      <c r="AB40" s="1995"/>
      <c r="AC40" s="1997"/>
    </row>
    <row r="41" spans="1:29" s="1427" customFormat="1">
      <c r="A41" s="1429"/>
      <c r="B41" s="4203"/>
      <c r="C41" s="1026" t="s">
        <v>297</v>
      </c>
      <c r="D41" s="884" t="s">
        <v>296</v>
      </c>
      <c r="E41" s="823"/>
      <c r="F41" s="780"/>
      <c r="G41" s="780"/>
      <c r="H41" s="780"/>
      <c r="I41" s="884"/>
      <c r="J41" s="880"/>
      <c r="K41" s="780"/>
      <c r="L41" s="780"/>
      <c r="M41" s="780"/>
      <c r="N41" s="884"/>
      <c r="O41" s="823"/>
      <c r="P41" s="780"/>
      <c r="Q41" s="780"/>
      <c r="R41" s="780"/>
      <c r="S41" s="780"/>
      <c r="T41" s="780"/>
      <c r="U41" s="780"/>
      <c r="V41" s="780"/>
      <c r="W41" s="780"/>
      <c r="X41" s="780"/>
      <c r="Y41" s="780"/>
      <c r="Z41" s="780"/>
      <c r="AA41" s="780"/>
      <c r="AB41" s="780"/>
      <c r="AC41" s="884"/>
    </row>
    <row r="42" spans="1:29" s="1427" customFormat="1">
      <c r="A42" s="1429"/>
      <c r="B42" s="4203"/>
      <c r="C42" s="1026" t="s">
        <v>297</v>
      </c>
      <c r="D42" s="884" t="s">
        <v>296</v>
      </c>
      <c r="E42" s="823"/>
      <c r="F42" s="780"/>
      <c r="G42" s="780"/>
      <c r="H42" s="780"/>
      <c r="I42" s="884"/>
      <c r="J42" s="880"/>
      <c r="K42" s="780"/>
      <c r="L42" s="780"/>
      <c r="M42" s="780"/>
      <c r="N42" s="884"/>
      <c r="O42" s="823"/>
      <c r="P42" s="780"/>
      <c r="Q42" s="780"/>
      <c r="R42" s="780"/>
      <c r="S42" s="780"/>
      <c r="T42" s="780"/>
      <c r="U42" s="780"/>
      <c r="V42" s="780"/>
      <c r="W42" s="780"/>
      <c r="X42" s="780"/>
      <c r="Y42" s="780"/>
      <c r="Z42" s="780"/>
      <c r="AA42" s="780"/>
      <c r="AB42" s="780"/>
      <c r="AC42" s="884"/>
    </row>
    <row r="43" spans="1:29" s="1427" customFormat="1">
      <c r="A43" s="1429"/>
      <c r="B43" s="4203"/>
      <c r="C43" s="1026" t="s">
        <v>297</v>
      </c>
      <c r="D43" s="884" t="s">
        <v>296</v>
      </c>
      <c r="E43" s="823"/>
      <c r="F43" s="780"/>
      <c r="G43" s="780"/>
      <c r="H43" s="780"/>
      <c r="I43" s="884"/>
      <c r="J43" s="880"/>
      <c r="K43" s="780"/>
      <c r="L43" s="780"/>
      <c r="M43" s="780"/>
      <c r="N43" s="884"/>
      <c r="O43" s="823"/>
      <c r="P43" s="780"/>
      <c r="Q43" s="780"/>
      <c r="R43" s="780"/>
      <c r="S43" s="780"/>
      <c r="T43" s="780"/>
      <c r="U43" s="780"/>
      <c r="V43" s="780"/>
      <c r="W43" s="780"/>
      <c r="X43" s="780"/>
      <c r="Y43" s="780"/>
      <c r="Z43" s="780"/>
      <c r="AA43" s="780"/>
      <c r="AB43" s="780"/>
      <c r="AC43" s="884"/>
    </row>
    <row r="44" spans="1:29" s="1427" customFormat="1">
      <c r="A44" s="1429"/>
      <c r="B44" s="4203"/>
      <c r="C44" s="1026" t="s">
        <v>297</v>
      </c>
      <c r="D44" s="884" t="s">
        <v>296</v>
      </c>
      <c r="E44" s="823"/>
      <c r="F44" s="780"/>
      <c r="G44" s="780"/>
      <c r="H44" s="780"/>
      <c r="I44" s="884"/>
      <c r="J44" s="880"/>
      <c r="K44" s="780"/>
      <c r="L44" s="780"/>
      <c r="M44" s="780"/>
      <c r="N44" s="884"/>
      <c r="O44" s="823"/>
      <c r="P44" s="780"/>
      <c r="Q44" s="780"/>
      <c r="R44" s="780"/>
      <c r="S44" s="780"/>
      <c r="T44" s="780"/>
      <c r="U44" s="780"/>
      <c r="V44" s="780"/>
      <c r="W44" s="780"/>
      <c r="X44" s="780"/>
      <c r="Y44" s="780"/>
      <c r="Z44" s="780"/>
      <c r="AA44" s="780"/>
      <c r="AB44" s="780"/>
      <c r="AC44" s="884"/>
    </row>
    <row r="45" spans="1:29" s="1427" customFormat="1">
      <c r="A45" s="1429"/>
      <c r="B45" s="4203"/>
      <c r="C45" s="1026" t="s">
        <v>297</v>
      </c>
      <c r="D45" s="884" t="s">
        <v>296</v>
      </c>
      <c r="E45" s="823"/>
      <c r="F45" s="780"/>
      <c r="G45" s="780"/>
      <c r="H45" s="780"/>
      <c r="I45" s="884"/>
      <c r="J45" s="880"/>
      <c r="K45" s="780"/>
      <c r="L45" s="780"/>
      <c r="M45" s="780"/>
      <c r="N45" s="884"/>
      <c r="O45" s="823"/>
      <c r="P45" s="780"/>
      <c r="Q45" s="780"/>
      <c r="R45" s="780"/>
      <c r="S45" s="780"/>
      <c r="T45" s="780"/>
      <c r="U45" s="780"/>
      <c r="V45" s="780"/>
      <c r="W45" s="780"/>
      <c r="X45" s="780"/>
      <c r="Y45" s="780"/>
      <c r="Z45" s="780"/>
      <c r="AA45" s="780"/>
      <c r="AB45" s="780"/>
      <c r="AC45" s="884"/>
    </row>
    <row r="46" spans="1:29" s="1427" customFormat="1" ht="13.5" thickBot="1">
      <c r="A46" s="1429"/>
      <c r="B46" s="4204"/>
      <c r="C46" s="1993" t="s">
        <v>297</v>
      </c>
      <c r="D46" s="887" t="s">
        <v>296</v>
      </c>
      <c r="E46" s="1932"/>
      <c r="F46" s="886"/>
      <c r="G46" s="886"/>
      <c r="H46" s="886"/>
      <c r="I46" s="887"/>
      <c r="J46" s="889"/>
      <c r="K46" s="886"/>
      <c r="L46" s="886"/>
      <c r="M46" s="886"/>
      <c r="N46" s="887"/>
      <c r="O46" s="1932"/>
      <c r="P46" s="886"/>
      <c r="Q46" s="886"/>
      <c r="R46" s="886"/>
      <c r="S46" s="886"/>
      <c r="T46" s="886"/>
      <c r="U46" s="886"/>
      <c r="V46" s="886"/>
      <c r="W46" s="886"/>
      <c r="X46" s="886"/>
      <c r="Y46" s="886"/>
      <c r="Z46" s="886"/>
      <c r="AA46" s="886"/>
      <c r="AB46" s="886"/>
      <c r="AC46" s="887"/>
    </row>
    <row r="47" spans="1:29" s="1427" customFormat="1">
      <c r="A47" s="1429"/>
      <c r="B47" s="4202" t="e">
        <f>'27. Customer numbers'!#REF!</f>
        <v>#REF!</v>
      </c>
      <c r="C47" s="4205" t="s">
        <v>262</v>
      </c>
      <c r="D47" s="4206"/>
      <c r="E47" s="1994"/>
      <c r="F47" s="1995"/>
      <c r="G47" s="1995"/>
      <c r="H47" s="1995"/>
      <c r="I47" s="1997"/>
      <c r="J47" s="1996"/>
      <c r="K47" s="1995"/>
      <c r="L47" s="1995"/>
      <c r="M47" s="1995"/>
      <c r="N47" s="1997"/>
      <c r="O47" s="1994"/>
      <c r="P47" s="1995"/>
      <c r="Q47" s="1995"/>
      <c r="R47" s="1995"/>
      <c r="S47" s="1995"/>
      <c r="T47" s="1995"/>
      <c r="U47" s="1995"/>
      <c r="V47" s="1995"/>
      <c r="W47" s="1995"/>
      <c r="X47" s="1995"/>
      <c r="Y47" s="1995"/>
      <c r="Z47" s="1995"/>
      <c r="AA47" s="1995"/>
      <c r="AB47" s="1995"/>
      <c r="AC47" s="1997"/>
    </row>
    <row r="48" spans="1:29" s="1427" customFormat="1">
      <c r="A48" s="1429"/>
      <c r="B48" s="4203"/>
      <c r="C48" s="1026" t="s">
        <v>297</v>
      </c>
      <c r="D48" s="884" t="s">
        <v>296</v>
      </c>
      <c r="E48" s="823"/>
      <c r="F48" s="780"/>
      <c r="G48" s="780"/>
      <c r="H48" s="780"/>
      <c r="I48" s="884"/>
      <c r="J48" s="880"/>
      <c r="K48" s="780"/>
      <c r="L48" s="780"/>
      <c r="M48" s="780"/>
      <c r="N48" s="884"/>
      <c r="O48" s="823"/>
      <c r="P48" s="780"/>
      <c r="Q48" s="780"/>
      <c r="R48" s="780"/>
      <c r="S48" s="780"/>
      <c r="T48" s="780"/>
      <c r="U48" s="780"/>
      <c r="V48" s="780"/>
      <c r="W48" s="780"/>
      <c r="X48" s="780"/>
      <c r="Y48" s="780"/>
      <c r="Z48" s="780"/>
      <c r="AA48" s="780"/>
      <c r="AB48" s="780"/>
      <c r="AC48" s="884"/>
    </row>
    <row r="49" spans="1:135" s="1427" customFormat="1">
      <c r="A49" s="1429"/>
      <c r="B49" s="4203"/>
      <c r="C49" s="1026" t="s">
        <v>297</v>
      </c>
      <c r="D49" s="884" t="s">
        <v>296</v>
      </c>
      <c r="E49" s="823"/>
      <c r="F49" s="780"/>
      <c r="G49" s="780"/>
      <c r="H49" s="780"/>
      <c r="I49" s="884"/>
      <c r="J49" s="880"/>
      <c r="K49" s="780"/>
      <c r="L49" s="780"/>
      <c r="M49" s="780"/>
      <c r="N49" s="884"/>
      <c r="O49" s="823"/>
      <c r="P49" s="780"/>
      <c r="Q49" s="780"/>
      <c r="R49" s="780"/>
      <c r="S49" s="780"/>
      <c r="T49" s="780"/>
      <c r="U49" s="780"/>
      <c r="V49" s="780"/>
      <c r="W49" s="780"/>
      <c r="X49" s="780"/>
      <c r="Y49" s="780"/>
      <c r="Z49" s="780"/>
      <c r="AA49" s="780"/>
      <c r="AB49" s="780"/>
      <c r="AC49" s="884"/>
    </row>
    <row r="50" spans="1:135" s="1427" customFormat="1">
      <c r="A50" s="1429"/>
      <c r="B50" s="4203"/>
      <c r="C50" s="1026" t="s">
        <v>297</v>
      </c>
      <c r="D50" s="884" t="s">
        <v>296</v>
      </c>
      <c r="E50" s="823"/>
      <c r="F50" s="780"/>
      <c r="G50" s="780"/>
      <c r="H50" s="780"/>
      <c r="I50" s="884"/>
      <c r="J50" s="880"/>
      <c r="K50" s="780"/>
      <c r="L50" s="780"/>
      <c r="M50" s="780"/>
      <c r="N50" s="884"/>
      <c r="O50" s="823"/>
      <c r="P50" s="780"/>
      <c r="Q50" s="780"/>
      <c r="R50" s="780"/>
      <c r="S50" s="780"/>
      <c r="T50" s="780"/>
      <c r="U50" s="780"/>
      <c r="V50" s="780"/>
      <c r="W50" s="780"/>
      <c r="X50" s="780"/>
      <c r="Y50" s="780"/>
      <c r="Z50" s="780"/>
      <c r="AA50" s="780"/>
      <c r="AB50" s="780"/>
      <c r="AC50" s="884"/>
    </row>
    <row r="51" spans="1:135" s="1427" customFormat="1">
      <c r="A51" s="1429"/>
      <c r="B51" s="4203"/>
      <c r="C51" s="1026" t="s">
        <v>297</v>
      </c>
      <c r="D51" s="884" t="s">
        <v>296</v>
      </c>
      <c r="E51" s="823"/>
      <c r="F51" s="780"/>
      <c r="G51" s="780"/>
      <c r="H51" s="780"/>
      <c r="I51" s="884"/>
      <c r="J51" s="880"/>
      <c r="K51" s="780"/>
      <c r="L51" s="780"/>
      <c r="M51" s="780"/>
      <c r="N51" s="884"/>
      <c r="O51" s="823"/>
      <c r="P51" s="780"/>
      <c r="Q51" s="780"/>
      <c r="R51" s="780"/>
      <c r="S51" s="780"/>
      <c r="T51" s="780"/>
      <c r="U51" s="780"/>
      <c r="V51" s="780"/>
      <c r="W51" s="780"/>
      <c r="X51" s="780"/>
      <c r="Y51" s="780"/>
      <c r="Z51" s="780"/>
      <c r="AA51" s="780"/>
      <c r="AB51" s="780"/>
      <c r="AC51" s="884"/>
    </row>
    <row r="52" spans="1:135" s="1427" customFormat="1">
      <c r="A52" s="1429"/>
      <c r="B52" s="4203"/>
      <c r="C52" s="1026" t="s">
        <v>297</v>
      </c>
      <c r="D52" s="884" t="s">
        <v>296</v>
      </c>
      <c r="E52" s="823"/>
      <c r="F52" s="780"/>
      <c r="G52" s="780"/>
      <c r="H52" s="780"/>
      <c r="I52" s="884"/>
      <c r="J52" s="880"/>
      <c r="K52" s="780"/>
      <c r="L52" s="780"/>
      <c r="M52" s="780"/>
      <c r="N52" s="884"/>
      <c r="O52" s="823"/>
      <c r="P52" s="780"/>
      <c r="Q52" s="780"/>
      <c r="R52" s="780"/>
      <c r="S52" s="780"/>
      <c r="T52" s="780"/>
      <c r="U52" s="780"/>
      <c r="V52" s="780"/>
      <c r="W52" s="780"/>
      <c r="X52" s="780"/>
      <c r="Y52" s="780"/>
      <c r="Z52" s="780"/>
      <c r="AA52" s="780"/>
      <c r="AB52" s="780"/>
      <c r="AC52" s="884"/>
    </row>
    <row r="53" spans="1:135" s="1427" customFormat="1" ht="13.5" thickBot="1">
      <c r="A53" s="1429"/>
      <c r="B53" s="4204"/>
      <c r="C53" s="1993" t="s">
        <v>297</v>
      </c>
      <c r="D53" s="887" t="s">
        <v>296</v>
      </c>
      <c r="E53" s="1932"/>
      <c r="F53" s="886"/>
      <c r="G53" s="886"/>
      <c r="H53" s="886"/>
      <c r="I53" s="887"/>
      <c r="J53" s="889"/>
      <c r="K53" s="886"/>
      <c r="L53" s="886"/>
      <c r="M53" s="886"/>
      <c r="N53" s="887"/>
      <c r="O53" s="1932"/>
      <c r="P53" s="886"/>
      <c r="Q53" s="886"/>
      <c r="R53" s="886"/>
      <c r="S53" s="886"/>
      <c r="T53" s="886"/>
      <c r="U53" s="886"/>
      <c r="V53" s="886"/>
      <c r="W53" s="886"/>
      <c r="X53" s="886"/>
      <c r="Y53" s="886"/>
      <c r="Z53" s="886"/>
      <c r="AA53" s="886"/>
      <c r="AB53" s="886"/>
      <c r="AC53" s="887"/>
    </row>
    <row r="54" spans="1:135" customFormat="1" ht="13.5" thickBot="1">
      <c r="C54" s="1427"/>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row>
    <row r="55" spans="1:135" s="94" customFormat="1" ht="18.75" customHeight="1" thickBot="1">
      <c r="A55" s="308"/>
      <c r="B55" s="923" t="s">
        <v>572</v>
      </c>
      <c r="C55" s="924"/>
      <c r="D55" s="924"/>
      <c r="E55" s="1163"/>
      <c r="F55" s="1163"/>
      <c r="G55" s="1163"/>
      <c r="H55" s="1163"/>
      <c r="I55" s="1163"/>
      <c r="J55" s="1163"/>
      <c r="K55" s="1163"/>
      <c r="L55" s="1163"/>
      <c r="M55" s="1163"/>
      <c r="N55" s="1163"/>
      <c r="O55" s="1163"/>
      <c r="P55" s="1163"/>
      <c r="Q55" s="1163"/>
      <c r="R55" s="1163"/>
      <c r="S55" s="1163"/>
      <c r="T55" s="1163"/>
      <c r="U55" s="1163"/>
      <c r="V55" s="1163"/>
      <c r="W55" s="1163"/>
      <c r="X55" s="1163"/>
      <c r="Y55" s="1163"/>
      <c r="Z55" s="1163"/>
      <c r="AA55" s="1163"/>
      <c r="AB55" s="1163"/>
      <c r="AC55" s="1992"/>
      <c r="AD55"/>
      <c r="AE55"/>
      <c r="AF55"/>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row>
    <row r="56" spans="1:135" s="1427" customFormat="1">
      <c r="A56" s="1429"/>
      <c r="B56" s="4202" t="e">
        <f>'27. Customer numbers'!#REF!</f>
        <v>#REF!</v>
      </c>
      <c r="C56" s="4205" t="s">
        <v>262</v>
      </c>
      <c r="D56" s="4206"/>
      <c r="E56" s="1994"/>
      <c r="F56" s="1995"/>
      <c r="G56" s="1995"/>
      <c r="H56" s="1995"/>
      <c r="I56" s="1997"/>
      <c r="J56" s="1996"/>
      <c r="K56" s="1995"/>
      <c r="L56" s="1995"/>
      <c r="M56" s="1995"/>
      <c r="N56" s="1997"/>
      <c r="O56" s="1994"/>
      <c r="P56" s="1995"/>
      <c r="Q56" s="1995"/>
      <c r="R56" s="1995"/>
      <c r="S56" s="1995"/>
      <c r="T56" s="1995"/>
      <c r="U56" s="1995"/>
      <c r="V56" s="1995"/>
      <c r="W56" s="1995"/>
      <c r="X56" s="1995"/>
      <c r="Y56" s="1995"/>
      <c r="Z56" s="1995"/>
      <c r="AA56" s="1995"/>
      <c r="AB56" s="1995"/>
      <c r="AC56" s="1997"/>
    </row>
    <row r="57" spans="1:135" s="1427" customFormat="1">
      <c r="A57" s="1429"/>
      <c r="B57" s="4203"/>
      <c r="C57" s="1026" t="s">
        <v>297</v>
      </c>
      <c r="D57" s="884" t="s">
        <v>296</v>
      </c>
      <c r="E57" s="823"/>
      <c r="F57" s="780"/>
      <c r="G57" s="780"/>
      <c r="H57" s="780"/>
      <c r="I57" s="884"/>
      <c r="J57" s="880"/>
      <c r="K57" s="780"/>
      <c r="L57" s="780"/>
      <c r="M57" s="780"/>
      <c r="N57" s="884"/>
      <c r="O57" s="823"/>
      <c r="P57" s="780"/>
      <c r="Q57" s="780"/>
      <c r="R57" s="780"/>
      <c r="S57" s="780"/>
      <c r="T57" s="780"/>
      <c r="U57" s="780"/>
      <c r="V57" s="780"/>
      <c r="W57" s="780"/>
      <c r="X57" s="780"/>
      <c r="Y57" s="780"/>
      <c r="Z57" s="780"/>
      <c r="AA57" s="780"/>
      <c r="AB57" s="780"/>
      <c r="AC57" s="884"/>
    </row>
    <row r="58" spans="1:135" s="1427" customFormat="1">
      <c r="A58" s="1429"/>
      <c r="B58" s="4203"/>
      <c r="C58" s="1026" t="s">
        <v>297</v>
      </c>
      <c r="D58" s="884" t="s">
        <v>296</v>
      </c>
      <c r="E58" s="823"/>
      <c r="F58" s="780"/>
      <c r="G58" s="780"/>
      <c r="H58" s="780"/>
      <c r="I58" s="884"/>
      <c r="J58" s="880"/>
      <c r="K58" s="780"/>
      <c r="L58" s="780"/>
      <c r="M58" s="780"/>
      <c r="N58" s="884"/>
      <c r="O58" s="823"/>
      <c r="P58" s="780"/>
      <c r="Q58" s="780"/>
      <c r="R58" s="780"/>
      <c r="S58" s="780"/>
      <c r="T58" s="780"/>
      <c r="U58" s="780"/>
      <c r="V58" s="780"/>
      <c r="W58" s="780"/>
      <c r="X58" s="780"/>
      <c r="Y58" s="780"/>
      <c r="Z58" s="780"/>
      <c r="AA58" s="780"/>
      <c r="AB58" s="780"/>
      <c r="AC58" s="884"/>
    </row>
    <row r="59" spans="1:135" s="1427" customFormat="1">
      <c r="A59" s="1429"/>
      <c r="B59" s="4203"/>
      <c r="C59" s="1026" t="s">
        <v>297</v>
      </c>
      <c r="D59" s="884" t="s">
        <v>296</v>
      </c>
      <c r="E59" s="823"/>
      <c r="F59" s="780"/>
      <c r="G59" s="780"/>
      <c r="H59" s="780"/>
      <c r="I59" s="884"/>
      <c r="J59" s="880"/>
      <c r="K59" s="780"/>
      <c r="L59" s="780"/>
      <c r="M59" s="780"/>
      <c r="N59" s="884"/>
      <c r="O59" s="823"/>
      <c r="P59" s="780"/>
      <c r="Q59" s="780"/>
      <c r="R59" s="780"/>
      <c r="S59" s="780"/>
      <c r="T59" s="780"/>
      <c r="U59" s="780"/>
      <c r="V59" s="780"/>
      <c r="W59" s="780"/>
      <c r="X59" s="780"/>
      <c r="Y59" s="780"/>
      <c r="Z59" s="780"/>
      <c r="AA59" s="780"/>
      <c r="AB59" s="780"/>
      <c r="AC59" s="884"/>
    </row>
    <row r="60" spans="1:135" s="1427" customFormat="1">
      <c r="A60" s="1429"/>
      <c r="B60" s="4203"/>
      <c r="C60" s="1026" t="s">
        <v>297</v>
      </c>
      <c r="D60" s="884" t="s">
        <v>296</v>
      </c>
      <c r="E60" s="823"/>
      <c r="F60" s="780"/>
      <c r="G60" s="780"/>
      <c r="H60" s="780"/>
      <c r="I60" s="884"/>
      <c r="J60" s="880"/>
      <c r="K60" s="780"/>
      <c r="L60" s="780"/>
      <c r="M60" s="780"/>
      <c r="N60" s="884"/>
      <c r="O60" s="823"/>
      <c r="P60" s="780"/>
      <c r="Q60" s="780"/>
      <c r="R60" s="780"/>
      <c r="S60" s="780"/>
      <c r="T60" s="780"/>
      <c r="U60" s="780"/>
      <c r="V60" s="780"/>
      <c r="W60" s="780"/>
      <c r="X60" s="780"/>
      <c r="Y60" s="780"/>
      <c r="Z60" s="780"/>
      <c r="AA60" s="780"/>
      <c r="AB60" s="780"/>
      <c r="AC60" s="884"/>
    </row>
    <row r="61" spans="1:135" s="1427" customFormat="1">
      <c r="A61" s="1429"/>
      <c r="B61" s="4203"/>
      <c r="C61" s="1026" t="s">
        <v>297</v>
      </c>
      <c r="D61" s="884" t="s">
        <v>296</v>
      </c>
      <c r="E61" s="823"/>
      <c r="F61" s="780"/>
      <c r="G61" s="780"/>
      <c r="H61" s="780"/>
      <c r="I61" s="884"/>
      <c r="J61" s="880"/>
      <c r="K61" s="780"/>
      <c r="L61" s="780"/>
      <c r="M61" s="780"/>
      <c r="N61" s="884"/>
      <c r="O61" s="823"/>
      <c r="P61" s="780"/>
      <c r="Q61" s="780"/>
      <c r="R61" s="780"/>
      <c r="S61" s="780"/>
      <c r="T61" s="780"/>
      <c r="U61" s="780"/>
      <c r="V61" s="780"/>
      <c r="W61" s="780"/>
      <c r="X61" s="780"/>
      <c r="Y61" s="780"/>
      <c r="Z61" s="780"/>
      <c r="AA61" s="780"/>
      <c r="AB61" s="780"/>
      <c r="AC61" s="884"/>
    </row>
    <row r="62" spans="1:135" s="1427" customFormat="1" ht="13.5" thickBot="1">
      <c r="A62" s="1429"/>
      <c r="B62" s="4204"/>
      <c r="C62" s="1993" t="s">
        <v>297</v>
      </c>
      <c r="D62" s="887" t="s">
        <v>296</v>
      </c>
      <c r="E62" s="1932"/>
      <c r="F62" s="886"/>
      <c r="G62" s="886"/>
      <c r="H62" s="886"/>
      <c r="I62" s="887"/>
      <c r="J62" s="889"/>
      <c r="K62" s="886"/>
      <c r="L62" s="886"/>
      <c r="M62" s="886"/>
      <c r="N62" s="887"/>
      <c r="O62" s="1932"/>
      <c r="P62" s="886"/>
      <c r="Q62" s="886"/>
      <c r="R62" s="886"/>
      <c r="S62" s="886"/>
      <c r="T62" s="886"/>
      <c r="U62" s="886"/>
      <c r="V62" s="886"/>
      <c r="W62" s="886"/>
      <c r="X62" s="886"/>
      <c r="Y62" s="886"/>
      <c r="Z62" s="886"/>
      <c r="AA62" s="886"/>
      <c r="AB62" s="886"/>
      <c r="AC62" s="887"/>
    </row>
    <row r="63" spans="1:135" s="1427" customFormat="1">
      <c r="A63" s="1429"/>
      <c r="B63" s="4203" t="e">
        <f>'27. Customer numbers'!#REF!</f>
        <v>#REF!</v>
      </c>
      <c r="C63" s="4205" t="s">
        <v>262</v>
      </c>
      <c r="D63" s="4206"/>
      <c r="E63" s="1994"/>
      <c r="F63" s="1995"/>
      <c r="G63" s="1995"/>
      <c r="H63" s="1995"/>
      <c r="I63" s="1997"/>
      <c r="J63" s="1996"/>
      <c r="K63" s="1995"/>
      <c r="L63" s="1995"/>
      <c r="M63" s="1995"/>
      <c r="N63" s="1997"/>
      <c r="O63" s="1994"/>
      <c r="P63" s="1995"/>
      <c r="Q63" s="1995"/>
      <c r="R63" s="1995"/>
      <c r="S63" s="1995"/>
      <c r="T63" s="1995"/>
      <c r="U63" s="1995"/>
      <c r="V63" s="1995"/>
      <c r="W63" s="1995"/>
      <c r="X63" s="1995"/>
      <c r="Y63" s="1995"/>
      <c r="Z63" s="1995"/>
      <c r="AA63" s="1995"/>
      <c r="AB63" s="1995"/>
      <c r="AC63" s="1997"/>
    </row>
    <row r="64" spans="1:135" s="1427" customFormat="1">
      <c r="A64" s="1429"/>
      <c r="B64" s="4203"/>
      <c r="C64" s="1026" t="s">
        <v>297</v>
      </c>
      <c r="D64" s="884" t="s">
        <v>296</v>
      </c>
      <c r="E64" s="823"/>
      <c r="F64" s="780"/>
      <c r="G64" s="780"/>
      <c r="H64" s="780"/>
      <c r="I64" s="884"/>
      <c r="J64" s="880"/>
      <c r="K64" s="780"/>
      <c r="L64" s="780"/>
      <c r="M64" s="780"/>
      <c r="N64" s="884"/>
      <c r="O64" s="823"/>
      <c r="P64" s="780"/>
      <c r="Q64" s="780"/>
      <c r="R64" s="780"/>
      <c r="S64" s="780"/>
      <c r="T64" s="780"/>
      <c r="U64" s="780"/>
      <c r="V64" s="780"/>
      <c r="W64" s="780"/>
      <c r="X64" s="780"/>
      <c r="Y64" s="780"/>
      <c r="Z64" s="780"/>
      <c r="AA64" s="780"/>
      <c r="AB64" s="780"/>
      <c r="AC64" s="884"/>
    </row>
    <row r="65" spans="1:29" s="1427" customFormat="1">
      <c r="A65" s="1429"/>
      <c r="B65" s="4203"/>
      <c r="C65" s="1026" t="s">
        <v>297</v>
      </c>
      <c r="D65" s="884" t="s">
        <v>296</v>
      </c>
      <c r="E65" s="823"/>
      <c r="F65" s="780"/>
      <c r="G65" s="780"/>
      <c r="H65" s="780"/>
      <c r="I65" s="884"/>
      <c r="J65" s="880"/>
      <c r="K65" s="780"/>
      <c r="L65" s="780"/>
      <c r="M65" s="780"/>
      <c r="N65" s="884"/>
      <c r="O65" s="823"/>
      <c r="P65" s="780"/>
      <c r="Q65" s="780"/>
      <c r="R65" s="780"/>
      <c r="S65" s="780"/>
      <c r="T65" s="780"/>
      <c r="U65" s="780"/>
      <c r="V65" s="780"/>
      <c r="W65" s="780"/>
      <c r="X65" s="780"/>
      <c r="Y65" s="780"/>
      <c r="Z65" s="780"/>
      <c r="AA65" s="780"/>
      <c r="AB65" s="780"/>
      <c r="AC65" s="884"/>
    </row>
    <row r="66" spans="1:29" s="1427" customFormat="1">
      <c r="A66" s="1429"/>
      <c r="B66" s="4203"/>
      <c r="C66" s="1026" t="s">
        <v>297</v>
      </c>
      <c r="D66" s="884" t="s">
        <v>296</v>
      </c>
      <c r="E66" s="823"/>
      <c r="F66" s="780"/>
      <c r="G66" s="780"/>
      <c r="H66" s="780"/>
      <c r="I66" s="884"/>
      <c r="J66" s="880"/>
      <c r="K66" s="780"/>
      <c r="L66" s="780"/>
      <c r="M66" s="780"/>
      <c r="N66" s="884"/>
      <c r="O66" s="823"/>
      <c r="P66" s="780"/>
      <c r="Q66" s="780"/>
      <c r="R66" s="780"/>
      <c r="S66" s="780"/>
      <c r="T66" s="780"/>
      <c r="U66" s="780"/>
      <c r="V66" s="780"/>
      <c r="W66" s="780"/>
      <c r="X66" s="780"/>
      <c r="Y66" s="780"/>
      <c r="Z66" s="780"/>
      <c r="AA66" s="780"/>
      <c r="AB66" s="780"/>
      <c r="AC66" s="884"/>
    </row>
    <row r="67" spans="1:29" s="1427" customFormat="1">
      <c r="A67" s="1429"/>
      <c r="B67" s="4203"/>
      <c r="C67" s="1026" t="s">
        <v>297</v>
      </c>
      <c r="D67" s="884" t="s">
        <v>296</v>
      </c>
      <c r="E67" s="823"/>
      <c r="F67" s="780"/>
      <c r="G67" s="780"/>
      <c r="H67" s="780"/>
      <c r="I67" s="884"/>
      <c r="J67" s="880"/>
      <c r="K67" s="780"/>
      <c r="L67" s="780"/>
      <c r="M67" s="780"/>
      <c r="N67" s="884"/>
      <c r="O67" s="823"/>
      <c r="P67" s="780"/>
      <c r="Q67" s="780"/>
      <c r="R67" s="780"/>
      <c r="S67" s="780"/>
      <c r="T67" s="780"/>
      <c r="U67" s="780"/>
      <c r="V67" s="780"/>
      <c r="W67" s="780"/>
      <c r="X67" s="780"/>
      <c r="Y67" s="780"/>
      <c r="Z67" s="780"/>
      <c r="AA67" s="780"/>
      <c r="AB67" s="780"/>
      <c r="AC67" s="884"/>
    </row>
    <row r="68" spans="1:29" s="1427" customFormat="1">
      <c r="A68" s="1429"/>
      <c r="B68" s="4203"/>
      <c r="C68" s="1026" t="s">
        <v>297</v>
      </c>
      <c r="D68" s="884" t="s">
        <v>296</v>
      </c>
      <c r="E68" s="823"/>
      <c r="F68" s="780"/>
      <c r="G68" s="780"/>
      <c r="H68" s="780"/>
      <c r="I68" s="884"/>
      <c r="J68" s="880"/>
      <c r="K68" s="780"/>
      <c r="L68" s="780"/>
      <c r="M68" s="780"/>
      <c r="N68" s="884"/>
      <c r="O68" s="823"/>
      <c r="P68" s="780"/>
      <c r="Q68" s="780"/>
      <c r="R68" s="780"/>
      <c r="S68" s="780"/>
      <c r="T68" s="780"/>
      <c r="U68" s="780"/>
      <c r="V68" s="780"/>
      <c r="W68" s="780"/>
      <c r="X68" s="780"/>
      <c r="Y68" s="780"/>
      <c r="Z68" s="780"/>
      <c r="AA68" s="780"/>
      <c r="AB68" s="780"/>
      <c r="AC68" s="884"/>
    </row>
    <row r="69" spans="1:29" s="1427" customFormat="1" ht="13.5" thickBot="1">
      <c r="A69" s="1429"/>
      <c r="B69" s="4204"/>
      <c r="C69" s="1993" t="s">
        <v>297</v>
      </c>
      <c r="D69" s="887" t="s">
        <v>296</v>
      </c>
      <c r="E69" s="1932"/>
      <c r="F69" s="886"/>
      <c r="G69" s="886"/>
      <c r="H69" s="886"/>
      <c r="I69" s="887"/>
      <c r="J69" s="889"/>
      <c r="K69" s="886"/>
      <c r="L69" s="886"/>
      <c r="M69" s="886"/>
      <c r="N69" s="887"/>
      <c r="O69" s="1932"/>
      <c r="P69" s="886"/>
      <c r="Q69" s="886"/>
      <c r="R69" s="886"/>
      <c r="S69" s="886"/>
      <c r="T69" s="886"/>
      <c r="U69" s="886"/>
      <c r="V69" s="886"/>
      <c r="W69" s="886"/>
      <c r="X69" s="886"/>
      <c r="Y69" s="886"/>
      <c r="Z69" s="886"/>
      <c r="AA69" s="886"/>
      <c r="AB69" s="886"/>
      <c r="AC69" s="887"/>
    </row>
    <row r="70" spans="1:29" s="1427" customFormat="1">
      <c r="A70" s="1429"/>
      <c r="B70" s="4202" t="e">
        <f>'27. Customer numbers'!#REF!</f>
        <v>#REF!</v>
      </c>
      <c r="C70" s="4205" t="s">
        <v>262</v>
      </c>
      <c r="D70" s="4206"/>
      <c r="E70" s="1994"/>
      <c r="F70" s="1995"/>
      <c r="G70" s="1995"/>
      <c r="H70" s="1995"/>
      <c r="I70" s="1997"/>
      <c r="J70" s="1996"/>
      <c r="K70" s="1995"/>
      <c r="L70" s="1995"/>
      <c r="M70" s="1995"/>
      <c r="N70" s="1997"/>
      <c r="O70" s="1994"/>
      <c r="P70" s="1995"/>
      <c r="Q70" s="1995"/>
      <c r="R70" s="1995"/>
      <c r="S70" s="1995"/>
      <c r="T70" s="1995"/>
      <c r="U70" s="1995"/>
      <c r="V70" s="1995"/>
      <c r="W70" s="1995"/>
      <c r="X70" s="1995"/>
      <c r="Y70" s="1995"/>
      <c r="Z70" s="1995"/>
      <c r="AA70" s="1995"/>
      <c r="AB70" s="1995"/>
      <c r="AC70" s="1997"/>
    </row>
    <row r="71" spans="1:29" s="1427" customFormat="1">
      <c r="A71" s="1429"/>
      <c r="B71" s="4203"/>
      <c r="C71" s="1026" t="s">
        <v>297</v>
      </c>
      <c r="D71" s="884" t="s">
        <v>296</v>
      </c>
      <c r="E71" s="823"/>
      <c r="F71" s="780"/>
      <c r="G71" s="780"/>
      <c r="H71" s="780"/>
      <c r="I71" s="884"/>
      <c r="J71" s="880"/>
      <c r="K71" s="780"/>
      <c r="L71" s="780"/>
      <c r="M71" s="780"/>
      <c r="N71" s="884"/>
      <c r="O71" s="823"/>
      <c r="P71" s="780"/>
      <c r="Q71" s="780"/>
      <c r="R71" s="780"/>
      <c r="S71" s="780"/>
      <c r="T71" s="780"/>
      <c r="U71" s="780"/>
      <c r="V71" s="780"/>
      <c r="W71" s="780"/>
      <c r="X71" s="780"/>
      <c r="Y71" s="780"/>
      <c r="Z71" s="780"/>
      <c r="AA71" s="780"/>
      <c r="AB71" s="780"/>
      <c r="AC71" s="884"/>
    </row>
    <row r="72" spans="1:29" s="1427" customFormat="1">
      <c r="A72" s="1429"/>
      <c r="B72" s="4203"/>
      <c r="C72" s="1026" t="s">
        <v>297</v>
      </c>
      <c r="D72" s="884" t="s">
        <v>296</v>
      </c>
      <c r="E72" s="823"/>
      <c r="F72" s="780"/>
      <c r="G72" s="780"/>
      <c r="H72" s="780"/>
      <c r="I72" s="884"/>
      <c r="J72" s="880"/>
      <c r="K72" s="780"/>
      <c r="L72" s="780"/>
      <c r="M72" s="780"/>
      <c r="N72" s="884"/>
      <c r="O72" s="823"/>
      <c r="P72" s="780"/>
      <c r="Q72" s="780"/>
      <c r="R72" s="780"/>
      <c r="S72" s="780"/>
      <c r="T72" s="780"/>
      <c r="U72" s="780"/>
      <c r="V72" s="780"/>
      <c r="W72" s="780"/>
      <c r="X72" s="780"/>
      <c r="Y72" s="780"/>
      <c r="Z72" s="780"/>
      <c r="AA72" s="780"/>
      <c r="AB72" s="780"/>
      <c r="AC72" s="884"/>
    </row>
    <row r="73" spans="1:29" s="1427" customFormat="1">
      <c r="A73" s="1429"/>
      <c r="B73" s="4203"/>
      <c r="C73" s="1026" t="s">
        <v>297</v>
      </c>
      <c r="D73" s="884" t="s">
        <v>296</v>
      </c>
      <c r="E73" s="823"/>
      <c r="F73" s="780"/>
      <c r="G73" s="780"/>
      <c r="H73" s="780"/>
      <c r="I73" s="884"/>
      <c r="J73" s="880"/>
      <c r="K73" s="780"/>
      <c r="L73" s="780"/>
      <c r="M73" s="780"/>
      <c r="N73" s="884"/>
      <c r="O73" s="823"/>
      <c r="P73" s="780"/>
      <c r="Q73" s="780"/>
      <c r="R73" s="780"/>
      <c r="S73" s="780"/>
      <c r="T73" s="780"/>
      <c r="U73" s="780"/>
      <c r="V73" s="780"/>
      <c r="W73" s="780"/>
      <c r="X73" s="780"/>
      <c r="Y73" s="780"/>
      <c r="Z73" s="780"/>
      <c r="AA73" s="780"/>
      <c r="AB73" s="780"/>
      <c r="AC73" s="884"/>
    </row>
    <row r="74" spans="1:29" s="1427" customFormat="1">
      <c r="A74" s="1429"/>
      <c r="B74" s="4203"/>
      <c r="C74" s="1026" t="s">
        <v>297</v>
      </c>
      <c r="D74" s="884" t="s">
        <v>296</v>
      </c>
      <c r="E74" s="823"/>
      <c r="F74" s="780"/>
      <c r="G74" s="780"/>
      <c r="H74" s="780"/>
      <c r="I74" s="884"/>
      <c r="J74" s="880"/>
      <c r="K74" s="780"/>
      <c r="L74" s="780"/>
      <c r="M74" s="780"/>
      <c r="N74" s="884"/>
      <c r="O74" s="823"/>
      <c r="P74" s="780"/>
      <c r="Q74" s="780"/>
      <c r="R74" s="780"/>
      <c r="S74" s="780"/>
      <c r="T74" s="780"/>
      <c r="U74" s="780"/>
      <c r="V74" s="780"/>
      <c r="W74" s="780"/>
      <c r="X74" s="780"/>
      <c r="Y74" s="780"/>
      <c r="Z74" s="780"/>
      <c r="AA74" s="780"/>
      <c r="AB74" s="780"/>
      <c r="AC74" s="884"/>
    </row>
    <row r="75" spans="1:29" s="1427" customFormat="1">
      <c r="A75" s="1429"/>
      <c r="B75" s="4203"/>
      <c r="C75" s="1026" t="s">
        <v>297</v>
      </c>
      <c r="D75" s="884" t="s">
        <v>296</v>
      </c>
      <c r="E75" s="823"/>
      <c r="F75" s="780"/>
      <c r="G75" s="780"/>
      <c r="H75" s="780"/>
      <c r="I75" s="884"/>
      <c r="J75" s="880"/>
      <c r="K75" s="780"/>
      <c r="L75" s="780"/>
      <c r="M75" s="780"/>
      <c r="N75" s="884"/>
      <c r="O75" s="823"/>
      <c r="P75" s="780"/>
      <c r="Q75" s="780"/>
      <c r="R75" s="780"/>
      <c r="S75" s="780"/>
      <c r="T75" s="780"/>
      <c r="U75" s="780"/>
      <c r="V75" s="780"/>
      <c r="W75" s="780"/>
      <c r="X75" s="780"/>
      <c r="Y75" s="780"/>
      <c r="Z75" s="780"/>
      <c r="AA75" s="780"/>
      <c r="AB75" s="780"/>
      <c r="AC75" s="884"/>
    </row>
    <row r="76" spans="1:29" s="1427" customFormat="1" ht="13.5" thickBot="1">
      <c r="A76" s="1429"/>
      <c r="B76" s="4204"/>
      <c r="C76" s="1993" t="s">
        <v>297</v>
      </c>
      <c r="D76" s="887" t="s">
        <v>296</v>
      </c>
      <c r="E76" s="1932"/>
      <c r="F76" s="886"/>
      <c r="G76" s="886"/>
      <c r="H76" s="886"/>
      <c r="I76" s="887"/>
      <c r="J76" s="889"/>
      <c r="K76" s="886"/>
      <c r="L76" s="886"/>
      <c r="M76" s="886"/>
      <c r="N76" s="887"/>
      <c r="O76" s="1932"/>
      <c r="P76" s="886"/>
      <c r="Q76" s="886"/>
      <c r="R76" s="886"/>
      <c r="S76" s="886"/>
      <c r="T76" s="886"/>
      <c r="U76" s="886"/>
      <c r="V76" s="886"/>
      <c r="W76" s="886"/>
      <c r="X76" s="886"/>
      <c r="Y76" s="886"/>
      <c r="Z76" s="886"/>
      <c r="AA76" s="886"/>
      <c r="AB76" s="886"/>
      <c r="AC76" s="887"/>
    </row>
    <row r="77" spans="1:29" s="1427" customFormat="1">
      <c r="A77" s="1429"/>
      <c r="B77" s="4202" t="e">
        <f>'27. Customer numbers'!#REF!</f>
        <v>#REF!</v>
      </c>
      <c r="C77" s="4205" t="s">
        <v>262</v>
      </c>
      <c r="D77" s="4206"/>
      <c r="E77" s="1994"/>
      <c r="F77" s="1995"/>
      <c r="G77" s="1995"/>
      <c r="H77" s="1995"/>
      <c r="I77" s="1997"/>
      <c r="J77" s="1996"/>
      <c r="K77" s="1995"/>
      <c r="L77" s="1995"/>
      <c r="M77" s="1995"/>
      <c r="N77" s="1997"/>
      <c r="O77" s="1994"/>
      <c r="P77" s="1995"/>
      <c r="Q77" s="1995"/>
      <c r="R77" s="1995"/>
      <c r="S77" s="1995"/>
      <c r="T77" s="1995"/>
      <c r="U77" s="1995"/>
      <c r="V77" s="1995"/>
      <c r="W77" s="1995"/>
      <c r="X77" s="1995"/>
      <c r="Y77" s="1995"/>
      <c r="Z77" s="1995"/>
      <c r="AA77" s="1995"/>
      <c r="AB77" s="1995"/>
      <c r="AC77" s="1997"/>
    </row>
    <row r="78" spans="1:29" s="1427" customFormat="1">
      <c r="A78" s="1429"/>
      <c r="B78" s="4203"/>
      <c r="C78" s="1026" t="s">
        <v>297</v>
      </c>
      <c r="D78" s="884" t="s">
        <v>296</v>
      </c>
      <c r="E78" s="823"/>
      <c r="F78" s="780"/>
      <c r="G78" s="780"/>
      <c r="H78" s="780"/>
      <c r="I78" s="884"/>
      <c r="J78" s="880"/>
      <c r="K78" s="780"/>
      <c r="L78" s="780"/>
      <c r="M78" s="780"/>
      <c r="N78" s="884"/>
      <c r="O78" s="823"/>
      <c r="P78" s="780"/>
      <c r="Q78" s="780"/>
      <c r="R78" s="780"/>
      <c r="S78" s="780"/>
      <c r="T78" s="780"/>
      <c r="U78" s="780"/>
      <c r="V78" s="780"/>
      <c r="W78" s="780"/>
      <c r="X78" s="780"/>
      <c r="Y78" s="780"/>
      <c r="Z78" s="780"/>
      <c r="AA78" s="780"/>
      <c r="AB78" s="780"/>
      <c r="AC78" s="884"/>
    </row>
    <row r="79" spans="1:29" s="1427" customFormat="1">
      <c r="A79" s="1429"/>
      <c r="B79" s="4203"/>
      <c r="C79" s="1026" t="s">
        <v>297</v>
      </c>
      <c r="D79" s="884" t="s">
        <v>296</v>
      </c>
      <c r="E79" s="823"/>
      <c r="F79" s="780"/>
      <c r="G79" s="780"/>
      <c r="H79" s="780"/>
      <c r="I79" s="884"/>
      <c r="J79" s="880"/>
      <c r="K79" s="780"/>
      <c r="L79" s="780"/>
      <c r="M79" s="780"/>
      <c r="N79" s="884"/>
      <c r="O79" s="823"/>
      <c r="P79" s="780"/>
      <c r="Q79" s="780"/>
      <c r="R79" s="780"/>
      <c r="S79" s="780"/>
      <c r="T79" s="780"/>
      <c r="U79" s="780"/>
      <c r="V79" s="780"/>
      <c r="W79" s="780"/>
      <c r="X79" s="780"/>
      <c r="Y79" s="780"/>
      <c r="Z79" s="780"/>
      <c r="AA79" s="780"/>
      <c r="AB79" s="780"/>
      <c r="AC79" s="884"/>
    </row>
    <row r="80" spans="1:29" s="1427" customFormat="1">
      <c r="A80" s="1429"/>
      <c r="B80" s="4203"/>
      <c r="C80" s="1026" t="s">
        <v>297</v>
      </c>
      <c r="D80" s="884" t="s">
        <v>296</v>
      </c>
      <c r="E80" s="823"/>
      <c r="F80" s="780"/>
      <c r="G80" s="780"/>
      <c r="H80" s="780"/>
      <c r="I80" s="884"/>
      <c r="J80" s="880"/>
      <c r="K80" s="780"/>
      <c r="L80" s="780"/>
      <c r="M80" s="780"/>
      <c r="N80" s="884"/>
      <c r="O80" s="823"/>
      <c r="P80" s="780"/>
      <c r="Q80" s="780"/>
      <c r="R80" s="780"/>
      <c r="S80" s="780"/>
      <c r="T80" s="780"/>
      <c r="U80" s="780"/>
      <c r="V80" s="780"/>
      <c r="W80" s="780"/>
      <c r="X80" s="780"/>
      <c r="Y80" s="780"/>
      <c r="Z80" s="780"/>
      <c r="AA80" s="780"/>
      <c r="AB80" s="780"/>
      <c r="AC80" s="884"/>
    </row>
    <row r="81" spans="1:135" s="1427" customFormat="1">
      <c r="A81" s="1429"/>
      <c r="B81" s="4203"/>
      <c r="C81" s="1026" t="s">
        <v>297</v>
      </c>
      <c r="D81" s="884" t="s">
        <v>296</v>
      </c>
      <c r="E81" s="823"/>
      <c r="F81" s="780"/>
      <c r="G81" s="780"/>
      <c r="H81" s="780"/>
      <c r="I81" s="884"/>
      <c r="J81" s="880"/>
      <c r="K81" s="780"/>
      <c r="L81" s="780"/>
      <c r="M81" s="780"/>
      <c r="N81" s="884"/>
      <c r="O81" s="823"/>
      <c r="P81" s="780"/>
      <c r="Q81" s="780"/>
      <c r="R81" s="780"/>
      <c r="S81" s="780"/>
      <c r="T81" s="780"/>
      <c r="U81" s="780"/>
      <c r="V81" s="780"/>
      <c r="W81" s="780"/>
      <c r="X81" s="780"/>
      <c r="Y81" s="780"/>
      <c r="Z81" s="780"/>
      <c r="AA81" s="780"/>
      <c r="AB81" s="780"/>
      <c r="AC81" s="884"/>
    </row>
    <row r="82" spans="1:135" s="1427" customFormat="1">
      <c r="A82" s="1429"/>
      <c r="B82" s="4203"/>
      <c r="C82" s="1026" t="s">
        <v>297</v>
      </c>
      <c r="D82" s="884" t="s">
        <v>296</v>
      </c>
      <c r="E82" s="823"/>
      <c r="F82" s="780"/>
      <c r="G82" s="780"/>
      <c r="H82" s="780"/>
      <c r="I82" s="884"/>
      <c r="J82" s="880"/>
      <c r="K82" s="780"/>
      <c r="L82" s="780"/>
      <c r="M82" s="780"/>
      <c r="N82" s="884"/>
      <c r="O82" s="823"/>
      <c r="P82" s="780"/>
      <c r="Q82" s="780"/>
      <c r="R82" s="780"/>
      <c r="S82" s="780"/>
      <c r="T82" s="780"/>
      <c r="U82" s="780"/>
      <c r="V82" s="780"/>
      <c r="W82" s="780"/>
      <c r="X82" s="780"/>
      <c r="Y82" s="780"/>
      <c r="Z82" s="780"/>
      <c r="AA82" s="780"/>
      <c r="AB82" s="780"/>
      <c r="AC82" s="884"/>
    </row>
    <row r="83" spans="1:135" s="1427" customFormat="1" ht="13.5" thickBot="1">
      <c r="A83" s="1429"/>
      <c r="B83" s="4204"/>
      <c r="C83" s="1993" t="s">
        <v>297</v>
      </c>
      <c r="D83" s="887" t="s">
        <v>296</v>
      </c>
      <c r="E83" s="1932"/>
      <c r="F83" s="886"/>
      <c r="G83" s="886"/>
      <c r="H83" s="886"/>
      <c r="I83" s="887"/>
      <c r="J83" s="889"/>
      <c r="K83" s="886"/>
      <c r="L83" s="886"/>
      <c r="M83" s="886"/>
      <c r="N83" s="887"/>
      <c r="O83" s="1932"/>
      <c r="P83" s="886"/>
      <c r="Q83" s="886"/>
      <c r="R83" s="886"/>
      <c r="S83" s="886"/>
      <c r="T83" s="886"/>
      <c r="U83" s="886"/>
      <c r="V83" s="886"/>
      <c r="W83" s="886"/>
      <c r="X83" s="886"/>
      <c r="Y83" s="886"/>
      <c r="Z83" s="886"/>
      <c r="AA83" s="886"/>
      <c r="AB83" s="886"/>
      <c r="AC83" s="887"/>
    </row>
    <row r="84" spans="1:135" customFormat="1" ht="13.5" thickBot="1">
      <c r="A84" s="288"/>
      <c r="C84" s="1427"/>
      <c r="E84" s="234"/>
      <c r="F84" s="234"/>
      <c r="G84" s="234"/>
      <c r="H84" s="234"/>
      <c r="I84" s="234"/>
      <c r="J84" s="234"/>
      <c r="K84" s="234"/>
      <c r="L84" s="234"/>
      <c r="M84" s="234"/>
      <c r="N84" s="234"/>
      <c r="O84" s="234"/>
      <c r="P84" s="234"/>
      <c r="Q84" s="234"/>
      <c r="R84" s="234"/>
      <c r="S84" s="234"/>
      <c r="T84" s="234"/>
      <c r="U84" s="234"/>
      <c r="V84" s="234"/>
      <c r="W84" s="234"/>
      <c r="X84" s="234"/>
      <c r="Y84" s="234"/>
      <c r="Z84" s="234"/>
      <c r="AA84" s="234"/>
      <c r="AB84" s="234"/>
      <c r="AC84" s="234"/>
    </row>
    <row r="85" spans="1:135" s="94" customFormat="1" ht="18.75" customHeight="1" thickBot="1">
      <c r="A85" s="308"/>
      <c r="B85" s="858" t="s">
        <v>573</v>
      </c>
      <c r="C85" s="859"/>
      <c r="D85" s="859"/>
      <c r="E85" s="1165"/>
      <c r="F85" s="1165"/>
      <c r="G85" s="1165"/>
      <c r="H85" s="1165"/>
      <c r="I85" s="1165"/>
      <c r="J85" s="1165"/>
      <c r="K85" s="1165"/>
      <c r="L85" s="1165"/>
      <c r="M85" s="1165"/>
      <c r="N85" s="1165"/>
      <c r="O85" s="1165"/>
      <c r="P85" s="1165"/>
      <c r="Q85" s="1165"/>
      <c r="R85" s="1165"/>
      <c r="S85" s="1165"/>
      <c r="T85" s="1165"/>
      <c r="U85" s="1165"/>
      <c r="V85" s="1165"/>
      <c r="W85" s="1165"/>
      <c r="X85" s="1165"/>
      <c r="Y85" s="1165"/>
      <c r="Z85" s="1165"/>
      <c r="AA85" s="1165"/>
      <c r="AB85" s="1165"/>
      <c r="AC85" s="1164"/>
      <c r="AD85"/>
      <c r="AE85"/>
      <c r="AF85"/>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row>
    <row r="86" spans="1:135">
      <c r="A86" s="798"/>
      <c r="B86" s="3648"/>
      <c r="C86" s="4207" t="s">
        <v>47</v>
      </c>
      <c r="D86" s="4208"/>
      <c r="E86" s="1994"/>
      <c r="F86" s="1995"/>
      <c r="G86" s="1995"/>
      <c r="H86" s="1995"/>
      <c r="I86" s="1997"/>
      <c r="J86" s="1994"/>
      <c r="K86" s="1995"/>
      <c r="L86" s="1995"/>
      <c r="M86" s="1995"/>
      <c r="N86" s="1997"/>
      <c r="O86" s="1996"/>
      <c r="P86" s="1995"/>
      <c r="Q86" s="1995"/>
      <c r="R86" s="1995"/>
      <c r="S86" s="1995"/>
      <c r="T86" s="1995"/>
      <c r="U86" s="1995"/>
      <c r="V86" s="1995"/>
      <c r="W86" s="1995"/>
      <c r="X86" s="1995"/>
      <c r="Y86" s="1995"/>
      <c r="Z86" s="1995"/>
      <c r="AA86" s="1995"/>
      <c r="AB86" s="1995"/>
      <c r="AC86" s="1997"/>
      <c r="AF86"/>
    </row>
    <row r="87" spans="1:135">
      <c r="A87" s="798"/>
      <c r="B87" s="3649"/>
      <c r="C87" s="1026" t="s">
        <v>297</v>
      </c>
      <c r="D87" s="884" t="s">
        <v>296</v>
      </c>
      <c r="E87" s="823"/>
      <c r="F87" s="780"/>
      <c r="G87" s="780"/>
      <c r="H87" s="780"/>
      <c r="I87" s="884"/>
      <c r="J87" s="823"/>
      <c r="K87" s="780"/>
      <c r="L87" s="780"/>
      <c r="M87" s="780"/>
      <c r="N87" s="884"/>
      <c r="O87" s="880"/>
      <c r="P87" s="780"/>
      <c r="Q87" s="780"/>
      <c r="R87" s="780"/>
      <c r="S87" s="780"/>
      <c r="T87" s="780"/>
      <c r="U87" s="780"/>
      <c r="V87" s="780"/>
      <c r="W87" s="780"/>
      <c r="X87" s="780"/>
      <c r="Y87" s="780"/>
      <c r="Z87" s="780"/>
      <c r="AA87" s="780"/>
      <c r="AB87" s="780"/>
      <c r="AC87" s="884"/>
      <c r="AF87"/>
    </row>
    <row r="88" spans="1:135">
      <c r="A88" s="798"/>
      <c r="B88" s="3649"/>
      <c r="C88" s="1026" t="s">
        <v>297</v>
      </c>
      <c r="D88" s="884" t="s">
        <v>296</v>
      </c>
      <c r="E88" s="823"/>
      <c r="F88" s="780"/>
      <c r="G88" s="780"/>
      <c r="H88" s="780"/>
      <c r="I88" s="884"/>
      <c r="J88" s="823"/>
      <c r="K88" s="780"/>
      <c r="L88" s="780"/>
      <c r="M88" s="780"/>
      <c r="N88" s="884"/>
      <c r="O88" s="880"/>
      <c r="P88" s="780"/>
      <c r="Q88" s="780"/>
      <c r="R88" s="780"/>
      <c r="S88" s="780"/>
      <c r="T88" s="780"/>
      <c r="U88" s="780"/>
      <c r="V88" s="780"/>
      <c r="W88" s="780"/>
      <c r="X88" s="780"/>
      <c r="Y88" s="780"/>
      <c r="Z88" s="780"/>
      <c r="AA88" s="780"/>
      <c r="AB88" s="780"/>
      <c r="AC88" s="884"/>
      <c r="AF88"/>
    </row>
    <row r="89" spans="1:135" ht="13.5" thickBot="1">
      <c r="A89" s="798"/>
      <c r="B89" s="3650"/>
      <c r="C89" s="1993" t="s">
        <v>297</v>
      </c>
      <c r="D89" s="887" t="s">
        <v>296</v>
      </c>
      <c r="E89" s="1932"/>
      <c r="F89" s="886"/>
      <c r="G89" s="886"/>
      <c r="H89" s="886"/>
      <c r="I89" s="887"/>
      <c r="J89" s="1932"/>
      <c r="K89" s="886"/>
      <c r="L89" s="886"/>
      <c r="M89" s="886"/>
      <c r="N89" s="887"/>
      <c r="O89" s="889"/>
      <c r="P89" s="886"/>
      <c r="Q89" s="886"/>
      <c r="R89" s="886"/>
      <c r="S89" s="886"/>
      <c r="T89" s="886"/>
      <c r="U89" s="886"/>
      <c r="V89" s="886"/>
      <c r="W89" s="886"/>
      <c r="X89" s="886"/>
      <c r="Y89" s="886"/>
      <c r="Z89" s="886"/>
      <c r="AA89" s="886"/>
      <c r="AB89" s="886"/>
      <c r="AC89" s="887"/>
      <c r="AF89"/>
    </row>
    <row r="90" spans="1:135" customFormat="1" ht="13.5" thickBot="1">
      <c r="A90" s="288"/>
      <c r="C90" s="1427"/>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row>
    <row r="91" spans="1:135" s="70" customFormat="1" ht="34.5" customHeight="1" thickBot="1">
      <c r="A91" s="76"/>
      <c r="B91" s="3610" t="s">
        <v>125</v>
      </c>
      <c r="C91" s="3868"/>
      <c r="D91" s="4190"/>
      <c r="E91" s="1757"/>
      <c r="F91" s="1757"/>
      <c r="G91" s="1757"/>
      <c r="H91" s="1757"/>
      <c r="I91" s="1757"/>
      <c r="J91" s="1757"/>
      <c r="K91" s="1757"/>
      <c r="L91" s="1757"/>
      <c r="M91" s="1757"/>
      <c r="N91" s="1757"/>
      <c r="O91" s="1757"/>
      <c r="P91" s="1757"/>
      <c r="Q91" s="1757"/>
      <c r="R91" s="1757"/>
      <c r="S91" s="1757"/>
      <c r="T91" s="1757"/>
      <c r="U91" s="1757"/>
      <c r="V91" s="1757"/>
      <c r="W91" s="1757"/>
      <c r="X91" s="1757"/>
      <c r="Y91" s="1757"/>
      <c r="Z91" s="1757"/>
      <c r="AA91" s="1757"/>
      <c r="AB91" s="1757"/>
      <c r="AC91" s="1758"/>
      <c r="AD91"/>
      <c r="AE91"/>
      <c r="AF91"/>
    </row>
  </sheetData>
  <mergeCells count="31">
    <mergeCell ref="J21:N21"/>
    <mergeCell ref="O21:AC21"/>
    <mergeCell ref="E22:AC22"/>
    <mergeCell ref="E23:G23"/>
    <mergeCell ref="H23:AC23"/>
    <mergeCell ref="B8:E8"/>
    <mergeCell ref="B9:E9"/>
    <mergeCell ref="B10:E10"/>
    <mergeCell ref="B21:B24"/>
    <mergeCell ref="D21:D24"/>
    <mergeCell ref="E21:I21"/>
    <mergeCell ref="C21:C24"/>
    <mergeCell ref="B26:B32"/>
    <mergeCell ref="B33:B39"/>
    <mergeCell ref="B40:B46"/>
    <mergeCell ref="B47:B53"/>
    <mergeCell ref="C26:D26"/>
    <mergeCell ref="C33:D33"/>
    <mergeCell ref="C40:D40"/>
    <mergeCell ref="C47:D47"/>
    <mergeCell ref="B56:B62"/>
    <mergeCell ref="C56:D56"/>
    <mergeCell ref="B63:B69"/>
    <mergeCell ref="C63:D63"/>
    <mergeCell ref="B70:B76"/>
    <mergeCell ref="C70:D70"/>
    <mergeCell ref="B77:B83"/>
    <mergeCell ref="C77:D77"/>
    <mergeCell ref="C86:D86"/>
    <mergeCell ref="B91:D91"/>
    <mergeCell ref="B86:B89"/>
  </mergeCells>
  <pageMargins left="0.75" right="0.75" top="1" bottom="1" header="0.5" footer="0.5"/>
  <pageSetup paperSize="9" orientation="portrait" r:id="rId1"/>
  <headerFooter alignWithMargins="0"/>
  <customProperties>
    <customPr name="_pios_id" r:id="rId2"/>
  </customPropertie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6" tint="0.59999389629810485"/>
    <pageSetUpPr autoPageBreaks="0"/>
  </sheetPr>
  <dimension ref="A1:AD289"/>
  <sheetViews>
    <sheetView showGridLines="0" zoomScale="70" zoomScaleNormal="70" workbookViewId="0">
      <selection activeCell="C29" sqref="C29"/>
    </sheetView>
  </sheetViews>
  <sheetFormatPr defaultColWidth="9.140625" defaultRowHeight="12.75"/>
  <cols>
    <col min="1" max="1" width="16.28515625" style="100" bestFit="1" customWidth="1"/>
    <col min="2" max="2" width="38.7109375" style="100" customWidth="1"/>
    <col min="3" max="6" width="15.7109375" style="100" customWidth="1"/>
    <col min="7" max="7" width="41.85546875" style="100" customWidth="1"/>
    <col min="8" max="8" width="40" style="100" customWidth="1"/>
    <col min="9" max="9" width="15.7109375" style="100" customWidth="1"/>
    <col min="10" max="10" width="36.7109375" style="100" customWidth="1"/>
    <col min="11" max="13" width="15.7109375" style="100" customWidth="1"/>
    <col min="14" max="14" width="36.7109375" style="100" bestFit="1" customWidth="1"/>
    <col min="15" max="17" width="15.7109375" style="100" customWidth="1"/>
    <col min="18" max="30" width="8.7109375" customWidth="1"/>
    <col min="31" max="16384" width="9.140625" style="100"/>
  </cols>
  <sheetData>
    <row r="1" spans="1:30"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c r="S1"/>
      <c r="T1"/>
      <c r="U1"/>
      <c r="V1"/>
      <c r="W1"/>
      <c r="X1"/>
      <c r="Y1"/>
      <c r="Z1"/>
      <c r="AA1"/>
      <c r="AB1"/>
      <c r="AC1"/>
      <c r="AD1"/>
    </row>
    <row r="2" spans="1:30" s="223" customFormat="1" ht="24.95" customHeight="1">
      <c r="B2" s="3054" t="str">
        <f>INDEX(dms_TradingNameFull_List,MATCH(dms_TradingName,dms_TradingName_List))</f>
        <v>AusNet Gas Services</v>
      </c>
      <c r="C2" s="226"/>
      <c r="D2" s="226"/>
      <c r="E2" s="226"/>
      <c r="F2" s="226"/>
      <c r="G2" s="226"/>
      <c r="H2" s="226"/>
      <c r="I2" s="226"/>
      <c r="J2" s="226"/>
      <c r="K2" s="226"/>
      <c r="L2" s="226"/>
      <c r="M2" s="226"/>
      <c r="N2" s="226"/>
      <c r="O2" s="226"/>
      <c r="P2" s="226"/>
      <c r="Q2" s="226"/>
      <c r="R2"/>
      <c r="S2"/>
      <c r="T2"/>
      <c r="U2"/>
      <c r="V2"/>
      <c r="W2"/>
      <c r="X2"/>
      <c r="Y2"/>
      <c r="Z2"/>
      <c r="AA2"/>
      <c r="AB2"/>
      <c r="AC2"/>
      <c r="AD2"/>
    </row>
    <row r="3" spans="1:30"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227"/>
      <c r="N3" s="227"/>
      <c r="O3" s="227"/>
      <c r="P3" s="227"/>
      <c r="Q3" s="227"/>
      <c r="R3"/>
      <c r="S3"/>
      <c r="T3"/>
      <c r="U3"/>
      <c r="V3"/>
      <c r="W3"/>
      <c r="X3"/>
      <c r="Y3"/>
      <c r="Z3"/>
      <c r="AA3"/>
      <c r="AB3"/>
      <c r="AC3"/>
      <c r="AD3"/>
    </row>
    <row r="4" spans="1:30" s="165" customFormat="1" ht="24" customHeight="1">
      <c r="B4" s="10" t="s">
        <v>401</v>
      </c>
      <c r="C4" s="12"/>
      <c r="D4" s="12"/>
      <c r="E4" s="12"/>
      <c r="F4" s="12"/>
      <c r="G4" s="12"/>
      <c r="H4" s="12"/>
      <c r="I4" s="12"/>
      <c r="J4" s="12"/>
      <c r="K4" s="12"/>
      <c r="L4" s="12"/>
      <c r="M4" s="12"/>
      <c r="N4" s="12"/>
      <c r="O4" s="12"/>
      <c r="P4" s="12"/>
      <c r="Q4" s="12"/>
      <c r="R4"/>
      <c r="S4"/>
      <c r="T4"/>
      <c r="U4"/>
      <c r="V4"/>
      <c r="W4"/>
      <c r="X4"/>
      <c r="Y4"/>
      <c r="Z4"/>
      <c r="AA4"/>
      <c r="AB4"/>
      <c r="AC4"/>
      <c r="AD4"/>
    </row>
    <row r="5" spans="1:30">
      <c r="A5" s="799"/>
      <c r="B5" s="799"/>
      <c r="C5" s="799"/>
      <c r="D5" s="799"/>
      <c r="E5" s="799"/>
      <c r="F5" s="799"/>
      <c r="G5" s="799"/>
      <c r="H5" s="799"/>
      <c r="I5" s="799"/>
      <c r="J5" s="799"/>
      <c r="K5" s="799"/>
      <c r="L5" s="799"/>
      <c r="M5" s="799"/>
      <c r="N5" s="799"/>
      <c r="O5" s="799"/>
      <c r="P5" s="799"/>
      <c r="Q5" s="799"/>
    </row>
    <row r="6" spans="1:30">
      <c r="A6" s="799"/>
      <c r="B6" s="799"/>
      <c r="C6" s="799"/>
      <c r="D6" s="799"/>
      <c r="E6" s="799"/>
      <c r="F6" s="799"/>
      <c r="G6" s="799"/>
      <c r="H6" s="799"/>
      <c r="I6" s="799"/>
      <c r="J6" s="799"/>
      <c r="K6" s="799"/>
      <c r="L6" s="799"/>
      <c r="M6" s="799"/>
      <c r="N6" s="799"/>
      <c r="O6" s="799"/>
      <c r="P6" s="799"/>
      <c r="Q6" s="799"/>
    </row>
    <row r="7" spans="1:30" ht="24" customHeight="1">
      <c r="A7" s="799"/>
      <c r="B7" s="4218" t="s">
        <v>59</v>
      </c>
      <c r="C7" s="4218"/>
      <c r="D7" s="4218"/>
      <c r="E7" s="4218"/>
      <c r="F7" s="288"/>
      <c r="G7" s="288"/>
      <c r="H7" s="288"/>
      <c r="I7" s="288"/>
      <c r="J7" s="288"/>
      <c r="K7" s="288"/>
      <c r="L7" s="288"/>
      <c r="M7" s="799"/>
      <c r="N7" s="799"/>
      <c r="O7" s="799"/>
      <c r="P7" s="799"/>
      <c r="Q7" s="799"/>
    </row>
    <row r="8" spans="1:30" s="1754" customFormat="1" ht="24" customHeight="1">
      <c r="A8" s="1998"/>
      <c r="B8" s="4222" t="s">
        <v>9</v>
      </c>
      <c r="C8" s="4222"/>
      <c r="D8" s="4222"/>
      <c r="E8" s="4222"/>
      <c r="F8" s="293"/>
      <c r="G8" s="293"/>
      <c r="H8" s="293"/>
      <c r="I8" s="293"/>
      <c r="J8" s="293"/>
      <c r="K8" s="293"/>
      <c r="L8" s="293"/>
      <c r="M8" s="1998"/>
      <c r="N8" s="1998"/>
      <c r="O8" s="1998"/>
      <c r="P8" s="1998"/>
      <c r="Q8" s="1998"/>
      <c r="R8" s="203"/>
      <c r="S8" s="203"/>
      <c r="T8" s="203"/>
      <c r="U8" s="203"/>
      <c r="V8" s="203"/>
      <c r="W8" s="203"/>
      <c r="X8" s="203"/>
      <c r="Y8" s="203"/>
      <c r="Z8" s="203"/>
      <c r="AA8" s="203"/>
      <c r="AB8" s="203"/>
      <c r="AC8" s="203"/>
      <c r="AD8" s="203"/>
    </row>
    <row r="9" spans="1:30" s="1754" customFormat="1" ht="24" customHeight="1">
      <c r="A9" s="1998"/>
      <c r="B9" s="4222" t="s">
        <v>723</v>
      </c>
      <c r="C9" s="4222"/>
      <c r="D9" s="4222"/>
      <c r="E9" s="4222"/>
      <c r="F9" s="293"/>
      <c r="G9" s="293"/>
      <c r="H9" s="293"/>
      <c r="I9" s="293"/>
      <c r="J9" s="293"/>
      <c r="K9" s="293"/>
      <c r="L9" s="293"/>
      <c r="M9" s="1998"/>
      <c r="N9" s="1998"/>
      <c r="O9" s="1998"/>
      <c r="P9" s="1998"/>
      <c r="Q9" s="1998"/>
      <c r="R9" s="203"/>
      <c r="S9" s="203"/>
      <c r="T9" s="203"/>
      <c r="U9" s="203"/>
      <c r="V9" s="203"/>
      <c r="W9" s="203"/>
      <c r="X9" s="203"/>
      <c r="Y9" s="203"/>
      <c r="Z9" s="203"/>
      <c r="AA9" s="203"/>
      <c r="AB9" s="203"/>
      <c r="AC9" s="203"/>
      <c r="AD9" s="203"/>
    </row>
    <row r="10" spans="1:30" s="1754" customFormat="1" ht="24" customHeight="1">
      <c r="A10" s="1998"/>
      <c r="B10" s="4222" t="s">
        <v>250</v>
      </c>
      <c r="C10" s="4222"/>
      <c r="D10" s="4222"/>
      <c r="E10" s="4222"/>
      <c r="F10" s="293"/>
      <c r="G10" s="293"/>
      <c r="H10" s="293"/>
      <c r="I10" s="293"/>
      <c r="J10" s="293"/>
      <c r="K10" s="293"/>
      <c r="L10" s="293"/>
      <c r="M10" s="1998"/>
      <c r="N10" s="1998"/>
      <c r="O10" s="1998"/>
      <c r="P10" s="1998"/>
      <c r="Q10" s="1998"/>
      <c r="R10" s="203"/>
      <c r="S10" s="203"/>
      <c r="T10" s="203"/>
      <c r="U10" s="203"/>
      <c r="V10" s="203"/>
      <c r="W10" s="203"/>
      <c r="X10" s="203"/>
      <c r="Y10" s="203"/>
      <c r="Z10" s="203"/>
      <c r="AA10" s="203"/>
      <c r="AB10" s="203"/>
      <c r="AC10" s="203"/>
      <c r="AD10" s="203"/>
    </row>
    <row r="11" spans="1:30" s="2341" customFormat="1" ht="24" customHeight="1">
      <c r="A11" s="1998"/>
      <c r="B11" s="4222" t="s">
        <v>741</v>
      </c>
      <c r="C11" s="3671"/>
      <c r="D11" s="3671"/>
      <c r="E11" s="3671"/>
      <c r="F11" s="293"/>
      <c r="G11" s="293"/>
      <c r="H11" s="293"/>
      <c r="I11" s="293"/>
      <c r="J11" s="293"/>
      <c r="K11" s="293"/>
      <c r="L11" s="293"/>
      <c r="M11" s="1998"/>
      <c r="N11" s="1998"/>
      <c r="O11" s="1998"/>
      <c r="P11" s="1998"/>
      <c r="Q11" s="1998"/>
      <c r="R11" s="203"/>
      <c r="S11" s="203"/>
      <c r="T11" s="203"/>
      <c r="U11" s="203"/>
      <c r="V11" s="203"/>
      <c r="W11" s="203"/>
      <c r="X11" s="203"/>
      <c r="Y11" s="203"/>
      <c r="Z11" s="203"/>
      <c r="AA11" s="203"/>
      <c r="AB11" s="203"/>
      <c r="AC11" s="203"/>
      <c r="AD11" s="203"/>
    </row>
    <row r="12" spans="1:30" s="2341" customFormat="1" ht="24" customHeight="1">
      <c r="A12" s="1998"/>
      <c r="B12" s="4222" t="s">
        <v>739</v>
      </c>
      <c r="C12" s="3671"/>
      <c r="D12" s="3671"/>
      <c r="E12" s="3671"/>
      <c r="F12" s="293"/>
      <c r="G12" s="293"/>
      <c r="H12" s="293"/>
      <c r="I12" s="293"/>
      <c r="J12" s="293"/>
      <c r="K12" s="293"/>
      <c r="L12" s="293"/>
      <c r="M12" s="1998"/>
      <c r="N12" s="1998"/>
      <c r="O12" s="1998"/>
      <c r="P12" s="1998"/>
      <c r="Q12" s="1998"/>
      <c r="R12" s="203"/>
      <c r="S12" s="203"/>
      <c r="T12" s="203"/>
      <c r="U12" s="203"/>
      <c r="V12" s="203"/>
      <c r="W12" s="203"/>
      <c r="X12" s="203"/>
      <c r="Y12" s="203"/>
      <c r="Z12" s="203"/>
      <c r="AA12" s="203"/>
      <c r="AB12" s="203"/>
      <c r="AC12" s="203"/>
      <c r="AD12" s="203"/>
    </row>
    <row r="13" spans="1:30" s="2337" customFormat="1" ht="88.5" customHeight="1">
      <c r="A13" s="1998"/>
      <c r="B13" s="4222" t="s">
        <v>750</v>
      </c>
      <c r="C13" s="3671"/>
      <c r="D13" s="3671"/>
      <c r="E13" s="3671"/>
      <c r="F13" s="293"/>
      <c r="G13" s="293"/>
      <c r="H13" s="293"/>
      <c r="I13" s="293"/>
      <c r="J13" s="293"/>
      <c r="K13" s="293"/>
      <c r="L13" s="293"/>
      <c r="M13" s="1998"/>
      <c r="N13" s="1998"/>
      <c r="O13" s="1998"/>
      <c r="P13" s="1998"/>
      <c r="Q13" s="1998"/>
      <c r="R13" s="203"/>
      <c r="S13" s="203"/>
      <c r="T13" s="203"/>
      <c r="U13" s="203"/>
      <c r="V13" s="203"/>
      <c r="W13" s="203"/>
      <c r="X13" s="203"/>
      <c r="Y13" s="203"/>
      <c r="Z13" s="203"/>
      <c r="AA13" s="203"/>
      <c r="AB13" s="203"/>
      <c r="AC13" s="203"/>
      <c r="AD13" s="203"/>
    </row>
    <row r="14" spans="1:30" s="2337" customFormat="1" ht="24" customHeight="1">
      <c r="A14" s="1998"/>
      <c r="B14" s="2338"/>
      <c r="C14" s="2338"/>
      <c r="D14" s="2338"/>
      <c r="E14" s="2338"/>
      <c r="F14" s="293"/>
      <c r="G14" s="293"/>
      <c r="H14" s="293"/>
      <c r="I14" s="293"/>
      <c r="J14" s="293"/>
      <c r="K14" s="293"/>
      <c r="L14" s="293"/>
      <c r="M14" s="1998"/>
      <c r="N14" s="1998"/>
      <c r="O14" s="1998"/>
      <c r="P14" s="1998"/>
      <c r="Q14" s="1998"/>
      <c r="R14" s="203"/>
      <c r="S14" s="203"/>
      <c r="T14" s="203"/>
      <c r="U14" s="203"/>
      <c r="V14" s="203"/>
      <c r="W14" s="203"/>
      <c r="X14" s="203"/>
      <c r="Y14" s="203"/>
      <c r="Z14" s="203"/>
      <c r="AA14" s="203"/>
      <c r="AB14" s="203"/>
      <c r="AC14" s="203"/>
      <c r="AD14" s="203"/>
    </row>
    <row r="15" spans="1:30" s="66" customFormat="1">
      <c r="A15" s="288"/>
      <c r="B15" s="288"/>
      <c r="C15" s="288"/>
      <c r="D15" s="288"/>
      <c r="E15" s="288"/>
      <c r="F15" s="288"/>
      <c r="G15" s="288"/>
      <c r="H15" s="288"/>
      <c r="I15" s="288"/>
      <c r="J15" s="288"/>
      <c r="K15" s="288"/>
      <c r="L15" s="288"/>
      <c r="M15" s="288"/>
      <c r="N15" s="288"/>
      <c r="O15" s="288"/>
      <c r="P15" s="288"/>
      <c r="Q15" s="288"/>
      <c r="R15"/>
      <c r="S15"/>
      <c r="T15"/>
      <c r="U15"/>
      <c r="V15"/>
      <c r="W15"/>
      <c r="X15"/>
      <c r="Y15"/>
      <c r="Z15"/>
      <c r="AA15"/>
      <c r="AB15"/>
      <c r="AC15"/>
      <c r="AD15"/>
    </row>
    <row r="16" spans="1:30" customFormat="1" ht="13.5" thickBot="1">
      <c r="A16" s="288"/>
      <c r="B16" s="288"/>
      <c r="C16" s="288"/>
      <c r="D16" s="288"/>
      <c r="E16" s="288"/>
      <c r="F16" s="288"/>
      <c r="G16" s="288"/>
      <c r="H16" s="288"/>
      <c r="I16" s="288"/>
      <c r="J16" s="288"/>
      <c r="K16" s="288"/>
      <c r="L16" s="288"/>
      <c r="M16" s="288"/>
      <c r="N16" s="288"/>
      <c r="O16" s="288"/>
      <c r="P16" s="288"/>
      <c r="Q16" s="288"/>
    </row>
    <row r="17" spans="1:30" s="1427" customFormat="1" ht="34.5" customHeight="1" thickBot="1">
      <c r="A17" s="1429"/>
      <c r="B17" s="972" t="s">
        <v>574</v>
      </c>
      <c r="C17" s="989"/>
      <c r="D17" s="989"/>
      <c r="E17" s="989"/>
      <c r="F17" s="989"/>
      <c r="G17" s="989"/>
      <c r="H17" s="989"/>
      <c r="I17" s="989"/>
      <c r="J17" s="989"/>
      <c r="K17" s="990"/>
      <c r="L17" s="990"/>
      <c r="M17" s="990"/>
      <c r="N17" s="990"/>
      <c r="O17" s="990"/>
      <c r="P17" s="990"/>
      <c r="Q17" s="990"/>
    </row>
    <row r="18" spans="1:30" s="1427" customFormat="1" ht="34.5" customHeight="1" thickBot="1">
      <c r="A18" s="1429"/>
      <c r="B18" s="1576" t="s">
        <v>724</v>
      </c>
      <c r="C18" s="1577"/>
      <c r="D18" s="1577"/>
      <c r="E18" s="1577"/>
      <c r="F18" s="1577"/>
      <c r="G18" s="1577"/>
      <c r="H18" s="1577"/>
      <c r="I18" s="1577"/>
      <c r="J18" s="1577"/>
      <c r="K18" s="1577"/>
      <c r="L18" s="1577"/>
      <c r="M18" s="1577"/>
      <c r="N18" s="1577"/>
      <c r="O18" s="1577"/>
      <c r="P18" s="1577"/>
      <c r="Q18" s="1578"/>
    </row>
    <row r="19" spans="1:30" s="1017" customFormat="1" ht="16.5" customHeight="1">
      <c r="A19" s="1016"/>
      <c r="B19" s="4219"/>
      <c r="C19" s="4221" t="s">
        <v>36</v>
      </c>
      <c r="D19" s="4096"/>
      <c r="E19" s="4096"/>
      <c r="F19" s="4096"/>
      <c r="G19" s="4096"/>
      <c r="H19" s="4078" t="s">
        <v>37</v>
      </c>
      <c r="I19" s="4079"/>
      <c r="J19" s="4079"/>
      <c r="K19" s="4079"/>
      <c r="L19" s="4079"/>
      <c r="M19" s="4080" t="s">
        <v>73</v>
      </c>
      <c r="N19" s="4080"/>
      <c r="O19" s="4080"/>
      <c r="P19" s="4080"/>
      <c r="Q19" s="4108"/>
      <c r="R19"/>
      <c r="S19"/>
      <c r="T19"/>
      <c r="U19"/>
      <c r="V19"/>
      <c r="W19"/>
      <c r="X19"/>
      <c r="Y19"/>
      <c r="Z19"/>
      <c r="AA19"/>
      <c r="AB19"/>
      <c r="AC19"/>
      <c r="AD19"/>
    </row>
    <row r="20" spans="1:30" s="1019" customFormat="1" ht="15" customHeight="1">
      <c r="A20" s="1016"/>
      <c r="B20" s="4220"/>
      <c r="C20" s="4082" t="s">
        <v>499</v>
      </c>
      <c r="D20" s="4083"/>
      <c r="E20" s="4083"/>
      <c r="F20" s="4083"/>
      <c r="G20" s="4083"/>
      <c r="H20" s="4083"/>
      <c r="I20" s="4083"/>
      <c r="J20" s="4083"/>
      <c r="K20" s="4083"/>
      <c r="L20" s="4083"/>
      <c r="M20" s="4083"/>
      <c r="N20" s="4083"/>
      <c r="O20" s="4083"/>
      <c r="P20" s="4083"/>
      <c r="Q20" s="4117"/>
      <c r="R20"/>
      <c r="S20"/>
      <c r="T20"/>
      <c r="U20"/>
      <c r="V20"/>
      <c r="W20"/>
      <c r="X20"/>
      <c r="Y20"/>
      <c r="Z20"/>
      <c r="AA20"/>
      <c r="AB20"/>
      <c r="AC20"/>
      <c r="AD20"/>
    </row>
    <row r="21" spans="1:30" s="1017" customFormat="1" ht="16.5" customHeight="1">
      <c r="A21" s="1016"/>
      <c r="B21" s="4220"/>
      <c r="C21" s="4082" t="s">
        <v>54</v>
      </c>
      <c r="D21" s="4083"/>
      <c r="E21" s="4083"/>
      <c r="F21" s="4083"/>
      <c r="G21" s="4083"/>
      <c r="H21" s="4083"/>
      <c r="I21" s="4083"/>
      <c r="J21" s="4119"/>
      <c r="K21" s="3510" t="s">
        <v>55</v>
      </c>
      <c r="L21" s="4085"/>
      <c r="M21" s="4085"/>
      <c r="N21" s="4085"/>
      <c r="O21" s="4085"/>
      <c r="P21" s="4085"/>
      <c r="Q21" s="4118"/>
      <c r="R21"/>
      <c r="S21"/>
      <c r="T21"/>
      <c r="U21"/>
      <c r="V21"/>
      <c r="W21"/>
      <c r="X21"/>
      <c r="Y21"/>
      <c r="Z21"/>
      <c r="AA21"/>
      <c r="AB21"/>
      <c r="AC21"/>
      <c r="AD21"/>
    </row>
    <row r="22" spans="1:30" s="1019" customFormat="1" ht="12.75" customHeight="1" thickBot="1">
      <c r="A22" s="1018"/>
      <c r="B22" s="4220"/>
      <c r="C22" s="1087">
        <f t="array" ref="C22:G22">PRCP</f>
        <v>2008</v>
      </c>
      <c r="D22" s="1088">
        <v>2009</v>
      </c>
      <c r="E22" s="1088">
        <v>2010</v>
      </c>
      <c r="F22" s="1088">
        <v>2011</v>
      </c>
      <c r="G22" s="1088">
        <v>2012</v>
      </c>
      <c r="H22" s="1089">
        <f>CRCP_y1</f>
        <v>2013</v>
      </c>
      <c r="I22" s="1089">
        <f>CRCP_y2</f>
        <v>2014</v>
      </c>
      <c r="J22" s="1089">
        <f>CRCP_y3</f>
        <v>2015</v>
      </c>
      <c r="K22" s="1089">
        <f>CRCP_y4</f>
        <v>2016</v>
      </c>
      <c r="L22" s="1089">
        <f>CRCP_y5</f>
        <v>2017</v>
      </c>
      <c r="M22" s="1088" t="str">
        <f t="array" ref="M22:Q22">FRCP</f>
        <v>2018</v>
      </c>
      <c r="N22" s="1088">
        <v>2019</v>
      </c>
      <c r="O22" s="1088">
        <v>2020</v>
      </c>
      <c r="P22" s="1088">
        <v>2021</v>
      </c>
      <c r="Q22" s="1090">
        <v>2022</v>
      </c>
      <c r="R22"/>
      <c r="S22"/>
      <c r="T22"/>
      <c r="U22"/>
      <c r="V22"/>
      <c r="W22"/>
      <c r="X22"/>
      <c r="Y22"/>
      <c r="Z22"/>
      <c r="AA22"/>
      <c r="AB22"/>
      <c r="AC22"/>
      <c r="AD22"/>
    </row>
    <row r="23" spans="1:30">
      <c r="A23" s="799"/>
      <c r="B23" s="2000" t="s">
        <v>674</v>
      </c>
      <c r="C23" s="2001"/>
      <c r="D23" s="2002"/>
      <c r="E23" s="2002"/>
      <c r="F23" s="2002"/>
      <c r="G23" s="2003"/>
      <c r="H23" s="2001"/>
      <c r="I23" s="2002"/>
      <c r="J23" s="2002"/>
      <c r="K23" s="2002"/>
      <c r="L23" s="2003"/>
      <c r="M23" s="2001"/>
      <c r="N23" s="2002"/>
      <c r="O23" s="2002"/>
      <c r="P23" s="2002"/>
      <c r="Q23" s="2003"/>
    </row>
    <row r="24" spans="1:30">
      <c r="A24" s="799"/>
      <c r="B24" s="769" t="s">
        <v>64</v>
      </c>
      <c r="C24" s="823"/>
      <c r="D24" s="780"/>
      <c r="E24" s="780"/>
      <c r="F24" s="780"/>
      <c r="G24" s="884"/>
      <c r="H24" s="823"/>
      <c r="I24" s="780"/>
      <c r="J24" s="780"/>
      <c r="K24" s="780"/>
      <c r="L24" s="884"/>
      <c r="M24" s="823"/>
      <c r="N24" s="780"/>
      <c r="O24" s="780"/>
      <c r="P24" s="780"/>
      <c r="Q24" s="884"/>
    </row>
    <row r="25" spans="1:30">
      <c r="A25" s="799"/>
      <c r="B25" s="769" t="s">
        <v>65</v>
      </c>
      <c r="C25" s="823"/>
      <c r="D25" s="780"/>
      <c r="E25" s="780"/>
      <c r="F25" s="780"/>
      <c r="G25" s="884"/>
      <c r="H25" s="823"/>
      <c r="I25" s="780"/>
      <c r="J25" s="780"/>
      <c r="K25" s="780"/>
      <c r="L25" s="884"/>
      <c r="M25" s="823"/>
      <c r="N25" s="780"/>
      <c r="O25" s="780"/>
      <c r="P25" s="780"/>
      <c r="Q25" s="884"/>
    </row>
    <row r="26" spans="1:30">
      <c r="A26" s="799"/>
      <c r="B26" s="769" t="s">
        <v>82</v>
      </c>
      <c r="C26" s="823"/>
      <c r="D26" s="780"/>
      <c r="E26" s="780"/>
      <c r="F26" s="780"/>
      <c r="G26" s="884"/>
      <c r="H26" s="823"/>
      <c r="I26" s="780"/>
      <c r="J26" s="780"/>
      <c r="K26" s="780"/>
      <c r="L26" s="884"/>
      <c r="M26" s="823"/>
      <c r="N26" s="780"/>
      <c r="O26" s="780"/>
      <c r="P26" s="780"/>
      <c r="Q26" s="884"/>
    </row>
    <row r="27" spans="1:30">
      <c r="A27" s="799"/>
      <c r="B27" s="769" t="s">
        <v>719</v>
      </c>
      <c r="C27" s="823"/>
      <c r="D27" s="780"/>
      <c r="E27" s="780"/>
      <c r="F27" s="780"/>
      <c r="G27" s="884"/>
      <c r="H27" s="823"/>
      <c r="I27" s="780"/>
      <c r="J27" s="780"/>
      <c r="K27" s="780"/>
      <c r="L27" s="884"/>
      <c r="M27" s="823"/>
      <c r="N27" s="780"/>
      <c r="O27" s="780"/>
      <c r="P27" s="780"/>
      <c r="Q27" s="884"/>
    </row>
    <row r="28" spans="1:30" s="2336" customFormat="1">
      <c r="A28" s="799"/>
      <c r="B28" s="2161" t="s">
        <v>720</v>
      </c>
      <c r="C28" s="823"/>
      <c r="D28" s="780"/>
      <c r="E28" s="780"/>
      <c r="F28" s="780"/>
      <c r="G28" s="884"/>
      <c r="H28" s="823"/>
      <c r="I28" s="780"/>
      <c r="J28" s="780"/>
      <c r="K28" s="780"/>
      <c r="L28" s="884"/>
      <c r="M28" s="823"/>
      <c r="N28" s="780"/>
      <c r="O28" s="780"/>
      <c r="P28" s="780"/>
      <c r="Q28" s="884"/>
      <c r="R28" s="1427"/>
      <c r="S28" s="1427"/>
      <c r="T28" s="1427"/>
      <c r="U28" s="1427"/>
      <c r="V28" s="1427"/>
      <c r="W28" s="1427"/>
      <c r="X28" s="1427"/>
      <c r="Y28" s="1427"/>
      <c r="Z28" s="1427"/>
      <c r="AA28" s="1427"/>
      <c r="AB28" s="1427"/>
      <c r="AC28" s="1427"/>
      <c r="AD28" s="1427"/>
    </row>
    <row r="29" spans="1:30" s="2336" customFormat="1">
      <c r="A29" s="799"/>
      <c r="B29" s="2161" t="s">
        <v>721</v>
      </c>
      <c r="C29" s="823"/>
      <c r="D29" s="780"/>
      <c r="E29" s="780"/>
      <c r="F29" s="780"/>
      <c r="G29" s="884"/>
      <c r="H29" s="823"/>
      <c r="I29" s="780"/>
      <c r="J29" s="780"/>
      <c r="K29" s="780"/>
      <c r="L29" s="884"/>
      <c r="M29" s="823"/>
      <c r="N29" s="780"/>
      <c r="O29" s="780"/>
      <c r="P29" s="780"/>
      <c r="Q29" s="884"/>
      <c r="R29" s="1427"/>
      <c r="S29" s="1427"/>
      <c r="T29" s="1427"/>
      <c r="U29" s="1427"/>
      <c r="V29" s="1427"/>
      <c r="W29" s="1427"/>
      <c r="X29" s="1427"/>
      <c r="Y29" s="1427"/>
      <c r="Z29" s="1427"/>
      <c r="AA29" s="1427"/>
      <c r="AB29" s="1427"/>
      <c r="AC29" s="1427"/>
      <c r="AD29" s="1427"/>
    </row>
    <row r="30" spans="1:30">
      <c r="A30" s="799"/>
      <c r="B30" s="769" t="s">
        <v>66</v>
      </c>
      <c r="C30" s="823"/>
      <c r="D30" s="780"/>
      <c r="E30" s="780"/>
      <c r="F30" s="780"/>
      <c r="G30" s="884"/>
      <c r="H30" s="823"/>
      <c r="I30" s="780"/>
      <c r="J30" s="780"/>
      <c r="K30" s="780"/>
      <c r="L30" s="884"/>
      <c r="M30" s="823"/>
      <c r="N30" s="780"/>
      <c r="O30" s="780"/>
      <c r="P30" s="780"/>
      <c r="Q30" s="884"/>
    </row>
    <row r="31" spans="1:30">
      <c r="A31" s="799"/>
      <c r="B31" s="769" t="s">
        <v>67</v>
      </c>
      <c r="C31" s="823"/>
      <c r="D31" s="780"/>
      <c r="E31" s="780"/>
      <c r="F31" s="780"/>
      <c r="G31" s="884"/>
      <c r="H31" s="823"/>
      <c r="I31" s="780"/>
      <c r="J31" s="780"/>
      <c r="K31" s="780"/>
      <c r="L31" s="884"/>
      <c r="M31" s="823"/>
      <c r="N31" s="780"/>
      <c r="O31" s="780"/>
      <c r="P31" s="780"/>
      <c r="Q31" s="884"/>
    </row>
    <row r="32" spans="1:30">
      <c r="A32" s="799"/>
      <c r="B32" s="1476" t="s">
        <v>81</v>
      </c>
      <c r="C32" s="823"/>
      <c r="D32" s="780"/>
      <c r="E32" s="780"/>
      <c r="F32" s="780"/>
      <c r="G32" s="884"/>
      <c r="H32" s="823"/>
      <c r="I32" s="780"/>
      <c r="J32" s="780"/>
      <c r="K32" s="780"/>
      <c r="L32" s="884"/>
      <c r="M32" s="823"/>
      <c r="N32" s="780"/>
      <c r="O32" s="780"/>
      <c r="P32" s="780"/>
      <c r="Q32" s="884"/>
    </row>
    <row r="33" spans="1:30" ht="13.5" thickBot="1">
      <c r="A33" s="799"/>
      <c r="B33" s="1477" t="s">
        <v>81</v>
      </c>
      <c r="C33" s="823"/>
      <c r="D33" s="780"/>
      <c r="E33" s="780"/>
      <c r="F33" s="780"/>
      <c r="G33" s="884"/>
      <c r="H33" s="823"/>
      <c r="I33" s="780"/>
      <c r="J33" s="780"/>
      <c r="K33" s="780"/>
      <c r="L33" s="884"/>
      <c r="M33" s="823"/>
      <c r="N33" s="780"/>
      <c r="O33" s="780"/>
      <c r="P33" s="780"/>
      <c r="Q33" s="884"/>
    </row>
    <row r="34" spans="1:30" s="1756" customFormat="1">
      <c r="A34" s="799"/>
      <c r="B34" s="2000" t="s">
        <v>737</v>
      </c>
      <c r="C34" s="2001"/>
      <c r="D34" s="2002"/>
      <c r="E34" s="2002"/>
      <c r="F34" s="2002"/>
      <c r="G34" s="2003"/>
      <c r="H34" s="2001"/>
      <c r="I34" s="2002"/>
      <c r="J34" s="2002"/>
      <c r="K34" s="2002"/>
      <c r="L34" s="2003"/>
      <c r="M34" s="2001"/>
      <c r="N34" s="2002"/>
      <c r="O34" s="2002"/>
      <c r="P34" s="2002"/>
      <c r="Q34" s="2003"/>
      <c r="R34" s="1427"/>
      <c r="S34" s="1427"/>
      <c r="T34" s="1427"/>
      <c r="U34" s="1427"/>
      <c r="V34" s="1427"/>
      <c r="W34" s="1427"/>
      <c r="X34" s="1427"/>
      <c r="Y34" s="1427"/>
      <c r="Z34" s="1427"/>
      <c r="AA34" s="1427"/>
      <c r="AB34" s="1427"/>
      <c r="AC34" s="1427"/>
      <c r="AD34" s="1427"/>
    </row>
    <row r="35" spans="1:30">
      <c r="A35" s="799"/>
      <c r="B35" s="2161" t="s">
        <v>64</v>
      </c>
      <c r="C35" s="823"/>
      <c r="D35" s="780"/>
      <c r="E35" s="780"/>
      <c r="F35" s="780"/>
      <c r="G35" s="884"/>
      <c r="H35" s="823"/>
      <c r="I35" s="780"/>
      <c r="J35" s="780"/>
      <c r="K35" s="780"/>
      <c r="L35" s="884"/>
      <c r="M35" s="823"/>
      <c r="N35" s="780"/>
      <c r="O35" s="780"/>
      <c r="P35" s="780"/>
      <c r="Q35" s="884"/>
    </row>
    <row r="36" spans="1:30">
      <c r="A36" s="799"/>
      <c r="B36" s="2161" t="s">
        <v>65</v>
      </c>
      <c r="C36" s="823"/>
      <c r="D36" s="780"/>
      <c r="E36" s="780"/>
      <c r="F36" s="780"/>
      <c r="G36" s="884"/>
      <c r="H36" s="823"/>
      <c r="I36" s="780"/>
      <c r="J36" s="780"/>
      <c r="K36" s="780"/>
      <c r="L36" s="884"/>
      <c r="M36" s="823"/>
      <c r="N36" s="780"/>
      <c r="O36" s="780"/>
      <c r="P36" s="780"/>
      <c r="Q36" s="884"/>
    </row>
    <row r="37" spans="1:30">
      <c r="A37" s="799"/>
      <c r="B37" s="2161" t="s">
        <v>82</v>
      </c>
      <c r="C37" s="823"/>
      <c r="D37" s="780"/>
      <c r="E37" s="780"/>
      <c r="F37" s="780"/>
      <c r="G37" s="884"/>
      <c r="H37" s="823"/>
      <c r="I37" s="780"/>
      <c r="J37" s="780"/>
      <c r="K37" s="780"/>
      <c r="L37" s="884"/>
      <c r="M37" s="823"/>
      <c r="N37" s="780"/>
      <c r="O37" s="780"/>
      <c r="P37" s="780"/>
      <c r="Q37" s="884"/>
    </row>
    <row r="38" spans="1:30">
      <c r="A38" s="799"/>
      <c r="B38" s="2161" t="s">
        <v>719</v>
      </c>
      <c r="C38" s="823"/>
      <c r="D38" s="780"/>
      <c r="E38" s="780"/>
      <c r="F38" s="780"/>
      <c r="G38" s="884"/>
      <c r="H38" s="823"/>
      <c r="I38" s="780"/>
      <c r="J38" s="780"/>
      <c r="K38" s="780"/>
      <c r="L38" s="884"/>
      <c r="M38" s="823"/>
      <c r="N38" s="780"/>
      <c r="O38" s="780"/>
      <c r="P38" s="780"/>
      <c r="Q38" s="884"/>
    </row>
    <row r="39" spans="1:30">
      <c r="A39" s="799"/>
      <c r="B39" s="2161" t="s">
        <v>720</v>
      </c>
      <c r="C39" s="823"/>
      <c r="D39" s="780"/>
      <c r="E39" s="780"/>
      <c r="F39" s="780"/>
      <c r="G39" s="884"/>
      <c r="H39" s="823"/>
      <c r="I39" s="780"/>
      <c r="J39" s="780"/>
      <c r="K39" s="780"/>
      <c r="L39" s="884"/>
      <c r="M39" s="823"/>
      <c r="N39" s="780"/>
      <c r="O39" s="780"/>
      <c r="P39" s="780"/>
      <c r="Q39" s="884"/>
    </row>
    <row r="40" spans="1:30">
      <c r="A40" s="799"/>
      <c r="B40" s="2161" t="s">
        <v>721</v>
      </c>
      <c r="C40" s="823"/>
      <c r="D40" s="780"/>
      <c r="E40" s="780"/>
      <c r="F40" s="780"/>
      <c r="G40" s="884"/>
      <c r="H40" s="823"/>
      <c r="I40" s="780"/>
      <c r="J40" s="780"/>
      <c r="K40" s="780"/>
      <c r="L40" s="884"/>
      <c r="M40" s="823"/>
      <c r="N40" s="780"/>
      <c r="O40" s="780"/>
      <c r="P40" s="780"/>
      <c r="Q40" s="884"/>
    </row>
    <row r="41" spans="1:30" s="2336" customFormat="1">
      <c r="A41" s="799"/>
      <c r="B41" s="2161" t="s">
        <v>66</v>
      </c>
      <c r="C41" s="823"/>
      <c r="D41" s="780"/>
      <c r="E41" s="780"/>
      <c r="F41" s="780"/>
      <c r="G41" s="884"/>
      <c r="H41" s="823"/>
      <c r="I41" s="780"/>
      <c r="J41" s="780"/>
      <c r="K41" s="780"/>
      <c r="L41" s="884"/>
      <c r="M41" s="823"/>
      <c r="N41" s="780"/>
      <c r="O41" s="780"/>
      <c r="P41" s="780"/>
      <c r="Q41" s="884"/>
      <c r="R41" s="1427"/>
      <c r="S41" s="1427"/>
      <c r="T41" s="1427"/>
      <c r="U41" s="1427"/>
      <c r="V41" s="1427"/>
      <c r="W41" s="1427"/>
      <c r="X41" s="1427"/>
      <c r="Y41" s="1427"/>
      <c r="Z41" s="1427"/>
      <c r="AA41" s="1427"/>
      <c r="AB41" s="1427"/>
      <c r="AC41" s="1427"/>
      <c r="AD41" s="1427"/>
    </row>
    <row r="42" spans="1:30" s="2336" customFormat="1">
      <c r="A42" s="799"/>
      <c r="B42" s="2161" t="s">
        <v>67</v>
      </c>
      <c r="C42" s="823"/>
      <c r="D42" s="780"/>
      <c r="E42" s="780"/>
      <c r="F42" s="780"/>
      <c r="G42" s="884"/>
      <c r="H42" s="823"/>
      <c r="I42" s="780"/>
      <c r="J42" s="780"/>
      <c r="K42" s="780"/>
      <c r="L42" s="884"/>
      <c r="M42" s="823"/>
      <c r="N42" s="780"/>
      <c r="O42" s="780"/>
      <c r="P42" s="780"/>
      <c r="Q42" s="884"/>
      <c r="R42" s="1427"/>
      <c r="S42" s="1427"/>
      <c r="T42" s="1427"/>
      <c r="U42" s="1427"/>
      <c r="V42" s="1427"/>
      <c r="W42" s="1427"/>
      <c r="X42" s="1427"/>
      <c r="Y42" s="1427"/>
      <c r="Z42" s="1427"/>
      <c r="AA42" s="1427"/>
      <c r="AB42" s="1427"/>
      <c r="AC42" s="1427"/>
      <c r="AD42" s="1427"/>
    </row>
    <row r="43" spans="1:30">
      <c r="A43" s="799"/>
      <c r="B43" s="1476" t="s">
        <v>81</v>
      </c>
      <c r="C43" s="823"/>
      <c r="D43" s="780"/>
      <c r="E43" s="780"/>
      <c r="F43" s="780"/>
      <c r="G43" s="884"/>
      <c r="H43" s="823"/>
      <c r="I43" s="780"/>
      <c r="J43" s="780"/>
      <c r="K43" s="780"/>
      <c r="L43" s="884"/>
      <c r="M43" s="823"/>
      <c r="N43" s="780"/>
      <c r="O43" s="780"/>
      <c r="P43" s="780"/>
      <c r="Q43" s="884"/>
    </row>
    <row r="44" spans="1:30" ht="13.5" thickBot="1">
      <c r="A44" s="799"/>
      <c r="B44" s="1477" t="s">
        <v>81</v>
      </c>
      <c r="C44" s="823"/>
      <c r="D44" s="780"/>
      <c r="E44" s="780"/>
      <c r="F44" s="780"/>
      <c r="G44" s="884"/>
      <c r="H44" s="823"/>
      <c r="I44" s="780"/>
      <c r="J44" s="780"/>
      <c r="K44" s="780"/>
      <c r="L44" s="884"/>
      <c r="M44" s="823"/>
      <c r="N44" s="780"/>
      <c r="O44" s="780"/>
      <c r="P44" s="780"/>
      <c r="Q44" s="884"/>
    </row>
    <row r="45" spans="1:30" s="1756" customFormat="1">
      <c r="A45" s="799"/>
      <c r="B45" s="2000" t="s">
        <v>675</v>
      </c>
      <c r="C45" s="2001"/>
      <c r="D45" s="2002"/>
      <c r="E45" s="2002"/>
      <c r="F45" s="2002"/>
      <c r="G45" s="2003"/>
      <c r="H45" s="2001"/>
      <c r="I45" s="2002"/>
      <c r="J45" s="2002"/>
      <c r="K45" s="2002"/>
      <c r="L45" s="2003"/>
      <c r="M45" s="2001"/>
      <c r="N45" s="2002"/>
      <c r="O45" s="2002"/>
      <c r="P45" s="2002"/>
      <c r="Q45" s="2003"/>
      <c r="R45" s="1427"/>
      <c r="S45" s="1427"/>
      <c r="T45" s="1427"/>
      <c r="U45" s="1427"/>
      <c r="V45" s="1427"/>
      <c r="W45" s="1427"/>
      <c r="X45" s="1427"/>
      <c r="Y45" s="1427"/>
      <c r="Z45" s="1427"/>
      <c r="AA45" s="1427"/>
      <c r="AB45" s="1427"/>
      <c r="AC45" s="1427"/>
      <c r="AD45" s="1427"/>
    </row>
    <row r="46" spans="1:30">
      <c r="A46" s="799"/>
      <c r="B46" s="2161" t="s">
        <v>64</v>
      </c>
      <c r="C46" s="823"/>
      <c r="D46" s="780"/>
      <c r="E46" s="780"/>
      <c r="F46" s="780"/>
      <c r="G46" s="884"/>
      <c r="H46" s="823"/>
      <c r="I46" s="780"/>
      <c r="J46" s="780"/>
      <c r="K46" s="780"/>
      <c r="L46" s="884"/>
      <c r="M46" s="823"/>
      <c r="N46" s="780"/>
      <c r="O46" s="780"/>
      <c r="P46" s="780"/>
      <c r="Q46" s="884"/>
    </row>
    <row r="47" spans="1:30">
      <c r="A47" s="799"/>
      <c r="B47" s="2161" t="s">
        <v>65</v>
      </c>
      <c r="C47" s="823"/>
      <c r="D47" s="780"/>
      <c r="E47" s="780"/>
      <c r="F47" s="780"/>
      <c r="G47" s="884"/>
      <c r="H47" s="823"/>
      <c r="I47" s="780"/>
      <c r="J47" s="780"/>
      <c r="K47" s="780"/>
      <c r="L47" s="884"/>
      <c r="M47" s="823"/>
      <c r="N47" s="780"/>
      <c r="O47" s="780"/>
      <c r="P47" s="780"/>
      <c r="Q47" s="884"/>
    </row>
    <row r="48" spans="1:30">
      <c r="A48" s="799"/>
      <c r="B48" s="2161" t="s">
        <v>82</v>
      </c>
      <c r="C48" s="823"/>
      <c r="D48" s="780"/>
      <c r="E48" s="780"/>
      <c r="F48" s="780"/>
      <c r="G48" s="884"/>
      <c r="H48" s="823"/>
      <c r="I48" s="780"/>
      <c r="J48" s="780"/>
      <c r="K48" s="780"/>
      <c r="L48" s="884"/>
      <c r="M48" s="823"/>
      <c r="N48" s="780"/>
      <c r="O48" s="780"/>
      <c r="P48" s="780"/>
      <c r="Q48" s="884"/>
    </row>
    <row r="49" spans="1:30">
      <c r="A49" s="799"/>
      <c r="B49" s="2161" t="s">
        <v>719</v>
      </c>
      <c r="C49" s="823"/>
      <c r="D49" s="780"/>
      <c r="E49" s="780"/>
      <c r="F49" s="780"/>
      <c r="G49" s="884"/>
      <c r="H49" s="823"/>
      <c r="I49" s="780"/>
      <c r="J49" s="780"/>
      <c r="K49" s="780"/>
      <c r="L49" s="884"/>
      <c r="M49" s="823"/>
      <c r="N49" s="780"/>
      <c r="O49" s="780"/>
      <c r="P49" s="780"/>
      <c r="Q49" s="884"/>
    </row>
    <row r="50" spans="1:30">
      <c r="A50" s="799"/>
      <c r="B50" s="2161" t="s">
        <v>720</v>
      </c>
      <c r="C50" s="823"/>
      <c r="D50" s="780"/>
      <c r="E50" s="780"/>
      <c r="F50" s="780"/>
      <c r="G50" s="884"/>
      <c r="H50" s="823"/>
      <c r="I50" s="780"/>
      <c r="J50" s="780"/>
      <c r="K50" s="780"/>
      <c r="L50" s="884"/>
      <c r="M50" s="823"/>
      <c r="N50" s="780"/>
      <c r="O50" s="780"/>
      <c r="P50" s="780"/>
      <c r="Q50" s="884"/>
    </row>
    <row r="51" spans="1:30">
      <c r="A51" s="799"/>
      <c r="B51" s="2161" t="s">
        <v>721</v>
      </c>
      <c r="C51" s="823"/>
      <c r="D51" s="780"/>
      <c r="E51" s="780"/>
      <c r="F51" s="780"/>
      <c r="G51" s="884"/>
      <c r="H51" s="823"/>
      <c r="I51" s="780"/>
      <c r="J51" s="780"/>
      <c r="K51" s="780"/>
      <c r="L51" s="884"/>
      <c r="M51" s="823"/>
      <c r="N51" s="780"/>
      <c r="O51" s="780"/>
      <c r="P51" s="780"/>
      <c r="Q51" s="884"/>
    </row>
    <row r="52" spans="1:30" s="2336" customFormat="1">
      <c r="A52" s="799"/>
      <c r="B52" s="2161" t="s">
        <v>66</v>
      </c>
      <c r="C52" s="823"/>
      <c r="D52" s="780"/>
      <c r="E52" s="780"/>
      <c r="F52" s="780"/>
      <c r="G52" s="884"/>
      <c r="H52" s="823"/>
      <c r="I52" s="780"/>
      <c r="J52" s="780"/>
      <c r="K52" s="780"/>
      <c r="L52" s="884"/>
      <c r="M52" s="823"/>
      <c r="N52" s="780"/>
      <c r="O52" s="780"/>
      <c r="P52" s="780"/>
      <c r="Q52" s="884"/>
      <c r="R52" s="1427"/>
      <c r="S52" s="1427"/>
      <c r="T52" s="1427"/>
      <c r="U52" s="1427"/>
      <c r="V52" s="1427"/>
      <c r="W52" s="1427"/>
      <c r="X52" s="1427"/>
      <c r="Y52" s="1427"/>
      <c r="Z52" s="1427"/>
      <c r="AA52" s="1427"/>
      <c r="AB52" s="1427"/>
      <c r="AC52" s="1427"/>
      <c r="AD52" s="1427"/>
    </row>
    <row r="53" spans="1:30" s="2336" customFormat="1">
      <c r="A53" s="799"/>
      <c r="B53" s="2161" t="s">
        <v>67</v>
      </c>
      <c r="C53" s="823"/>
      <c r="D53" s="780"/>
      <c r="E53" s="780"/>
      <c r="F53" s="780"/>
      <c r="G53" s="884"/>
      <c r="H53" s="823"/>
      <c r="I53" s="780"/>
      <c r="J53" s="780"/>
      <c r="K53" s="780"/>
      <c r="L53" s="884"/>
      <c r="M53" s="823"/>
      <c r="N53" s="780"/>
      <c r="O53" s="780"/>
      <c r="P53" s="780"/>
      <c r="Q53" s="884"/>
      <c r="R53" s="1427"/>
      <c r="S53" s="1427"/>
      <c r="T53" s="1427"/>
      <c r="U53" s="1427"/>
      <c r="V53" s="1427"/>
      <c r="W53" s="1427"/>
      <c r="X53" s="1427"/>
      <c r="Y53" s="1427"/>
      <c r="Z53" s="1427"/>
      <c r="AA53" s="1427"/>
      <c r="AB53" s="1427"/>
      <c r="AC53" s="1427"/>
      <c r="AD53" s="1427"/>
    </row>
    <row r="54" spans="1:30">
      <c r="A54" s="799"/>
      <c r="B54" s="1476" t="s">
        <v>81</v>
      </c>
      <c r="C54" s="823"/>
      <c r="D54" s="780"/>
      <c r="E54" s="780"/>
      <c r="F54" s="780"/>
      <c r="G54" s="884"/>
      <c r="H54" s="823"/>
      <c r="I54" s="780"/>
      <c r="J54" s="780"/>
      <c r="K54" s="780"/>
      <c r="L54" s="884"/>
      <c r="M54" s="823"/>
      <c r="N54" s="780"/>
      <c r="O54" s="780"/>
      <c r="P54" s="780"/>
      <c r="Q54" s="884"/>
    </row>
    <row r="55" spans="1:30" ht="13.5" thickBot="1">
      <c r="A55" s="799"/>
      <c r="B55" s="1477" t="s">
        <v>81</v>
      </c>
      <c r="C55" s="823"/>
      <c r="D55" s="780"/>
      <c r="E55" s="780"/>
      <c r="F55" s="780"/>
      <c r="G55" s="884"/>
      <c r="H55" s="823"/>
      <c r="I55" s="780"/>
      <c r="J55" s="780"/>
      <c r="K55" s="780"/>
      <c r="L55" s="884"/>
      <c r="M55" s="823"/>
      <c r="N55" s="780"/>
      <c r="O55" s="780"/>
      <c r="P55" s="780"/>
      <c r="Q55" s="884"/>
    </row>
    <row r="56" spans="1:30" s="1756" customFormat="1">
      <c r="A56" s="799"/>
      <c r="B56" s="2000" t="s">
        <v>676</v>
      </c>
      <c r="C56" s="2001"/>
      <c r="D56" s="2002"/>
      <c r="E56" s="2002"/>
      <c r="F56" s="2002"/>
      <c r="G56" s="2003"/>
      <c r="H56" s="2001"/>
      <c r="I56" s="2002"/>
      <c r="J56" s="2002"/>
      <c r="K56" s="2002"/>
      <c r="L56" s="2003"/>
      <c r="M56" s="2001"/>
      <c r="N56" s="2002"/>
      <c r="O56" s="2002"/>
      <c r="P56" s="2002"/>
      <c r="Q56" s="2003"/>
      <c r="R56" s="1427"/>
      <c r="S56" s="1427"/>
      <c r="T56" s="1427"/>
      <c r="U56" s="1427"/>
      <c r="V56" s="1427"/>
      <c r="W56" s="1427"/>
      <c r="X56" s="1427"/>
      <c r="Y56" s="1427"/>
      <c r="Z56" s="1427"/>
      <c r="AA56" s="1427"/>
      <c r="AB56" s="1427"/>
      <c r="AC56" s="1427"/>
      <c r="AD56" s="1427"/>
    </row>
    <row r="57" spans="1:30">
      <c r="A57" s="799"/>
      <c r="B57" s="1755" t="s">
        <v>67</v>
      </c>
      <c r="C57" s="823"/>
      <c r="D57" s="780"/>
      <c r="E57" s="780"/>
      <c r="F57" s="780"/>
      <c r="G57" s="884"/>
      <c r="H57" s="823"/>
      <c r="I57" s="780"/>
      <c r="J57" s="780"/>
      <c r="K57" s="780"/>
      <c r="L57" s="884"/>
      <c r="M57" s="823"/>
      <c r="N57" s="780"/>
      <c r="O57" s="780"/>
      <c r="P57" s="780"/>
      <c r="Q57" s="884"/>
    </row>
    <row r="58" spans="1:30">
      <c r="A58" s="799"/>
      <c r="B58" s="1476" t="s">
        <v>81</v>
      </c>
      <c r="C58" s="823"/>
      <c r="D58" s="780"/>
      <c r="E58" s="780"/>
      <c r="F58" s="780"/>
      <c r="G58" s="884"/>
      <c r="H58" s="823"/>
      <c r="I58" s="780"/>
      <c r="J58" s="780"/>
      <c r="K58" s="780"/>
      <c r="L58" s="884"/>
      <c r="M58" s="823"/>
      <c r="N58" s="780"/>
      <c r="O58" s="780"/>
      <c r="P58" s="780"/>
      <c r="Q58" s="884"/>
    </row>
    <row r="59" spans="1:30">
      <c r="A59" s="799"/>
      <c r="B59" s="1476" t="s">
        <v>81</v>
      </c>
      <c r="C59" s="823"/>
      <c r="D59" s="780"/>
      <c r="E59" s="780"/>
      <c r="F59" s="780"/>
      <c r="G59" s="884"/>
      <c r="H59" s="823"/>
      <c r="I59" s="780"/>
      <c r="J59" s="780"/>
      <c r="K59" s="780"/>
      <c r="L59" s="884"/>
      <c r="M59" s="823"/>
      <c r="N59" s="780"/>
      <c r="O59" s="780"/>
      <c r="P59" s="780"/>
      <c r="Q59" s="884"/>
    </row>
    <row r="60" spans="1:30">
      <c r="A60" s="799"/>
      <c r="B60" s="1476" t="s">
        <v>81</v>
      </c>
      <c r="C60" s="823"/>
      <c r="D60" s="780"/>
      <c r="E60" s="780"/>
      <c r="F60" s="780"/>
      <c r="G60" s="884"/>
      <c r="H60" s="823"/>
      <c r="I60" s="780"/>
      <c r="J60" s="780"/>
      <c r="K60" s="780"/>
      <c r="L60" s="884"/>
      <c r="M60" s="823"/>
      <c r="N60" s="780"/>
      <c r="O60" s="780"/>
      <c r="P60" s="780"/>
      <c r="Q60" s="884"/>
    </row>
    <row r="61" spans="1:30">
      <c r="A61" s="799"/>
      <c r="B61" s="1476" t="s">
        <v>81</v>
      </c>
      <c r="C61" s="823"/>
      <c r="D61" s="780"/>
      <c r="E61" s="780"/>
      <c r="F61" s="780"/>
      <c r="G61" s="884"/>
      <c r="H61" s="823"/>
      <c r="I61" s="780"/>
      <c r="J61" s="780"/>
      <c r="K61" s="780"/>
      <c r="L61" s="884"/>
      <c r="M61" s="823"/>
      <c r="N61" s="780"/>
      <c r="O61" s="780"/>
      <c r="P61" s="780"/>
      <c r="Q61" s="884"/>
    </row>
    <row r="62" spans="1:30">
      <c r="A62" s="799"/>
      <c r="B62" s="1476" t="s">
        <v>81</v>
      </c>
      <c r="C62" s="823"/>
      <c r="D62" s="780"/>
      <c r="E62" s="780"/>
      <c r="F62" s="780"/>
      <c r="G62" s="884"/>
      <c r="H62" s="823"/>
      <c r="I62" s="780"/>
      <c r="J62" s="780"/>
      <c r="K62" s="780"/>
      <c r="L62" s="884"/>
      <c r="M62" s="823"/>
      <c r="N62" s="780"/>
      <c r="O62" s="780"/>
      <c r="P62" s="780"/>
      <c r="Q62" s="884"/>
    </row>
    <row r="63" spans="1:30" ht="19.5" customHeight="1" thickBot="1">
      <c r="A63" s="799"/>
      <c r="B63" s="1020" t="s">
        <v>23</v>
      </c>
      <c r="C63" s="1478">
        <f t="shared" ref="C63:Q63" si="0">SUM(C24:C62)</f>
        <v>0</v>
      </c>
      <c r="D63" s="1479">
        <f t="shared" si="0"/>
        <v>0</v>
      </c>
      <c r="E63" s="1479">
        <f t="shared" si="0"/>
        <v>0</v>
      </c>
      <c r="F63" s="1479">
        <f t="shared" si="0"/>
        <v>0</v>
      </c>
      <c r="G63" s="1480">
        <f t="shared" si="0"/>
        <v>0</v>
      </c>
      <c r="H63" s="1478">
        <f t="shared" si="0"/>
        <v>0</v>
      </c>
      <c r="I63" s="1479">
        <f t="shared" si="0"/>
        <v>0</v>
      </c>
      <c r="J63" s="1479">
        <f t="shared" si="0"/>
        <v>0</v>
      </c>
      <c r="K63" s="1479">
        <f t="shared" si="0"/>
        <v>0</v>
      </c>
      <c r="L63" s="1480">
        <f t="shared" si="0"/>
        <v>0</v>
      </c>
      <c r="M63" s="1478">
        <f t="shared" si="0"/>
        <v>0</v>
      </c>
      <c r="N63" s="1479">
        <f t="shared" si="0"/>
        <v>0</v>
      </c>
      <c r="O63" s="1479">
        <f t="shared" si="0"/>
        <v>0</v>
      </c>
      <c r="P63" s="1479">
        <f t="shared" si="0"/>
        <v>0</v>
      </c>
      <c r="Q63" s="1480">
        <f t="shared" si="0"/>
        <v>0</v>
      </c>
    </row>
    <row r="64" spans="1:30" s="1092" customFormat="1" ht="28.5" customHeight="1" thickBot="1">
      <c r="A64" s="1091"/>
      <c r="B64" s="1991" t="s">
        <v>125</v>
      </c>
      <c r="C64" s="1413"/>
      <c r="D64" s="1414"/>
      <c r="E64" s="1414"/>
      <c r="F64" s="1414"/>
      <c r="G64" s="1414"/>
      <c r="H64" s="1414"/>
      <c r="I64" s="1414"/>
      <c r="J64" s="1414"/>
      <c r="K64" s="1414"/>
      <c r="L64" s="1414"/>
      <c r="M64" s="1414"/>
      <c r="N64" s="1414"/>
      <c r="O64" s="1414"/>
      <c r="P64" s="1414"/>
      <c r="Q64" s="1452"/>
      <c r="R64"/>
      <c r="S64"/>
      <c r="T64"/>
      <c r="U64"/>
      <c r="V64"/>
      <c r="W64"/>
      <c r="X64"/>
      <c r="Y64"/>
      <c r="Z64"/>
      <c r="AA64"/>
      <c r="AB64"/>
      <c r="AC64"/>
      <c r="AD64"/>
    </row>
    <row r="65" spans="1:30" s="1092" customFormat="1" ht="28.5" customHeight="1">
      <c r="A65" s="1091"/>
      <c r="B65" s="2339"/>
      <c r="C65" s="2339"/>
      <c r="D65" s="2339"/>
      <c r="E65" s="2339"/>
      <c r="F65" s="2339"/>
      <c r="G65" s="2339"/>
      <c r="H65" s="2339"/>
      <c r="I65" s="2339"/>
      <c r="J65" s="2339"/>
      <c r="K65" s="2339"/>
      <c r="L65" s="2339"/>
      <c r="M65" s="2339"/>
      <c r="N65" s="2339"/>
      <c r="O65" s="2339"/>
      <c r="P65" s="2339"/>
      <c r="Q65" s="2339"/>
      <c r="R65" s="1427"/>
      <c r="S65" s="1427"/>
      <c r="T65" s="1427"/>
      <c r="U65" s="1427"/>
      <c r="V65" s="1427"/>
      <c r="W65" s="1427"/>
      <c r="X65" s="1427"/>
      <c r="Y65" s="1427"/>
      <c r="Z65" s="1427"/>
      <c r="AA65" s="1427"/>
      <c r="AB65" s="1427"/>
      <c r="AC65" s="1427"/>
      <c r="AD65" s="1427"/>
    </row>
    <row r="66" spans="1:30" s="1092" customFormat="1" ht="28.5" customHeight="1" thickBot="1">
      <c r="A66" s="1091"/>
      <c r="B66" s="2339"/>
      <c r="C66" s="2339"/>
      <c r="D66" s="2339"/>
      <c r="E66" s="2339"/>
      <c r="F66" s="2339"/>
      <c r="G66" s="2339"/>
      <c r="H66" s="2339"/>
      <c r="I66" s="2339"/>
      <c r="J66" s="2339"/>
      <c r="K66" s="2339"/>
      <c r="L66" s="2339"/>
      <c r="M66" s="2339"/>
      <c r="N66" s="2339"/>
      <c r="O66" s="2339"/>
      <c r="P66" s="2339"/>
      <c r="Q66" s="2339"/>
      <c r="R66" s="1427"/>
      <c r="S66" s="1427"/>
      <c r="T66" s="1427"/>
      <c r="U66" s="1427"/>
      <c r="V66" s="1427"/>
      <c r="W66" s="1427"/>
      <c r="X66" s="1427"/>
      <c r="Y66" s="1427"/>
      <c r="Z66" s="1427"/>
      <c r="AA66" s="1427"/>
      <c r="AB66" s="1427"/>
      <c r="AC66" s="1427"/>
      <c r="AD66" s="1427"/>
    </row>
    <row r="67" spans="1:30" s="1427" customFormat="1" ht="34.5" customHeight="1" thickBot="1">
      <c r="A67" s="1429"/>
      <c r="B67" s="1576" t="s">
        <v>412</v>
      </c>
      <c r="C67" s="1577"/>
      <c r="D67" s="1577"/>
      <c r="E67" s="1577"/>
      <c r="F67" s="1577"/>
      <c r="G67" s="1577"/>
      <c r="H67" s="1577"/>
      <c r="I67" s="1577"/>
      <c r="J67" s="1577"/>
      <c r="K67" s="1577"/>
      <c r="L67" s="1577"/>
      <c r="M67" s="1577"/>
      <c r="N67" s="1577"/>
      <c r="O67" s="1577"/>
      <c r="P67" s="1577"/>
      <c r="Q67" s="1578"/>
    </row>
    <row r="68" spans="1:30" s="1017" customFormat="1" ht="16.5" customHeight="1">
      <c r="A68" s="1016"/>
      <c r="B68" s="4089"/>
      <c r="C68" s="4221" t="s">
        <v>36</v>
      </c>
      <c r="D68" s="4096"/>
      <c r="E68" s="4096"/>
      <c r="F68" s="4096"/>
      <c r="G68" s="4096"/>
      <c r="H68" s="4078" t="s">
        <v>37</v>
      </c>
      <c r="I68" s="4079"/>
      <c r="J68" s="4079"/>
      <c r="K68" s="4079"/>
      <c r="L68" s="4079"/>
      <c r="M68" s="4080" t="s">
        <v>73</v>
      </c>
      <c r="N68" s="4080"/>
      <c r="O68" s="4080"/>
      <c r="P68" s="4080"/>
      <c r="Q68" s="4108"/>
      <c r="R68"/>
      <c r="S68"/>
      <c r="T68"/>
      <c r="U68"/>
      <c r="V68"/>
      <c r="W68"/>
      <c r="X68"/>
      <c r="Y68"/>
      <c r="Z68"/>
      <c r="AA68"/>
      <c r="AB68"/>
      <c r="AC68"/>
      <c r="AD68"/>
    </row>
    <row r="69" spans="1:30" s="1019" customFormat="1" ht="15" customHeight="1">
      <c r="A69" s="1016"/>
      <c r="B69" s="4223"/>
      <c r="C69" s="4224" t="s">
        <v>366</v>
      </c>
      <c r="D69" s="3507"/>
      <c r="E69" s="3507"/>
      <c r="F69" s="3507"/>
      <c r="G69" s="3507"/>
      <c r="H69" s="3507"/>
      <c r="I69" s="3507"/>
      <c r="J69" s="3507"/>
      <c r="K69" s="3507"/>
      <c r="L69" s="3507"/>
      <c r="M69" s="3507"/>
      <c r="N69" s="3507"/>
      <c r="O69" s="3507"/>
      <c r="P69" s="3507"/>
      <c r="Q69" s="4225"/>
      <c r="R69"/>
      <c r="S69"/>
      <c r="T69"/>
      <c r="U69"/>
      <c r="V69"/>
      <c r="W69"/>
      <c r="X69"/>
      <c r="Y69"/>
      <c r="Z69"/>
      <c r="AA69"/>
      <c r="AB69"/>
      <c r="AC69"/>
      <c r="AD69"/>
    </row>
    <row r="70" spans="1:30" s="1017" customFormat="1" ht="16.5" customHeight="1">
      <c r="A70" s="1016"/>
      <c r="B70" s="4223"/>
      <c r="C70" s="4082" t="s">
        <v>54</v>
      </c>
      <c r="D70" s="4083"/>
      <c r="E70" s="4083"/>
      <c r="F70" s="4083"/>
      <c r="G70" s="4083"/>
      <c r="H70" s="4083"/>
      <c r="I70" s="4083"/>
      <c r="J70" s="4119"/>
      <c r="K70" s="3510" t="s">
        <v>55</v>
      </c>
      <c r="L70" s="4085"/>
      <c r="M70" s="4085"/>
      <c r="N70" s="4085"/>
      <c r="O70" s="4085"/>
      <c r="P70" s="4085"/>
      <c r="Q70" s="4118"/>
      <c r="R70"/>
      <c r="S70"/>
      <c r="T70"/>
      <c r="U70"/>
      <c r="V70"/>
      <c r="W70"/>
      <c r="X70"/>
      <c r="Y70"/>
      <c r="Z70"/>
      <c r="AA70"/>
      <c r="AB70"/>
      <c r="AC70"/>
      <c r="AD70"/>
    </row>
    <row r="71" spans="1:30" s="1019" customFormat="1" ht="12.75" customHeight="1" thickBot="1">
      <c r="A71" s="1018"/>
      <c r="B71" s="4223"/>
      <c r="C71" s="1029">
        <f t="array" ref="C71:G71">PRCP</f>
        <v>2008</v>
      </c>
      <c r="D71" s="1027">
        <v>2009</v>
      </c>
      <c r="E71" s="1027">
        <v>2010</v>
      </c>
      <c r="F71" s="1027">
        <v>2011</v>
      </c>
      <c r="G71" s="1027">
        <v>2012</v>
      </c>
      <c r="H71" s="1028">
        <f>CRCP_y1</f>
        <v>2013</v>
      </c>
      <c r="I71" s="1028">
        <f>CRCP_y2</f>
        <v>2014</v>
      </c>
      <c r="J71" s="1028">
        <f>CRCP_y3</f>
        <v>2015</v>
      </c>
      <c r="K71" s="1028">
        <f>CRCP_y4</f>
        <v>2016</v>
      </c>
      <c r="L71" s="1028">
        <f>CRCP_y5</f>
        <v>2017</v>
      </c>
      <c r="M71" s="1027" t="str">
        <f t="array" ref="M71:Q71">FRCP</f>
        <v>2018</v>
      </c>
      <c r="N71" s="1027">
        <v>2019</v>
      </c>
      <c r="O71" s="1027">
        <v>2020</v>
      </c>
      <c r="P71" s="1027">
        <v>2021</v>
      </c>
      <c r="Q71" s="1030">
        <v>2022</v>
      </c>
      <c r="R71"/>
      <c r="S71"/>
      <c r="T71"/>
      <c r="U71"/>
      <c r="V71"/>
      <c r="W71"/>
      <c r="X71"/>
      <c r="Y71"/>
      <c r="Z71"/>
      <c r="AA71"/>
      <c r="AB71"/>
      <c r="AC71"/>
      <c r="AD71"/>
    </row>
    <row r="72" spans="1:30">
      <c r="A72" s="799"/>
      <c r="B72" s="793" t="s">
        <v>18</v>
      </c>
      <c r="C72" s="881"/>
      <c r="D72" s="882"/>
      <c r="E72" s="882"/>
      <c r="F72" s="882"/>
      <c r="G72" s="883"/>
      <c r="H72" s="881"/>
      <c r="I72" s="882"/>
      <c r="J72" s="882"/>
      <c r="K72" s="882"/>
      <c r="L72" s="883"/>
      <c r="M72" s="881"/>
      <c r="N72" s="882"/>
      <c r="O72" s="882"/>
      <c r="P72" s="882"/>
      <c r="Q72" s="883"/>
    </row>
    <row r="73" spans="1:30">
      <c r="A73" s="799"/>
      <c r="B73" s="794" t="s">
        <v>21</v>
      </c>
      <c r="C73" s="823"/>
      <c r="D73" s="780"/>
      <c r="E73" s="780"/>
      <c r="F73" s="780"/>
      <c r="G73" s="884"/>
      <c r="H73" s="823"/>
      <c r="I73" s="780"/>
      <c r="J73" s="780"/>
      <c r="K73" s="780"/>
      <c r="L73" s="884"/>
      <c r="M73" s="823"/>
      <c r="N73" s="780"/>
      <c r="O73" s="780"/>
      <c r="P73" s="780"/>
      <c r="Q73" s="884"/>
    </row>
    <row r="74" spans="1:30">
      <c r="A74" s="799"/>
      <c r="B74" s="794" t="s">
        <v>22</v>
      </c>
      <c r="C74" s="823"/>
      <c r="D74" s="780"/>
      <c r="E74" s="780"/>
      <c r="F74" s="780"/>
      <c r="G74" s="884"/>
      <c r="H74" s="823"/>
      <c r="I74" s="780"/>
      <c r="J74" s="780"/>
      <c r="K74" s="780"/>
      <c r="L74" s="884"/>
      <c r="M74" s="823"/>
      <c r="N74" s="780"/>
      <c r="O74" s="780"/>
      <c r="P74" s="780"/>
      <c r="Q74" s="884"/>
    </row>
    <row r="75" spans="1:30" ht="13.5" thickBot="1">
      <c r="A75" s="799"/>
      <c r="B75" s="1999" t="s">
        <v>63</v>
      </c>
      <c r="C75" s="1481">
        <f>C72+C73+C74</f>
        <v>0</v>
      </c>
      <c r="D75" s="1482">
        <f t="shared" ref="D75:Q75" si="1">D72+D73+D74</f>
        <v>0</v>
      </c>
      <c r="E75" s="1482">
        <f t="shared" si="1"/>
        <v>0</v>
      </c>
      <c r="F75" s="1482">
        <f t="shared" si="1"/>
        <v>0</v>
      </c>
      <c r="G75" s="1483">
        <f t="shared" si="1"/>
        <v>0</v>
      </c>
      <c r="H75" s="1481">
        <f t="shared" si="1"/>
        <v>0</v>
      </c>
      <c r="I75" s="1482">
        <f t="shared" si="1"/>
        <v>0</v>
      </c>
      <c r="J75" s="1482">
        <f t="shared" si="1"/>
        <v>0</v>
      </c>
      <c r="K75" s="1482">
        <f t="shared" ref="K75" si="2">K72+K73+K74</f>
        <v>0</v>
      </c>
      <c r="L75" s="1483">
        <f t="shared" si="1"/>
        <v>0</v>
      </c>
      <c r="M75" s="1481">
        <f t="shared" si="1"/>
        <v>0</v>
      </c>
      <c r="N75" s="1482">
        <f t="shared" si="1"/>
        <v>0</v>
      </c>
      <c r="O75" s="1482">
        <f t="shared" si="1"/>
        <v>0</v>
      </c>
      <c r="P75" s="1482">
        <f t="shared" si="1"/>
        <v>0</v>
      </c>
      <c r="Q75" s="1483">
        <f t="shared" si="1"/>
        <v>0</v>
      </c>
    </row>
    <row r="76" spans="1:30" s="1092" customFormat="1" ht="28.5" customHeight="1" thickBot="1">
      <c r="A76" s="1091"/>
      <c r="B76" s="1723" t="s">
        <v>125</v>
      </c>
      <c r="C76" s="1413"/>
      <c r="D76" s="1414"/>
      <c r="E76" s="1414"/>
      <c r="F76" s="1414"/>
      <c r="G76" s="1414"/>
      <c r="H76" s="1414"/>
      <c r="I76" s="1414"/>
      <c r="J76" s="1414"/>
      <c r="K76" s="1414"/>
      <c r="L76" s="1414"/>
      <c r="M76" s="1414"/>
      <c r="N76" s="1414"/>
      <c r="O76" s="1414"/>
      <c r="P76" s="1414"/>
      <c r="Q76" s="1452"/>
      <c r="R76"/>
      <c r="S76"/>
      <c r="T76"/>
      <c r="U76"/>
      <c r="V76"/>
      <c r="W76"/>
      <c r="X76"/>
      <c r="Y76"/>
      <c r="Z76"/>
      <c r="AA76"/>
      <c r="AB76"/>
      <c r="AC76"/>
      <c r="AD76"/>
    </row>
    <row r="77" spans="1:30" ht="18.75" customHeight="1" thickBot="1">
      <c r="A77" s="799"/>
    </row>
    <row r="78" spans="1:30" s="1427" customFormat="1" ht="34.5" customHeight="1" thickBot="1">
      <c r="A78" s="1429"/>
      <c r="B78" s="1576" t="s">
        <v>575</v>
      </c>
      <c r="C78" s="1577"/>
      <c r="D78" s="1577"/>
      <c r="E78" s="1577"/>
      <c r="F78" s="1577"/>
      <c r="G78" s="1577"/>
      <c r="H78" s="1577"/>
      <c r="I78" s="1577"/>
      <c r="J78" s="1577"/>
      <c r="K78" s="1577"/>
      <c r="L78" s="1577"/>
      <c r="M78" s="1577"/>
      <c r="N78" s="1577"/>
      <c r="O78" s="1577"/>
      <c r="P78" s="1577"/>
      <c r="Q78" s="1578"/>
    </row>
    <row r="79" spans="1:30" s="1017" customFormat="1" ht="16.5" customHeight="1">
      <c r="A79" s="1016"/>
      <c r="B79" s="4227"/>
      <c r="C79" s="4221" t="s">
        <v>36</v>
      </c>
      <c r="D79" s="4096"/>
      <c r="E79" s="4096"/>
      <c r="F79" s="4096"/>
      <c r="G79" s="4096"/>
      <c r="H79" s="4078" t="s">
        <v>37</v>
      </c>
      <c r="I79" s="4079"/>
      <c r="J79" s="4079"/>
      <c r="K79" s="4079"/>
      <c r="L79" s="4079"/>
      <c r="M79" s="4080" t="s">
        <v>73</v>
      </c>
      <c r="N79" s="4080"/>
      <c r="O79" s="4080"/>
      <c r="P79" s="4080"/>
      <c r="Q79" s="4081"/>
      <c r="R79"/>
      <c r="S79"/>
      <c r="T79"/>
      <c r="U79"/>
      <c r="V79"/>
      <c r="W79"/>
      <c r="X79"/>
      <c r="Y79"/>
      <c r="Z79"/>
      <c r="AA79"/>
      <c r="AB79"/>
      <c r="AC79"/>
      <c r="AD79"/>
    </row>
    <row r="80" spans="1:30" s="1019" customFormat="1" ht="15" customHeight="1">
      <c r="A80" s="1016"/>
      <c r="B80" s="4228"/>
      <c r="C80" s="4082" t="s">
        <v>215</v>
      </c>
      <c r="D80" s="4083"/>
      <c r="E80" s="4083"/>
      <c r="F80" s="4083"/>
      <c r="G80" s="4083"/>
      <c r="H80" s="4083"/>
      <c r="I80" s="4083"/>
      <c r="J80" s="4083"/>
      <c r="K80" s="4083"/>
      <c r="L80" s="4083"/>
      <c r="M80" s="4083"/>
      <c r="N80" s="4083"/>
      <c r="O80" s="4083"/>
      <c r="P80" s="4083"/>
      <c r="Q80" s="4084"/>
      <c r="R80"/>
      <c r="S80"/>
      <c r="T80"/>
      <c r="U80"/>
      <c r="V80"/>
      <c r="W80"/>
      <c r="X80"/>
      <c r="Y80"/>
      <c r="Z80"/>
      <c r="AA80"/>
      <c r="AB80"/>
      <c r="AC80"/>
      <c r="AD80"/>
    </row>
    <row r="81" spans="1:30" s="1017" customFormat="1" ht="16.5" customHeight="1">
      <c r="A81" s="1016"/>
      <c r="B81" s="4228"/>
      <c r="C81" s="4082" t="s">
        <v>54</v>
      </c>
      <c r="D81" s="4083"/>
      <c r="E81" s="4083"/>
      <c r="F81" s="4083"/>
      <c r="G81" s="4083"/>
      <c r="H81" s="4083"/>
      <c r="I81" s="4083"/>
      <c r="J81" s="4119"/>
      <c r="K81" s="3510" t="s">
        <v>55</v>
      </c>
      <c r="L81" s="4085"/>
      <c r="M81" s="4085"/>
      <c r="N81" s="4085"/>
      <c r="O81" s="4085"/>
      <c r="P81" s="4085"/>
      <c r="Q81" s="4118"/>
      <c r="R81"/>
      <c r="S81"/>
      <c r="T81"/>
      <c r="U81"/>
      <c r="V81"/>
      <c r="W81"/>
      <c r="X81"/>
      <c r="Y81"/>
      <c r="Z81"/>
      <c r="AA81"/>
      <c r="AB81"/>
      <c r="AC81"/>
      <c r="AD81"/>
    </row>
    <row r="82" spans="1:30" s="1019" customFormat="1" ht="12.75" customHeight="1" thickBot="1">
      <c r="A82" s="1018"/>
      <c r="B82" s="4228"/>
      <c r="C82" s="1029">
        <f t="array" ref="C82:G82">PRCP</f>
        <v>2008</v>
      </c>
      <c r="D82" s="1027">
        <v>2009</v>
      </c>
      <c r="E82" s="1027">
        <v>2010</v>
      </c>
      <c r="F82" s="1027">
        <v>2011</v>
      </c>
      <c r="G82" s="1027">
        <v>2012</v>
      </c>
      <c r="H82" s="1028">
        <f>CRCP_y1</f>
        <v>2013</v>
      </c>
      <c r="I82" s="1028">
        <f>CRCP_y2</f>
        <v>2014</v>
      </c>
      <c r="J82" s="1028">
        <f>CRCP_y3</f>
        <v>2015</v>
      </c>
      <c r="K82" s="1028">
        <f>CRCP_y4</f>
        <v>2016</v>
      </c>
      <c r="L82" s="1028">
        <f>CRCP_y5</f>
        <v>2017</v>
      </c>
      <c r="M82" s="1027" t="str">
        <f t="array" ref="M82:Q82">FRCP</f>
        <v>2018</v>
      </c>
      <c r="N82" s="1027">
        <v>2019</v>
      </c>
      <c r="O82" s="1027">
        <v>2020</v>
      </c>
      <c r="P82" s="1027">
        <v>2021</v>
      </c>
      <c r="Q82" s="1095">
        <v>2022</v>
      </c>
      <c r="R82"/>
      <c r="S82"/>
      <c r="T82"/>
      <c r="U82"/>
      <c r="V82"/>
      <c r="W82"/>
      <c r="X82"/>
      <c r="Y82"/>
      <c r="Z82"/>
      <c r="AA82"/>
      <c r="AB82"/>
      <c r="AC82"/>
      <c r="AD82"/>
    </row>
    <row r="83" spans="1:30" ht="15" customHeight="1">
      <c r="A83" s="799"/>
      <c r="B83" s="1093" t="s">
        <v>83</v>
      </c>
      <c r="C83" s="462"/>
      <c r="D83" s="463"/>
      <c r="E83" s="463"/>
      <c r="F83" s="463"/>
      <c r="G83" s="562"/>
      <c r="H83" s="462"/>
      <c r="I83" s="463"/>
      <c r="J83" s="463"/>
      <c r="K83" s="463"/>
      <c r="L83" s="562"/>
      <c r="M83" s="462"/>
      <c r="N83" s="463"/>
      <c r="O83" s="463"/>
      <c r="P83" s="463"/>
      <c r="Q83" s="562"/>
    </row>
    <row r="84" spans="1:30" ht="15" customHeight="1">
      <c r="A84" s="799"/>
      <c r="B84" s="1094" t="s">
        <v>83</v>
      </c>
      <c r="C84" s="514"/>
      <c r="D84" s="513"/>
      <c r="E84" s="513"/>
      <c r="F84" s="513"/>
      <c r="G84" s="515"/>
      <c r="H84" s="514"/>
      <c r="I84" s="513"/>
      <c r="J84" s="513"/>
      <c r="K84" s="513"/>
      <c r="L84" s="515"/>
      <c r="M84" s="514"/>
      <c r="N84" s="513"/>
      <c r="O84" s="513"/>
      <c r="P84" s="513"/>
      <c r="Q84" s="515"/>
    </row>
    <row r="85" spans="1:30" ht="15" customHeight="1">
      <c r="A85" s="799"/>
      <c r="B85" s="1094" t="s">
        <v>83</v>
      </c>
      <c r="C85" s="514"/>
      <c r="D85" s="513"/>
      <c r="E85" s="513"/>
      <c r="F85" s="513"/>
      <c r="G85" s="515"/>
      <c r="H85" s="514"/>
      <c r="I85" s="513"/>
      <c r="J85" s="513"/>
      <c r="K85" s="513"/>
      <c r="L85" s="515"/>
      <c r="M85" s="514"/>
      <c r="N85" s="513"/>
      <c r="O85" s="513"/>
      <c r="P85" s="513"/>
      <c r="Q85" s="515"/>
    </row>
    <row r="86" spans="1:30" ht="13.5" thickBot="1">
      <c r="A86" s="799"/>
      <c r="B86" s="1999" t="s">
        <v>63</v>
      </c>
      <c r="C86" s="1481">
        <f>SUM(C85)</f>
        <v>0</v>
      </c>
      <c r="D86" s="1482">
        <f t="shared" ref="D86:Q86" si="3">SUM(D85)</f>
        <v>0</v>
      </c>
      <c r="E86" s="1482">
        <f t="shared" si="3"/>
        <v>0</v>
      </c>
      <c r="F86" s="1482">
        <f t="shared" si="3"/>
        <v>0</v>
      </c>
      <c r="G86" s="1483">
        <f t="shared" si="3"/>
        <v>0</v>
      </c>
      <c r="H86" s="1481">
        <f t="shared" si="3"/>
        <v>0</v>
      </c>
      <c r="I86" s="1482">
        <f t="shared" si="3"/>
        <v>0</v>
      </c>
      <c r="J86" s="1482">
        <f t="shared" si="3"/>
        <v>0</v>
      </c>
      <c r="K86" s="1482">
        <f t="shared" ref="K86" si="4">SUM(K85)</f>
        <v>0</v>
      </c>
      <c r="L86" s="1483">
        <f t="shared" si="3"/>
        <v>0</v>
      </c>
      <c r="M86" s="1481">
        <f t="shared" si="3"/>
        <v>0</v>
      </c>
      <c r="N86" s="1482">
        <f t="shared" si="3"/>
        <v>0</v>
      </c>
      <c r="O86" s="1482">
        <f t="shared" si="3"/>
        <v>0</v>
      </c>
      <c r="P86" s="1482">
        <f t="shared" si="3"/>
        <v>0</v>
      </c>
      <c r="Q86" s="1483">
        <f t="shared" si="3"/>
        <v>0</v>
      </c>
    </row>
    <row r="87" spans="1:30" s="1092" customFormat="1" ht="28.5" customHeight="1" thickBot="1">
      <c r="A87" s="1091"/>
      <c r="B87" s="1723" t="s">
        <v>125</v>
      </c>
      <c r="C87" s="4226"/>
      <c r="D87" s="4187"/>
      <c r="E87" s="4187"/>
      <c r="F87" s="4187"/>
      <c r="G87" s="4187"/>
      <c r="H87" s="4187"/>
      <c r="I87" s="4187"/>
      <c r="J87" s="4187"/>
      <c r="K87" s="4187"/>
      <c r="L87" s="4187"/>
      <c r="M87" s="4187"/>
      <c r="N87" s="4187"/>
      <c r="O87" s="4187"/>
      <c r="P87" s="4187"/>
      <c r="Q87" s="4188"/>
      <c r="R87"/>
      <c r="S87"/>
      <c r="T87"/>
      <c r="U87"/>
      <c r="V87"/>
      <c r="W87"/>
      <c r="X87"/>
      <c r="Y87"/>
      <c r="Z87"/>
      <c r="AA87"/>
      <c r="AB87"/>
      <c r="AC87"/>
      <c r="AD87"/>
    </row>
    <row r="89" spans="1:30" ht="13.5" thickBot="1">
      <c r="M89"/>
      <c r="N89"/>
      <c r="O89"/>
      <c r="P89"/>
      <c r="Q89"/>
      <c r="Z89" s="100"/>
      <c r="AA89" s="100"/>
      <c r="AB89" s="100"/>
      <c r="AC89" s="100"/>
      <c r="AD89" s="100"/>
    </row>
    <row r="90" spans="1:30" s="2343" customFormat="1" ht="16.5" thickBot="1">
      <c r="B90" s="1576" t="s">
        <v>738</v>
      </c>
      <c r="C90" s="1577"/>
      <c r="D90" s="1577"/>
      <c r="E90" s="1577"/>
      <c r="F90" s="1577"/>
      <c r="G90" s="1577"/>
      <c r="H90" s="1577"/>
      <c r="I90" s="1577"/>
      <c r="J90" s="1577"/>
      <c r="K90" s="1577"/>
      <c r="L90" s="1577"/>
      <c r="M90" s="1577"/>
      <c r="N90" s="1577"/>
      <c r="O90" s="1577"/>
      <c r="P90" s="1577"/>
      <c r="Q90" s="1578"/>
      <c r="R90" s="1427"/>
      <c r="S90" s="1427"/>
      <c r="T90" s="1427"/>
      <c r="U90" s="1427"/>
      <c r="V90" s="1427"/>
      <c r="W90" s="1427"/>
      <c r="X90" s="1427"/>
      <c r="Y90" s="1427"/>
      <c r="Z90" s="1427"/>
      <c r="AA90" s="1427"/>
      <c r="AB90" s="1427"/>
      <c r="AC90" s="1427"/>
      <c r="AD90" s="1427"/>
    </row>
    <row r="91" spans="1:30" s="2343" customFormat="1">
      <c r="B91" s="4229" t="s">
        <v>740</v>
      </c>
      <c r="C91" s="4221" t="s">
        <v>36</v>
      </c>
      <c r="D91" s="4096"/>
      <c r="E91" s="4096"/>
      <c r="F91" s="4096"/>
      <c r="G91" s="4096"/>
      <c r="H91" s="4078" t="s">
        <v>37</v>
      </c>
      <c r="I91" s="4079"/>
      <c r="J91" s="4079"/>
      <c r="K91" s="4079"/>
      <c r="L91" s="4079"/>
      <c r="M91" s="4080" t="s">
        <v>73</v>
      </c>
      <c r="N91" s="4080"/>
      <c r="O91" s="4080"/>
      <c r="P91" s="4080"/>
      <c r="Q91" s="4108"/>
      <c r="R91" s="1427"/>
      <c r="S91" s="1427"/>
      <c r="T91" s="1427"/>
      <c r="U91" s="1427"/>
      <c r="V91" s="1427"/>
      <c r="W91" s="1427"/>
      <c r="X91" s="1427"/>
      <c r="Y91" s="1427"/>
      <c r="Z91" s="1427"/>
      <c r="AA91" s="1427"/>
      <c r="AB91" s="1427"/>
      <c r="AC91" s="1427"/>
      <c r="AD91" s="1427"/>
    </row>
    <row r="92" spans="1:30" s="2343" customFormat="1">
      <c r="B92" s="4230"/>
      <c r="C92" s="4082" t="s">
        <v>499</v>
      </c>
      <c r="D92" s="4083"/>
      <c r="E92" s="4083"/>
      <c r="F92" s="4083"/>
      <c r="G92" s="4083"/>
      <c r="H92" s="4083"/>
      <c r="I92" s="4083"/>
      <c r="J92" s="4083"/>
      <c r="K92" s="4083"/>
      <c r="L92" s="4083"/>
      <c r="M92" s="4083"/>
      <c r="N92" s="4083"/>
      <c r="O92" s="4083"/>
      <c r="P92" s="4083"/>
      <c r="Q92" s="4117"/>
      <c r="R92" s="1427"/>
      <c r="S92" s="1427"/>
      <c r="T92" s="1427"/>
      <c r="U92" s="1427"/>
      <c r="V92" s="1427"/>
      <c r="W92" s="1427"/>
      <c r="X92" s="1427"/>
      <c r="Y92" s="1427"/>
      <c r="Z92" s="1427"/>
      <c r="AA92" s="1427"/>
      <c r="AB92" s="1427"/>
      <c r="AC92" s="1427"/>
      <c r="AD92" s="1427"/>
    </row>
    <row r="93" spans="1:30" s="2343" customFormat="1">
      <c r="B93" s="4230"/>
      <c r="C93" s="4082" t="s">
        <v>54</v>
      </c>
      <c r="D93" s="4083"/>
      <c r="E93" s="4083"/>
      <c r="F93" s="4083"/>
      <c r="G93" s="4083"/>
      <c r="H93" s="4083"/>
      <c r="I93" s="4083"/>
      <c r="J93" s="4119"/>
      <c r="K93" s="3510" t="s">
        <v>55</v>
      </c>
      <c r="L93" s="4085"/>
      <c r="M93" s="4085"/>
      <c r="N93" s="4085"/>
      <c r="O93" s="4085"/>
      <c r="P93" s="4085"/>
      <c r="Q93" s="4118"/>
      <c r="R93" s="1427"/>
      <c r="S93" s="1427"/>
      <c r="T93" s="1427"/>
      <c r="U93" s="1427"/>
      <c r="V93" s="1427"/>
      <c r="W93" s="1427"/>
      <c r="X93" s="1427"/>
      <c r="Y93" s="1427"/>
      <c r="Z93" s="1427"/>
      <c r="AA93" s="1427"/>
      <c r="AB93" s="1427"/>
      <c r="AC93" s="1427"/>
      <c r="AD93" s="1427"/>
    </row>
    <row r="94" spans="1:30" s="2343" customFormat="1" ht="13.5" thickBot="1">
      <c r="B94" s="4230"/>
      <c r="C94" s="1087">
        <f t="array" ref="C94:G94">PRCP</f>
        <v>2008</v>
      </c>
      <c r="D94" s="1088">
        <v>2009</v>
      </c>
      <c r="E94" s="1088">
        <v>2010</v>
      </c>
      <c r="F94" s="1088">
        <v>2011</v>
      </c>
      <c r="G94" s="1088">
        <v>2012</v>
      </c>
      <c r="H94" s="1089">
        <f>CRCP_y1</f>
        <v>2013</v>
      </c>
      <c r="I94" s="1089">
        <f>CRCP_y2</f>
        <v>2014</v>
      </c>
      <c r="J94" s="1089">
        <f>CRCP_y3</f>
        <v>2015</v>
      </c>
      <c r="K94" s="1089">
        <f>CRCP_y4</f>
        <v>2016</v>
      </c>
      <c r="L94" s="1089">
        <f>CRCP_y5</f>
        <v>2017</v>
      </c>
      <c r="M94" s="1088" t="str">
        <f t="array" ref="M94:Q94">FRCP</f>
        <v>2018</v>
      </c>
      <c r="N94" s="1088">
        <v>2019</v>
      </c>
      <c r="O94" s="1088">
        <v>2020</v>
      </c>
      <c r="P94" s="1088">
        <v>2021</v>
      </c>
      <c r="Q94" s="1090">
        <v>2022</v>
      </c>
      <c r="R94" s="1427"/>
      <c r="S94" s="1427"/>
      <c r="T94" s="1427"/>
      <c r="U94" s="1427"/>
      <c r="V94" s="1427"/>
      <c r="W94" s="1427"/>
      <c r="X94" s="1427"/>
      <c r="Y94" s="1427"/>
      <c r="Z94" s="1427"/>
      <c r="AA94" s="1427"/>
      <c r="AB94" s="1427"/>
      <c r="AC94" s="1427"/>
      <c r="AD94" s="1427"/>
    </row>
    <row r="95" spans="1:30" s="2343" customFormat="1">
      <c r="B95" s="2348" t="s">
        <v>733</v>
      </c>
      <c r="C95" s="2001"/>
      <c r="D95" s="2002"/>
      <c r="E95" s="2002"/>
      <c r="F95" s="2002"/>
      <c r="G95" s="2003"/>
      <c r="H95" s="2001"/>
      <c r="I95" s="2002"/>
      <c r="J95" s="2002"/>
      <c r="K95" s="2002"/>
      <c r="L95" s="2003"/>
      <c r="M95" s="2001"/>
      <c r="N95" s="2002"/>
      <c r="O95" s="2002"/>
      <c r="P95" s="2002"/>
      <c r="Q95" s="2003"/>
      <c r="R95" s="1427"/>
      <c r="S95" s="1427"/>
      <c r="T95" s="1427"/>
      <c r="U95" s="1427"/>
      <c r="V95" s="1427"/>
      <c r="W95" s="1427"/>
      <c r="X95" s="1427"/>
      <c r="Y95" s="1427"/>
      <c r="Z95" s="1427"/>
      <c r="AA95" s="1427"/>
      <c r="AB95" s="1427"/>
      <c r="AC95" s="1427"/>
      <c r="AD95" s="1427"/>
    </row>
    <row r="96" spans="1:30" s="2343" customFormat="1">
      <c r="B96" s="2347"/>
      <c r="C96" s="823"/>
      <c r="D96" s="780"/>
      <c r="E96" s="780"/>
      <c r="F96" s="780"/>
      <c r="G96" s="884"/>
      <c r="H96" s="823"/>
      <c r="I96" s="780"/>
      <c r="J96" s="780"/>
      <c r="K96" s="780"/>
      <c r="L96" s="884"/>
      <c r="M96" s="823"/>
      <c r="N96" s="780"/>
      <c r="O96" s="780"/>
      <c r="P96" s="780"/>
      <c r="Q96" s="884"/>
      <c r="R96" s="1427"/>
      <c r="S96" s="1427"/>
      <c r="T96" s="1427"/>
      <c r="U96" s="1427"/>
      <c r="V96" s="1427"/>
      <c r="W96" s="1427"/>
      <c r="X96" s="1427"/>
      <c r="Y96" s="1427"/>
      <c r="Z96" s="1427"/>
      <c r="AA96" s="1427"/>
      <c r="AB96" s="1427"/>
      <c r="AC96" s="1427"/>
      <c r="AD96" s="1427"/>
    </row>
    <row r="97" spans="2:30" s="2343" customFormat="1">
      <c r="B97" s="2347" t="s">
        <v>64</v>
      </c>
      <c r="C97" s="823"/>
      <c r="D97" s="780"/>
      <c r="E97" s="780"/>
      <c r="F97" s="780"/>
      <c r="G97" s="884"/>
      <c r="H97" s="823"/>
      <c r="I97" s="780"/>
      <c r="J97" s="780"/>
      <c r="K97" s="780"/>
      <c r="L97" s="884"/>
      <c r="M97" s="823"/>
      <c r="N97" s="780"/>
      <c r="O97" s="780"/>
      <c r="P97" s="780"/>
      <c r="Q97" s="884"/>
      <c r="R97" s="1427"/>
      <c r="S97" s="1427"/>
      <c r="T97" s="1427"/>
      <c r="U97" s="1427"/>
      <c r="V97" s="1427"/>
      <c r="W97" s="1427"/>
      <c r="X97" s="1427"/>
      <c r="Y97" s="1427"/>
      <c r="Z97" s="1427"/>
      <c r="AA97" s="1427"/>
      <c r="AB97" s="1427"/>
      <c r="AC97" s="1427"/>
      <c r="AD97" s="1427"/>
    </row>
    <row r="98" spans="2:30" s="2343" customFormat="1">
      <c r="B98" s="2347" t="s">
        <v>65</v>
      </c>
      <c r="C98" s="823"/>
      <c r="D98" s="780"/>
      <c r="E98" s="780"/>
      <c r="F98" s="780"/>
      <c r="G98" s="884"/>
      <c r="H98" s="823"/>
      <c r="I98" s="780"/>
      <c r="J98" s="780"/>
      <c r="K98" s="780"/>
      <c r="L98" s="884"/>
      <c r="M98" s="823"/>
      <c r="N98" s="780"/>
      <c r="O98" s="780"/>
      <c r="P98" s="780"/>
      <c r="Q98" s="884"/>
      <c r="R98" s="1427"/>
      <c r="S98" s="1427"/>
      <c r="T98" s="1427"/>
      <c r="U98" s="1427"/>
      <c r="V98" s="1427"/>
      <c r="W98" s="1427"/>
      <c r="X98" s="1427"/>
      <c r="Y98" s="1427"/>
      <c r="Z98" s="1427"/>
      <c r="AA98" s="1427"/>
      <c r="AB98" s="1427"/>
      <c r="AC98" s="1427"/>
      <c r="AD98" s="1427"/>
    </row>
    <row r="99" spans="2:30" s="2343" customFormat="1">
      <c r="B99" s="2347" t="s">
        <v>82</v>
      </c>
      <c r="C99" s="823"/>
      <c r="D99" s="780"/>
      <c r="E99" s="780"/>
      <c r="F99" s="780"/>
      <c r="G99" s="884"/>
      <c r="H99" s="823"/>
      <c r="I99" s="780"/>
      <c r="J99" s="780"/>
      <c r="K99" s="780"/>
      <c r="L99" s="884"/>
      <c r="M99" s="823"/>
      <c r="N99" s="780"/>
      <c r="O99" s="780"/>
      <c r="P99" s="780"/>
      <c r="Q99" s="884"/>
      <c r="R99" s="1427"/>
      <c r="S99" s="1427"/>
      <c r="T99" s="1427"/>
      <c r="U99" s="1427"/>
      <c r="V99" s="1427"/>
      <c r="W99" s="1427"/>
      <c r="X99" s="1427"/>
      <c r="Y99" s="1427"/>
      <c r="Z99" s="1427"/>
      <c r="AA99" s="1427"/>
      <c r="AB99" s="1427"/>
      <c r="AC99" s="1427"/>
      <c r="AD99" s="1427"/>
    </row>
    <row r="100" spans="2:30" s="2343" customFormat="1">
      <c r="B100" s="2347" t="s">
        <v>719</v>
      </c>
      <c r="C100" s="823"/>
      <c r="D100" s="780"/>
      <c r="E100" s="780"/>
      <c r="F100" s="780"/>
      <c r="G100" s="884"/>
      <c r="H100" s="823"/>
      <c r="I100" s="780"/>
      <c r="J100" s="780"/>
      <c r="K100" s="780"/>
      <c r="L100" s="884"/>
      <c r="M100" s="823"/>
      <c r="N100" s="780"/>
      <c r="O100" s="780"/>
      <c r="P100" s="780"/>
      <c r="Q100" s="884"/>
      <c r="R100" s="1427"/>
      <c r="S100" s="1427"/>
      <c r="T100" s="1427"/>
      <c r="U100" s="1427"/>
      <c r="V100" s="1427"/>
      <c r="W100" s="1427"/>
      <c r="X100" s="1427"/>
      <c r="Y100" s="1427"/>
      <c r="Z100" s="1427"/>
      <c r="AA100" s="1427"/>
      <c r="AB100" s="1427"/>
      <c r="AC100" s="1427"/>
      <c r="AD100" s="1427"/>
    </row>
    <row r="101" spans="2:30" s="2343" customFormat="1">
      <c r="B101" s="2347" t="s">
        <v>720</v>
      </c>
      <c r="C101" s="823"/>
      <c r="D101" s="780"/>
      <c r="E101" s="780"/>
      <c r="F101" s="780"/>
      <c r="G101" s="884"/>
      <c r="H101" s="823"/>
      <c r="I101" s="780"/>
      <c r="J101" s="780"/>
      <c r="K101" s="780"/>
      <c r="L101" s="884"/>
      <c r="M101" s="823"/>
      <c r="N101" s="780"/>
      <c r="O101" s="780"/>
      <c r="P101" s="780"/>
      <c r="Q101" s="884"/>
      <c r="R101" s="1427"/>
      <c r="S101" s="1427"/>
      <c r="T101" s="1427"/>
      <c r="U101" s="1427"/>
      <c r="V101" s="1427"/>
      <c r="W101" s="1427"/>
      <c r="X101" s="1427"/>
      <c r="Y101" s="1427"/>
      <c r="Z101" s="1427"/>
      <c r="AA101" s="1427"/>
      <c r="AB101" s="1427"/>
      <c r="AC101" s="1427"/>
      <c r="AD101" s="1427"/>
    </row>
    <row r="102" spans="2:30" s="2343" customFormat="1">
      <c r="B102" s="2347" t="s">
        <v>721</v>
      </c>
      <c r="C102" s="823"/>
      <c r="D102" s="780"/>
      <c r="E102" s="780"/>
      <c r="F102" s="780"/>
      <c r="G102" s="884"/>
      <c r="H102" s="823"/>
      <c r="I102" s="780"/>
      <c r="J102" s="780"/>
      <c r="K102" s="780"/>
      <c r="L102" s="884"/>
      <c r="M102" s="823"/>
      <c r="N102" s="780"/>
      <c r="O102" s="780"/>
      <c r="P102" s="780"/>
      <c r="Q102" s="884"/>
      <c r="R102" s="1427"/>
      <c r="S102" s="1427"/>
      <c r="T102" s="1427"/>
      <c r="U102" s="1427"/>
      <c r="V102" s="1427"/>
      <c r="W102" s="1427"/>
      <c r="X102" s="1427"/>
      <c r="Y102" s="1427"/>
      <c r="Z102" s="1427"/>
      <c r="AA102" s="1427"/>
      <c r="AB102" s="1427"/>
      <c r="AC102" s="1427"/>
      <c r="AD102" s="1427"/>
    </row>
    <row r="103" spans="2:30" s="2343" customFormat="1">
      <c r="B103" s="2347" t="s">
        <v>66</v>
      </c>
      <c r="C103" s="823"/>
      <c r="D103" s="780"/>
      <c r="E103" s="780"/>
      <c r="F103" s="780"/>
      <c r="G103" s="884"/>
      <c r="H103" s="823"/>
      <c r="I103" s="780"/>
      <c r="J103" s="780"/>
      <c r="K103" s="780"/>
      <c r="L103" s="884"/>
      <c r="M103" s="823"/>
      <c r="N103" s="780"/>
      <c r="O103" s="780"/>
      <c r="P103" s="780"/>
      <c r="Q103" s="884"/>
      <c r="R103" s="1427"/>
      <c r="S103" s="1427"/>
      <c r="T103" s="1427"/>
      <c r="U103" s="1427"/>
      <c r="V103" s="1427"/>
      <c r="W103" s="1427"/>
      <c r="X103" s="1427"/>
      <c r="Y103" s="1427"/>
      <c r="Z103" s="1427"/>
      <c r="AA103" s="1427"/>
      <c r="AB103" s="1427"/>
      <c r="AC103" s="1427"/>
      <c r="AD103" s="1427"/>
    </row>
    <row r="104" spans="2:30" s="2343" customFormat="1">
      <c r="B104" s="2347" t="s">
        <v>67</v>
      </c>
      <c r="C104" s="823"/>
      <c r="D104" s="780"/>
      <c r="E104" s="780"/>
      <c r="F104" s="780"/>
      <c r="G104" s="884"/>
      <c r="H104" s="823"/>
      <c r="I104" s="780"/>
      <c r="J104" s="780"/>
      <c r="K104" s="780"/>
      <c r="L104" s="884"/>
      <c r="M104" s="823"/>
      <c r="N104" s="780"/>
      <c r="O104" s="780"/>
      <c r="P104" s="780"/>
      <c r="Q104" s="884"/>
      <c r="R104" s="1427"/>
      <c r="S104" s="1427"/>
      <c r="T104" s="1427"/>
      <c r="U104" s="1427"/>
      <c r="V104" s="1427"/>
      <c r="W104" s="1427"/>
      <c r="X104" s="1427"/>
      <c r="Y104" s="1427"/>
      <c r="Z104" s="1427"/>
      <c r="AA104" s="1427"/>
      <c r="AB104" s="1427"/>
      <c r="AC104" s="1427"/>
      <c r="AD104" s="1427"/>
    </row>
    <row r="105" spans="2:30" s="2343" customFormat="1">
      <c r="B105" s="1476" t="s">
        <v>81</v>
      </c>
      <c r="C105" s="823"/>
      <c r="D105" s="780"/>
      <c r="E105" s="780"/>
      <c r="F105" s="780"/>
      <c r="G105" s="884"/>
      <c r="H105" s="823"/>
      <c r="I105" s="780"/>
      <c r="J105" s="780"/>
      <c r="K105" s="780"/>
      <c r="L105" s="884"/>
      <c r="M105" s="823"/>
      <c r="N105" s="780"/>
      <c r="O105" s="780"/>
      <c r="P105" s="780"/>
      <c r="Q105" s="884"/>
      <c r="R105" s="1427"/>
      <c r="S105" s="1427"/>
      <c r="T105" s="1427"/>
      <c r="U105" s="1427"/>
      <c r="V105" s="1427"/>
      <c r="W105" s="1427"/>
      <c r="X105" s="1427"/>
      <c r="Y105" s="1427"/>
      <c r="Z105" s="1427"/>
      <c r="AA105" s="1427"/>
      <c r="AB105" s="1427"/>
      <c r="AC105" s="1427"/>
      <c r="AD105" s="1427"/>
    </row>
    <row r="106" spans="2:30" s="2343" customFormat="1" ht="13.5" thickBot="1">
      <c r="B106" s="1477" t="s">
        <v>81</v>
      </c>
      <c r="C106" s="1932"/>
      <c r="D106" s="886"/>
      <c r="E106" s="886"/>
      <c r="F106" s="886"/>
      <c r="G106" s="887"/>
      <c r="H106" s="1932"/>
      <c r="I106" s="886"/>
      <c r="J106" s="886"/>
      <c r="K106" s="886"/>
      <c r="L106" s="887"/>
      <c r="M106" s="1932"/>
      <c r="N106" s="886"/>
      <c r="O106" s="886"/>
      <c r="P106" s="886"/>
      <c r="Q106" s="887"/>
      <c r="R106" s="1427"/>
      <c r="S106" s="1427"/>
      <c r="T106" s="1427"/>
      <c r="U106" s="1427"/>
      <c r="V106" s="1427"/>
      <c r="W106" s="1427"/>
      <c r="X106" s="1427"/>
      <c r="Y106" s="1427"/>
      <c r="Z106" s="1427"/>
      <c r="AA106" s="1427"/>
      <c r="AB106" s="1427"/>
      <c r="AC106" s="1427"/>
      <c r="AD106" s="1427"/>
    </row>
    <row r="107" spans="2:30" s="2343" customFormat="1">
      <c r="R107" s="1427"/>
      <c r="S107" s="1427"/>
      <c r="T107" s="1427"/>
      <c r="U107" s="1427"/>
      <c r="V107" s="1427"/>
      <c r="W107" s="1427"/>
      <c r="X107" s="1427"/>
      <c r="Y107" s="1427"/>
      <c r="Z107" s="1427"/>
      <c r="AA107" s="1427"/>
      <c r="AB107" s="1427"/>
      <c r="AC107" s="1427"/>
      <c r="AD107" s="1427"/>
    </row>
    <row r="109" spans="2:30" ht="13.5" thickBot="1">
      <c r="H109" s="2343"/>
      <c r="I109" s="150"/>
      <c r="J109" s="150"/>
      <c r="K109" s="150"/>
      <c r="L109" s="150"/>
      <c r="M109" s="150"/>
      <c r="N109" s="150"/>
      <c r="O109" s="150"/>
      <c r="P109" s="150"/>
      <c r="Q109" s="150"/>
      <c r="R109" s="150"/>
      <c r="S109" s="150"/>
      <c r="T109" s="150"/>
    </row>
    <row r="110" spans="2:30" ht="16.5" thickBot="1">
      <c r="B110" s="4231" t="s">
        <v>742</v>
      </c>
      <c r="C110" s="4232"/>
      <c r="D110" s="4232"/>
      <c r="E110" s="4232"/>
      <c r="F110" s="4232"/>
      <c r="G110" s="4232"/>
      <c r="H110" s="4232"/>
      <c r="I110" s="4232"/>
      <c r="J110" s="4232"/>
      <c r="K110" s="150"/>
      <c r="L110" s="150"/>
      <c r="M110" s="150"/>
      <c r="N110" s="150"/>
      <c r="O110" s="150"/>
      <c r="P110" s="150"/>
      <c r="Q110" s="150"/>
      <c r="R110" s="150"/>
      <c r="S110" s="150"/>
      <c r="AD110" s="100"/>
    </row>
    <row r="111" spans="2:30" ht="38.25">
      <c r="B111" s="4229" t="s">
        <v>740</v>
      </c>
      <c r="C111" s="2344"/>
      <c r="D111" s="2345"/>
      <c r="E111" s="2345"/>
      <c r="F111" s="2345"/>
      <c r="G111" s="4229" t="s">
        <v>740</v>
      </c>
      <c r="H111" s="2362" t="s">
        <v>726</v>
      </c>
      <c r="I111" s="2363" t="s">
        <v>727</v>
      </c>
      <c r="J111" s="150"/>
      <c r="K111" s="150"/>
      <c r="L111" s="150"/>
      <c r="M111" s="150"/>
      <c r="N111" s="150"/>
      <c r="O111" s="150"/>
      <c r="P111" s="150"/>
      <c r="Q111" s="150"/>
      <c r="R111" s="150"/>
      <c r="S111" s="150"/>
      <c r="AD111" s="100"/>
    </row>
    <row r="112" spans="2:30" ht="12.75" customHeight="1">
      <c r="B112" s="4230"/>
      <c r="C112" s="4082" t="s">
        <v>725</v>
      </c>
      <c r="D112" s="4233"/>
      <c r="E112" s="4233"/>
      <c r="F112" s="4234"/>
      <c r="G112" s="4230"/>
      <c r="H112" s="2364"/>
      <c r="I112" s="2365"/>
      <c r="J112" s="150"/>
      <c r="K112" s="85"/>
      <c r="L112" s="150"/>
      <c r="M112" s="150"/>
      <c r="N112" s="150"/>
      <c r="O112" s="150"/>
      <c r="P112" s="150"/>
      <c r="Q112" s="150"/>
      <c r="R112" s="150"/>
      <c r="S112" s="150"/>
      <c r="AD112" s="100"/>
    </row>
    <row r="113" spans="2:30" ht="13.5" customHeight="1" thickBot="1">
      <c r="B113" s="4230"/>
      <c r="C113" s="1089">
        <v>2013</v>
      </c>
      <c r="D113" s="1089">
        <v>2014</v>
      </c>
      <c r="E113" s="1089">
        <v>2015</v>
      </c>
      <c r="F113" s="1089">
        <v>2016</v>
      </c>
      <c r="G113" s="4230"/>
      <c r="H113" s="2368" t="s">
        <v>424</v>
      </c>
      <c r="I113" s="2369" t="s">
        <v>424</v>
      </c>
      <c r="J113" s="150"/>
      <c r="K113" s="150"/>
      <c r="L113" s="150"/>
      <c r="M113" s="150"/>
      <c r="N113" s="150"/>
      <c r="O113" s="150"/>
      <c r="P113" s="150"/>
      <c r="Q113" s="150"/>
      <c r="R113" s="150"/>
      <c r="S113" s="150"/>
      <c r="AD113" s="100"/>
    </row>
    <row r="114" spans="2:30">
      <c r="B114" s="2348" t="s">
        <v>734</v>
      </c>
      <c r="C114" s="2001"/>
      <c r="D114" s="2002"/>
      <c r="E114" s="2002"/>
      <c r="F114" s="2002"/>
      <c r="G114" s="2348" t="s">
        <v>734</v>
      </c>
      <c r="H114" s="2366"/>
      <c r="I114" s="2367"/>
      <c r="K114" s="150"/>
      <c r="L114" s="150"/>
      <c r="M114" s="150"/>
      <c r="N114" s="150"/>
      <c r="O114" s="150"/>
      <c r="P114" s="150"/>
      <c r="Q114" s="150"/>
      <c r="R114" s="150"/>
      <c r="S114" s="150"/>
      <c r="AD114" s="100"/>
    </row>
    <row r="115" spans="2:30">
      <c r="B115" s="2346" t="s">
        <v>64</v>
      </c>
      <c r="C115" s="823"/>
      <c r="D115" s="780"/>
      <c r="E115" s="780"/>
      <c r="F115" s="780"/>
      <c r="G115" s="2342" t="s">
        <v>64</v>
      </c>
      <c r="H115" s="823"/>
      <c r="I115" s="884"/>
      <c r="R115" s="100"/>
      <c r="AD115" s="100"/>
    </row>
    <row r="116" spans="2:30">
      <c r="B116" s="2347" t="s">
        <v>714</v>
      </c>
      <c r="C116" s="823"/>
      <c r="D116" s="780"/>
      <c r="E116" s="780"/>
      <c r="F116" s="780"/>
      <c r="G116" s="975" t="s">
        <v>714</v>
      </c>
      <c r="H116" s="823"/>
      <c r="I116" s="884"/>
      <c r="R116" s="100"/>
      <c r="AD116" s="100"/>
    </row>
    <row r="117" spans="2:30" ht="12.75" customHeight="1">
      <c r="B117" s="2347" t="s">
        <v>715</v>
      </c>
      <c r="C117" s="823"/>
      <c r="D117" s="780"/>
      <c r="E117" s="780"/>
      <c r="F117" s="780"/>
      <c r="G117" s="975" t="s">
        <v>715</v>
      </c>
      <c r="H117" s="823"/>
      <c r="I117" s="884"/>
      <c r="R117" s="100"/>
      <c r="AD117" s="100"/>
    </row>
    <row r="118" spans="2:30">
      <c r="B118" s="2347" t="s">
        <v>716</v>
      </c>
      <c r="C118" s="823"/>
      <c r="D118" s="780"/>
      <c r="E118" s="780"/>
      <c r="F118" s="780"/>
      <c r="G118" s="975" t="s">
        <v>716</v>
      </c>
      <c r="H118" s="823"/>
      <c r="I118" s="884"/>
      <c r="R118" s="100"/>
      <c r="AD118" s="100"/>
    </row>
    <row r="119" spans="2:30">
      <c r="B119" s="2347" t="s">
        <v>717</v>
      </c>
      <c r="C119" s="823"/>
      <c r="D119" s="780"/>
      <c r="E119" s="780"/>
      <c r="F119" s="780"/>
      <c r="G119" s="975" t="s">
        <v>717</v>
      </c>
      <c r="H119" s="823"/>
      <c r="I119" s="884"/>
      <c r="R119" s="100"/>
      <c r="AD119" s="100"/>
    </row>
    <row r="120" spans="2:30" ht="12.75" customHeight="1">
      <c r="B120" s="2347" t="s">
        <v>718</v>
      </c>
      <c r="C120" s="823"/>
      <c r="D120" s="780"/>
      <c r="E120" s="780"/>
      <c r="F120" s="780"/>
      <c r="G120" s="975" t="s">
        <v>718</v>
      </c>
      <c r="H120" s="823"/>
      <c r="I120" s="884"/>
      <c r="R120" s="100"/>
      <c r="AD120" s="100"/>
    </row>
    <row r="121" spans="2:30" s="2665" customFormat="1" ht="12.75" customHeight="1">
      <c r="B121" s="2347" t="s">
        <v>763</v>
      </c>
      <c r="C121" s="823"/>
      <c r="D121" s="780"/>
      <c r="E121" s="780"/>
      <c r="F121" s="780"/>
      <c r="G121" s="975" t="s">
        <v>763</v>
      </c>
      <c r="H121" s="823"/>
      <c r="I121" s="884"/>
      <c r="S121" s="1427"/>
      <c r="T121" s="1427"/>
      <c r="U121" s="1427"/>
      <c r="V121" s="1427"/>
      <c r="W121" s="1427"/>
      <c r="X121" s="1427"/>
      <c r="Y121" s="1427"/>
      <c r="Z121" s="1427"/>
      <c r="AA121" s="1427"/>
      <c r="AB121" s="1427"/>
      <c r="AC121" s="1427"/>
    </row>
    <row r="122" spans="2:30">
      <c r="B122" s="2346" t="s">
        <v>65</v>
      </c>
      <c r="C122" s="823"/>
      <c r="D122" s="780"/>
      <c r="E122" s="780"/>
      <c r="F122" s="780"/>
      <c r="G122" s="2342" t="s">
        <v>65</v>
      </c>
      <c r="H122" s="823"/>
      <c r="I122" s="884"/>
      <c r="R122" s="100"/>
      <c r="AD122" s="100"/>
    </row>
    <row r="123" spans="2:30" ht="12.75" customHeight="1">
      <c r="B123" s="2347" t="s">
        <v>714</v>
      </c>
      <c r="C123" s="823"/>
      <c r="D123" s="780"/>
      <c r="E123" s="780"/>
      <c r="F123" s="780"/>
      <c r="G123" s="975" t="s">
        <v>714</v>
      </c>
      <c r="H123" s="823"/>
      <c r="I123" s="884"/>
      <c r="R123" s="100"/>
      <c r="AD123" s="100"/>
    </row>
    <row r="124" spans="2:30" ht="12.75" customHeight="1">
      <c r="B124" s="2347" t="s">
        <v>715</v>
      </c>
      <c r="C124" s="823"/>
      <c r="D124" s="780"/>
      <c r="E124" s="780"/>
      <c r="F124" s="780"/>
      <c r="G124" s="975" t="s">
        <v>715</v>
      </c>
      <c r="H124" s="823"/>
      <c r="I124" s="884"/>
      <c r="R124" s="100"/>
      <c r="AD124" s="100"/>
    </row>
    <row r="125" spans="2:30">
      <c r="B125" s="2347" t="s">
        <v>716</v>
      </c>
      <c r="C125" s="823"/>
      <c r="D125" s="780"/>
      <c r="E125" s="780"/>
      <c r="F125" s="780"/>
      <c r="G125" s="975" t="s">
        <v>716</v>
      </c>
      <c r="H125" s="823"/>
      <c r="I125" s="884"/>
      <c r="R125" s="100"/>
      <c r="AD125" s="100"/>
    </row>
    <row r="126" spans="2:30">
      <c r="B126" s="2347" t="s">
        <v>717</v>
      </c>
      <c r="C126" s="823"/>
      <c r="D126" s="780"/>
      <c r="E126" s="780"/>
      <c r="F126" s="780"/>
      <c r="G126" s="975" t="s">
        <v>717</v>
      </c>
      <c r="H126" s="823"/>
      <c r="I126" s="884"/>
      <c r="R126" s="100"/>
      <c r="AD126" s="100"/>
    </row>
    <row r="127" spans="2:30" ht="12.75" customHeight="1">
      <c r="B127" s="2347" t="s">
        <v>718</v>
      </c>
      <c r="C127" s="823"/>
      <c r="D127" s="780"/>
      <c r="E127" s="780"/>
      <c r="F127" s="780"/>
      <c r="G127" s="975" t="s">
        <v>718</v>
      </c>
      <c r="H127" s="823"/>
      <c r="I127" s="884"/>
      <c r="R127" s="100"/>
      <c r="AD127" s="100"/>
    </row>
    <row r="128" spans="2:30" s="2665" customFormat="1" ht="12.75" customHeight="1">
      <c r="B128" s="2347" t="s">
        <v>763</v>
      </c>
      <c r="C128" s="823"/>
      <c r="D128" s="780"/>
      <c r="E128" s="780"/>
      <c r="F128" s="780"/>
      <c r="G128" s="975" t="s">
        <v>763</v>
      </c>
      <c r="H128" s="823"/>
      <c r="I128" s="884"/>
      <c r="S128" s="1427"/>
      <c r="T128" s="1427"/>
      <c r="U128" s="1427"/>
      <c r="V128" s="1427"/>
      <c r="W128" s="1427"/>
      <c r="X128" s="1427"/>
      <c r="Y128" s="1427"/>
      <c r="Z128" s="1427"/>
      <c r="AA128" s="1427"/>
      <c r="AB128" s="1427"/>
      <c r="AC128" s="1427"/>
    </row>
    <row r="129" spans="2:30">
      <c r="B129" s="2346" t="s">
        <v>82</v>
      </c>
      <c r="C129" s="823"/>
      <c r="D129" s="780"/>
      <c r="E129" s="780"/>
      <c r="F129" s="780"/>
      <c r="G129" s="2342" t="s">
        <v>82</v>
      </c>
      <c r="H129" s="823"/>
      <c r="I129" s="884"/>
      <c r="R129" s="100"/>
      <c r="AD129" s="100"/>
    </row>
    <row r="130" spans="2:30" ht="12.75" customHeight="1">
      <c r="B130" s="2347" t="s">
        <v>714</v>
      </c>
      <c r="C130" s="823"/>
      <c r="D130" s="780"/>
      <c r="E130" s="780"/>
      <c r="F130" s="780"/>
      <c r="G130" s="975" t="s">
        <v>714</v>
      </c>
      <c r="H130" s="823"/>
      <c r="I130" s="884"/>
      <c r="R130" s="100"/>
      <c r="AD130" s="100"/>
    </row>
    <row r="131" spans="2:30" ht="12.75" customHeight="1">
      <c r="B131" s="2347" t="s">
        <v>715</v>
      </c>
      <c r="C131" s="823"/>
      <c r="D131" s="780"/>
      <c r="E131" s="780"/>
      <c r="F131" s="780"/>
      <c r="G131" s="975" t="s">
        <v>715</v>
      </c>
      <c r="H131" s="823"/>
      <c r="I131" s="884"/>
      <c r="R131" s="100"/>
      <c r="AD131" s="100"/>
    </row>
    <row r="132" spans="2:30">
      <c r="B132" s="2347" t="s">
        <v>716</v>
      </c>
      <c r="C132" s="823"/>
      <c r="D132" s="780"/>
      <c r="E132" s="780"/>
      <c r="F132" s="780"/>
      <c r="G132" s="975" t="s">
        <v>716</v>
      </c>
      <c r="H132" s="823"/>
      <c r="I132" s="884"/>
      <c r="R132" s="100"/>
      <c r="AD132" s="100"/>
    </row>
    <row r="133" spans="2:30">
      <c r="B133" s="2347" t="s">
        <v>717</v>
      </c>
      <c r="C133" s="823"/>
      <c r="D133" s="780"/>
      <c r="E133" s="780"/>
      <c r="F133" s="780"/>
      <c r="G133" s="975" t="s">
        <v>717</v>
      </c>
      <c r="H133" s="823"/>
      <c r="I133" s="884"/>
      <c r="R133" s="100"/>
      <c r="AD133" s="100"/>
    </row>
    <row r="134" spans="2:30" ht="12.75" customHeight="1">
      <c r="B134" s="2347" t="s">
        <v>718</v>
      </c>
      <c r="C134" s="823"/>
      <c r="D134" s="780"/>
      <c r="E134" s="780"/>
      <c r="F134" s="780"/>
      <c r="G134" s="975" t="s">
        <v>718</v>
      </c>
      <c r="H134" s="823"/>
      <c r="I134" s="884"/>
      <c r="R134" s="100"/>
      <c r="AD134" s="100"/>
    </row>
    <row r="135" spans="2:30" s="2665" customFormat="1" ht="12.75" customHeight="1">
      <c r="B135" s="2347" t="s">
        <v>763</v>
      </c>
      <c r="C135" s="823"/>
      <c r="D135" s="780"/>
      <c r="E135" s="780"/>
      <c r="F135" s="780"/>
      <c r="G135" s="975" t="s">
        <v>763</v>
      </c>
      <c r="H135" s="823"/>
      <c r="I135" s="884"/>
      <c r="S135" s="1427"/>
      <c r="T135" s="1427"/>
      <c r="U135" s="1427"/>
      <c r="V135" s="1427"/>
      <c r="W135" s="1427"/>
      <c r="X135" s="1427"/>
      <c r="Y135" s="1427"/>
      <c r="Z135" s="1427"/>
      <c r="AA135" s="1427"/>
      <c r="AB135" s="1427"/>
      <c r="AC135" s="1427"/>
    </row>
    <row r="136" spans="2:30" ht="12.75" customHeight="1">
      <c r="B136" s="2346" t="s">
        <v>719</v>
      </c>
      <c r="C136" s="823"/>
      <c r="D136" s="780"/>
      <c r="E136" s="780"/>
      <c r="F136" s="780"/>
      <c r="G136" s="2342" t="s">
        <v>719</v>
      </c>
      <c r="H136" s="823"/>
      <c r="I136" s="884"/>
      <c r="R136" s="100"/>
      <c r="AD136" s="100"/>
    </row>
    <row r="137" spans="2:30" ht="12.75" customHeight="1">
      <c r="B137" s="2347" t="s">
        <v>714</v>
      </c>
      <c r="C137" s="823"/>
      <c r="D137" s="780"/>
      <c r="E137" s="780"/>
      <c r="F137" s="780"/>
      <c r="G137" s="975" t="s">
        <v>714</v>
      </c>
      <c r="H137" s="823"/>
      <c r="I137" s="884"/>
      <c r="R137" s="100"/>
      <c r="AD137" s="100"/>
    </row>
    <row r="138" spans="2:30" ht="12.75" customHeight="1">
      <c r="B138" s="2347" t="s">
        <v>715</v>
      </c>
      <c r="C138" s="823"/>
      <c r="D138" s="780"/>
      <c r="E138" s="780"/>
      <c r="F138" s="780"/>
      <c r="G138" s="975" t="s">
        <v>715</v>
      </c>
      <c r="H138" s="823"/>
      <c r="I138" s="884"/>
      <c r="R138" s="100"/>
      <c r="AD138" s="100"/>
    </row>
    <row r="139" spans="2:30">
      <c r="B139" s="2347" t="s">
        <v>716</v>
      </c>
      <c r="C139" s="823"/>
      <c r="D139" s="780"/>
      <c r="E139" s="780"/>
      <c r="F139" s="780"/>
      <c r="G139" s="975" t="s">
        <v>716</v>
      </c>
      <c r="H139" s="823"/>
      <c r="I139" s="884"/>
      <c r="R139" s="100"/>
      <c r="AD139" s="100"/>
    </row>
    <row r="140" spans="2:30">
      <c r="B140" s="2347" t="s">
        <v>717</v>
      </c>
      <c r="C140" s="823"/>
      <c r="D140" s="780"/>
      <c r="E140" s="780"/>
      <c r="F140" s="780"/>
      <c r="G140" s="975" t="s">
        <v>717</v>
      </c>
      <c r="H140" s="823"/>
      <c r="I140" s="884"/>
      <c r="R140" s="100"/>
      <c r="AD140" s="100"/>
    </row>
    <row r="141" spans="2:30" ht="12.75" customHeight="1">
      <c r="B141" s="2347" t="s">
        <v>718</v>
      </c>
      <c r="C141" s="823"/>
      <c r="D141" s="780"/>
      <c r="E141" s="780"/>
      <c r="F141" s="780"/>
      <c r="G141" s="975" t="s">
        <v>718</v>
      </c>
      <c r="H141" s="823"/>
      <c r="I141" s="884"/>
      <c r="R141" s="100"/>
      <c r="AD141" s="100"/>
    </row>
    <row r="142" spans="2:30" s="2665" customFormat="1" ht="12.75" customHeight="1">
      <c r="B142" s="2347" t="s">
        <v>763</v>
      </c>
      <c r="C142" s="823"/>
      <c r="D142" s="780"/>
      <c r="E142" s="780"/>
      <c r="F142" s="780"/>
      <c r="G142" s="975" t="s">
        <v>763</v>
      </c>
      <c r="H142" s="823"/>
      <c r="I142" s="884"/>
      <c r="S142" s="1427"/>
      <c r="T142" s="1427"/>
      <c r="U142" s="1427"/>
      <c r="V142" s="1427"/>
      <c r="W142" s="1427"/>
      <c r="X142" s="1427"/>
      <c r="Y142" s="1427"/>
      <c r="Z142" s="1427"/>
      <c r="AA142" s="1427"/>
      <c r="AB142" s="1427"/>
      <c r="AC142" s="1427"/>
    </row>
    <row r="143" spans="2:30" ht="12.75" customHeight="1">
      <c r="B143" s="2346" t="s">
        <v>720</v>
      </c>
      <c r="C143" s="823"/>
      <c r="D143" s="780"/>
      <c r="E143" s="780"/>
      <c r="F143" s="780"/>
      <c r="G143" s="2342" t="s">
        <v>720</v>
      </c>
      <c r="H143" s="823"/>
      <c r="I143" s="884"/>
      <c r="R143" s="100"/>
      <c r="AD143" s="100"/>
    </row>
    <row r="144" spans="2:30" ht="12.75" customHeight="1">
      <c r="B144" s="2347" t="s">
        <v>714</v>
      </c>
      <c r="C144" s="823"/>
      <c r="D144" s="780"/>
      <c r="E144" s="780"/>
      <c r="F144" s="780"/>
      <c r="G144" s="975" t="s">
        <v>714</v>
      </c>
      <c r="H144" s="823"/>
      <c r="I144" s="884"/>
      <c r="R144" s="100"/>
      <c r="AD144" s="100"/>
    </row>
    <row r="145" spans="2:30" ht="12.75" customHeight="1">
      <c r="B145" s="2347" t="s">
        <v>715</v>
      </c>
      <c r="C145" s="823"/>
      <c r="D145" s="780"/>
      <c r="E145" s="780"/>
      <c r="F145" s="780"/>
      <c r="G145" s="975" t="s">
        <v>715</v>
      </c>
      <c r="H145" s="823"/>
      <c r="I145" s="884"/>
      <c r="R145" s="100"/>
      <c r="AD145" s="100"/>
    </row>
    <row r="146" spans="2:30">
      <c r="B146" s="2347" t="s">
        <v>716</v>
      </c>
      <c r="C146" s="823"/>
      <c r="D146" s="780"/>
      <c r="E146" s="780"/>
      <c r="F146" s="780"/>
      <c r="G146" s="975" t="s">
        <v>716</v>
      </c>
      <c r="H146" s="823"/>
      <c r="I146" s="884"/>
      <c r="R146" s="100"/>
      <c r="AD146" s="100"/>
    </row>
    <row r="147" spans="2:30">
      <c r="B147" s="2347" t="s">
        <v>717</v>
      </c>
      <c r="C147" s="823"/>
      <c r="D147" s="780"/>
      <c r="E147" s="780"/>
      <c r="F147" s="780"/>
      <c r="G147" s="975" t="s">
        <v>717</v>
      </c>
      <c r="H147" s="823"/>
      <c r="I147" s="884"/>
      <c r="R147" s="100"/>
      <c r="AD147" s="100"/>
    </row>
    <row r="148" spans="2:30" ht="12.75" customHeight="1">
      <c r="B148" s="2347" t="s">
        <v>718</v>
      </c>
      <c r="C148" s="823"/>
      <c r="D148" s="780"/>
      <c r="E148" s="780"/>
      <c r="F148" s="780"/>
      <c r="G148" s="975" t="s">
        <v>718</v>
      </c>
      <c r="H148" s="823"/>
      <c r="I148" s="884"/>
      <c r="R148" s="100"/>
      <c r="AD148" s="100"/>
    </row>
    <row r="149" spans="2:30" s="2665" customFormat="1" ht="12.75" customHeight="1">
      <c r="B149" s="2347" t="s">
        <v>763</v>
      </c>
      <c r="C149" s="823"/>
      <c r="D149" s="780"/>
      <c r="E149" s="780"/>
      <c r="F149" s="780"/>
      <c r="G149" s="975" t="s">
        <v>763</v>
      </c>
      <c r="H149" s="823"/>
      <c r="I149" s="884"/>
      <c r="S149" s="1427"/>
      <c r="T149" s="1427"/>
      <c r="U149" s="1427"/>
      <c r="V149" s="1427"/>
      <c r="W149" s="1427"/>
      <c r="X149" s="1427"/>
      <c r="Y149" s="1427"/>
      <c r="Z149" s="1427"/>
      <c r="AA149" s="1427"/>
      <c r="AB149" s="1427"/>
      <c r="AC149" s="1427"/>
    </row>
    <row r="150" spans="2:30" ht="12.75" customHeight="1">
      <c r="B150" s="2346" t="s">
        <v>721</v>
      </c>
      <c r="C150" s="823"/>
      <c r="D150" s="780"/>
      <c r="E150" s="780"/>
      <c r="F150" s="780"/>
      <c r="G150" s="2342" t="s">
        <v>721</v>
      </c>
      <c r="H150" s="823"/>
      <c r="I150" s="884"/>
      <c r="R150" s="100"/>
      <c r="AD150" s="100"/>
    </row>
    <row r="151" spans="2:30" ht="12.75" customHeight="1">
      <c r="B151" s="2347" t="s">
        <v>714</v>
      </c>
      <c r="C151" s="823"/>
      <c r="D151" s="780"/>
      <c r="E151" s="780"/>
      <c r="F151" s="780"/>
      <c r="G151" s="975" t="s">
        <v>714</v>
      </c>
      <c r="H151" s="823"/>
      <c r="I151" s="884"/>
      <c r="R151" s="100"/>
      <c r="AD151" s="100"/>
    </row>
    <row r="152" spans="2:30" ht="12.75" customHeight="1">
      <c r="B152" s="2347" t="s">
        <v>715</v>
      </c>
      <c r="C152" s="823"/>
      <c r="D152" s="780"/>
      <c r="E152" s="780"/>
      <c r="F152" s="780"/>
      <c r="G152" s="975" t="s">
        <v>715</v>
      </c>
      <c r="H152" s="823"/>
      <c r="I152" s="884"/>
      <c r="R152" s="100"/>
      <c r="AD152" s="100"/>
    </row>
    <row r="153" spans="2:30">
      <c r="B153" s="2347" t="s">
        <v>716</v>
      </c>
      <c r="C153" s="823"/>
      <c r="D153" s="780"/>
      <c r="E153" s="780"/>
      <c r="F153" s="780"/>
      <c r="G153" s="975" t="s">
        <v>716</v>
      </c>
      <c r="H153" s="823"/>
      <c r="I153" s="884"/>
      <c r="R153" s="100"/>
      <c r="AD153" s="100"/>
    </row>
    <row r="154" spans="2:30">
      <c r="B154" s="2347" t="s">
        <v>717</v>
      </c>
      <c r="C154" s="823"/>
      <c r="D154" s="780"/>
      <c r="E154" s="780"/>
      <c r="F154" s="780"/>
      <c r="G154" s="975" t="s">
        <v>717</v>
      </c>
      <c r="H154" s="823"/>
      <c r="I154" s="884"/>
      <c r="R154" s="100"/>
      <c r="AD154" s="100"/>
    </row>
    <row r="155" spans="2:30" ht="12.75" customHeight="1">
      <c r="B155" s="2347" t="s">
        <v>718</v>
      </c>
      <c r="C155" s="823"/>
      <c r="D155" s="780"/>
      <c r="E155" s="780"/>
      <c r="F155" s="780"/>
      <c r="G155" s="975" t="s">
        <v>718</v>
      </c>
      <c r="H155" s="823"/>
      <c r="I155" s="884"/>
      <c r="R155" s="100"/>
      <c r="AD155" s="100"/>
    </row>
    <row r="156" spans="2:30" s="2665" customFormat="1" ht="12.75" customHeight="1">
      <c r="B156" s="2347" t="s">
        <v>763</v>
      </c>
      <c r="C156" s="823"/>
      <c r="D156" s="780"/>
      <c r="E156" s="780"/>
      <c r="F156" s="780"/>
      <c r="G156" s="975" t="s">
        <v>763</v>
      </c>
      <c r="H156" s="823"/>
      <c r="I156" s="884"/>
      <c r="S156" s="1427"/>
      <c r="T156" s="1427"/>
      <c r="U156" s="1427"/>
      <c r="V156" s="1427"/>
      <c r="W156" s="1427"/>
      <c r="X156" s="1427"/>
      <c r="Y156" s="1427"/>
      <c r="Z156" s="1427"/>
      <c r="AA156" s="1427"/>
      <c r="AB156" s="1427"/>
      <c r="AC156" s="1427"/>
    </row>
    <row r="157" spans="2:30" ht="12.75" customHeight="1">
      <c r="B157" s="2346" t="s">
        <v>66</v>
      </c>
      <c r="C157" s="823"/>
      <c r="D157" s="780"/>
      <c r="E157" s="780"/>
      <c r="F157" s="780"/>
      <c r="G157" s="2342" t="s">
        <v>66</v>
      </c>
      <c r="H157" s="823"/>
      <c r="I157" s="884"/>
      <c r="R157" s="100"/>
      <c r="AD157" s="100"/>
    </row>
    <row r="158" spans="2:30" ht="12.75" customHeight="1">
      <c r="B158" s="2347" t="s">
        <v>714</v>
      </c>
      <c r="C158" s="823"/>
      <c r="D158" s="780"/>
      <c r="E158" s="780"/>
      <c r="F158" s="780"/>
      <c r="G158" s="975" t="s">
        <v>714</v>
      </c>
      <c r="H158" s="823"/>
      <c r="I158" s="884"/>
      <c r="R158" s="100"/>
      <c r="AD158" s="100"/>
    </row>
    <row r="159" spans="2:30" ht="12.75" customHeight="1">
      <c r="B159" s="2347" t="s">
        <v>715</v>
      </c>
      <c r="C159" s="823"/>
      <c r="D159" s="780"/>
      <c r="E159" s="780"/>
      <c r="F159" s="780"/>
      <c r="G159" s="975" t="s">
        <v>715</v>
      </c>
      <c r="H159" s="823"/>
      <c r="I159" s="884"/>
      <c r="R159" s="100"/>
      <c r="AD159" s="100"/>
    </row>
    <row r="160" spans="2:30">
      <c r="B160" s="2347" t="s">
        <v>716</v>
      </c>
      <c r="C160" s="823"/>
      <c r="D160" s="780"/>
      <c r="E160" s="780"/>
      <c r="F160" s="780"/>
      <c r="G160" s="975" t="s">
        <v>716</v>
      </c>
      <c r="H160" s="823"/>
      <c r="I160" s="884"/>
      <c r="R160" s="100"/>
      <c r="AD160" s="100"/>
    </row>
    <row r="161" spans="2:30">
      <c r="B161" s="2347" t="s">
        <v>717</v>
      </c>
      <c r="C161" s="823"/>
      <c r="D161" s="780"/>
      <c r="E161" s="780"/>
      <c r="F161" s="780"/>
      <c r="G161" s="975" t="s">
        <v>717</v>
      </c>
      <c r="H161" s="823"/>
      <c r="I161" s="884"/>
      <c r="R161" s="100"/>
      <c r="AD161" s="100"/>
    </row>
    <row r="162" spans="2:30" ht="12.75" customHeight="1">
      <c r="B162" s="2347" t="s">
        <v>718</v>
      </c>
      <c r="C162" s="823"/>
      <c r="D162" s="780"/>
      <c r="E162" s="780"/>
      <c r="F162" s="780"/>
      <c r="G162" s="975" t="s">
        <v>718</v>
      </c>
      <c r="H162" s="823"/>
      <c r="I162" s="884"/>
      <c r="R162" s="100"/>
      <c r="AD162" s="100"/>
    </row>
    <row r="163" spans="2:30" s="2665" customFormat="1" ht="12.75" customHeight="1">
      <c r="B163" s="2347" t="s">
        <v>763</v>
      </c>
      <c r="C163" s="823"/>
      <c r="D163" s="780"/>
      <c r="E163" s="780"/>
      <c r="F163" s="780"/>
      <c r="G163" s="975" t="s">
        <v>763</v>
      </c>
      <c r="H163" s="823"/>
      <c r="I163" s="884"/>
      <c r="S163" s="1427"/>
      <c r="T163" s="1427"/>
      <c r="U163" s="1427"/>
      <c r="V163" s="1427"/>
      <c r="W163" s="1427"/>
      <c r="X163" s="1427"/>
      <c r="Y163" s="1427"/>
      <c r="Z163" s="1427"/>
      <c r="AA163" s="1427"/>
      <c r="AB163" s="1427"/>
      <c r="AC163" s="1427"/>
    </row>
    <row r="164" spans="2:30">
      <c r="B164" s="2346" t="s">
        <v>67</v>
      </c>
      <c r="C164" s="823"/>
      <c r="D164" s="780"/>
      <c r="E164" s="780"/>
      <c r="F164" s="780"/>
      <c r="G164" s="2342" t="s">
        <v>67</v>
      </c>
      <c r="H164" s="823"/>
      <c r="I164" s="884"/>
      <c r="R164" s="100"/>
      <c r="AD164" s="100"/>
    </row>
    <row r="165" spans="2:30" ht="12.75" customHeight="1">
      <c r="B165" s="2347" t="s">
        <v>714</v>
      </c>
      <c r="C165" s="823"/>
      <c r="D165" s="780"/>
      <c r="E165" s="780"/>
      <c r="F165" s="780"/>
      <c r="G165" s="975" t="s">
        <v>714</v>
      </c>
      <c r="H165" s="823"/>
      <c r="I165" s="884"/>
      <c r="R165" s="100"/>
      <c r="AD165" s="100"/>
    </row>
    <row r="166" spans="2:30" ht="12.75" customHeight="1">
      <c r="B166" s="2347" t="s">
        <v>715</v>
      </c>
      <c r="C166" s="823"/>
      <c r="D166" s="780"/>
      <c r="E166" s="780"/>
      <c r="F166" s="780"/>
      <c r="G166" s="975" t="s">
        <v>715</v>
      </c>
      <c r="H166" s="823"/>
      <c r="I166" s="884"/>
      <c r="R166" s="100"/>
      <c r="AD166" s="100"/>
    </row>
    <row r="167" spans="2:30">
      <c r="B167" s="2347" t="s">
        <v>716</v>
      </c>
      <c r="C167" s="823"/>
      <c r="D167" s="780"/>
      <c r="E167" s="780"/>
      <c r="F167" s="780"/>
      <c r="G167" s="975" t="s">
        <v>716</v>
      </c>
      <c r="H167" s="823"/>
      <c r="I167" s="884"/>
      <c r="R167" s="100"/>
      <c r="AD167" s="100"/>
    </row>
    <row r="168" spans="2:30">
      <c r="B168" s="2347" t="s">
        <v>717</v>
      </c>
      <c r="C168" s="823"/>
      <c r="D168" s="780"/>
      <c r="E168" s="780"/>
      <c r="F168" s="780"/>
      <c r="G168" s="975" t="s">
        <v>717</v>
      </c>
      <c r="H168" s="823"/>
      <c r="I168" s="884"/>
      <c r="R168" s="100"/>
      <c r="AD168" s="100"/>
    </row>
    <row r="169" spans="2:30" ht="12.75" customHeight="1">
      <c r="B169" s="2347" t="s">
        <v>718</v>
      </c>
      <c r="C169" s="823"/>
      <c r="D169" s="780"/>
      <c r="E169" s="780"/>
      <c r="F169" s="780"/>
      <c r="G169" s="975" t="s">
        <v>718</v>
      </c>
      <c r="H169" s="823"/>
      <c r="I169" s="884"/>
      <c r="R169" s="100"/>
      <c r="AD169" s="100"/>
    </row>
    <row r="170" spans="2:30" s="2665" customFormat="1" ht="12.75" customHeight="1">
      <c r="B170" s="2347" t="s">
        <v>763</v>
      </c>
      <c r="C170" s="823"/>
      <c r="D170" s="780"/>
      <c r="E170" s="780"/>
      <c r="F170" s="780"/>
      <c r="G170" s="975" t="s">
        <v>763</v>
      </c>
      <c r="H170" s="823"/>
      <c r="I170" s="884"/>
      <c r="S170" s="1427"/>
      <c r="T170" s="1427"/>
      <c r="U170" s="1427"/>
      <c r="V170" s="1427"/>
      <c r="W170" s="1427"/>
      <c r="X170" s="1427"/>
      <c r="Y170" s="1427"/>
      <c r="Z170" s="1427"/>
      <c r="AA170" s="1427"/>
      <c r="AB170" s="1427"/>
      <c r="AC170" s="1427"/>
    </row>
    <row r="171" spans="2:30">
      <c r="B171" s="1476" t="s">
        <v>81</v>
      </c>
      <c r="C171" s="823"/>
      <c r="D171" s="780"/>
      <c r="E171" s="780"/>
      <c r="F171" s="780"/>
      <c r="G171" s="2349" t="s">
        <v>81</v>
      </c>
      <c r="H171" s="823"/>
      <c r="I171" s="884"/>
      <c r="R171" s="100"/>
      <c r="AD171" s="100"/>
    </row>
    <row r="172" spans="2:30" ht="13.5" thickBot="1">
      <c r="B172" s="1477" t="s">
        <v>81</v>
      </c>
      <c r="C172" s="823"/>
      <c r="D172" s="780"/>
      <c r="E172" s="780"/>
      <c r="F172" s="780"/>
      <c r="G172" s="2349" t="s">
        <v>81</v>
      </c>
      <c r="H172" s="823"/>
      <c r="I172" s="884"/>
      <c r="R172" s="100"/>
      <c r="AD172" s="100"/>
    </row>
    <row r="173" spans="2:30">
      <c r="B173" s="2348" t="s">
        <v>735</v>
      </c>
      <c r="C173" s="2001"/>
      <c r="D173" s="2002"/>
      <c r="E173" s="2002"/>
      <c r="F173" s="2002"/>
      <c r="G173" s="2348" t="s">
        <v>735</v>
      </c>
      <c r="H173" s="2366"/>
      <c r="I173" s="2367"/>
      <c r="Q173"/>
      <c r="AD173" s="100"/>
    </row>
    <row r="174" spans="2:30">
      <c r="B174" s="2346" t="s">
        <v>64</v>
      </c>
      <c r="C174" s="823"/>
      <c r="D174" s="780"/>
      <c r="E174" s="780"/>
      <c r="F174" s="780"/>
      <c r="G174" s="2342" t="s">
        <v>64</v>
      </c>
      <c r="H174" s="823"/>
      <c r="I174" s="884"/>
      <c r="Q174"/>
      <c r="AD174" s="100"/>
    </row>
    <row r="175" spans="2:30">
      <c r="B175" s="2347" t="s">
        <v>714</v>
      </c>
      <c r="C175" s="823"/>
      <c r="D175" s="780"/>
      <c r="E175" s="780"/>
      <c r="F175" s="780"/>
      <c r="G175" s="975" t="s">
        <v>714</v>
      </c>
      <c r="H175" s="823"/>
      <c r="I175" s="884"/>
      <c r="Q175"/>
      <c r="AD175" s="100"/>
    </row>
    <row r="176" spans="2:30" ht="12.75" customHeight="1">
      <c r="B176" s="2347" t="s">
        <v>715</v>
      </c>
      <c r="C176" s="823"/>
      <c r="D176" s="780"/>
      <c r="E176" s="780"/>
      <c r="F176" s="780"/>
      <c r="G176" s="975" t="s">
        <v>715</v>
      </c>
      <c r="H176" s="823"/>
      <c r="I176" s="884"/>
      <c r="Q176"/>
      <c r="AD176" s="100"/>
    </row>
    <row r="177" spans="2:30">
      <c r="B177" s="2347" t="s">
        <v>716</v>
      </c>
      <c r="C177" s="823"/>
      <c r="D177" s="780"/>
      <c r="E177" s="780"/>
      <c r="F177" s="780"/>
      <c r="G177" s="975" t="s">
        <v>716</v>
      </c>
      <c r="H177" s="823"/>
      <c r="I177" s="884"/>
      <c r="Q177"/>
      <c r="AD177" s="100"/>
    </row>
    <row r="178" spans="2:30">
      <c r="B178" s="2347" t="s">
        <v>717</v>
      </c>
      <c r="C178" s="823"/>
      <c r="D178" s="780"/>
      <c r="E178" s="780"/>
      <c r="F178" s="780"/>
      <c r="G178" s="975" t="s">
        <v>717</v>
      </c>
      <c r="H178" s="823"/>
      <c r="I178" s="884"/>
      <c r="Q178"/>
      <c r="AD178" s="100"/>
    </row>
    <row r="179" spans="2:30" ht="12.75" customHeight="1">
      <c r="B179" s="2347" t="s">
        <v>718</v>
      </c>
      <c r="C179" s="823"/>
      <c r="D179" s="780"/>
      <c r="E179" s="780"/>
      <c r="F179" s="780"/>
      <c r="G179" s="975" t="s">
        <v>718</v>
      </c>
      <c r="H179" s="823"/>
      <c r="I179" s="884"/>
      <c r="Q179"/>
      <c r="AD179" s="100"/>
    </row>
    <row r="180" spans="2:30" s="2665" customFormat="1" ht="12.75" customHeight="1">
      <c r="B180" s="2347" t="s">
        <v>763</v>
      </c>
      <c r="C180" s="823"/>
      <c r="D180" s="780"/>
      <c r="E180" s="780"/>
      <c r="F180" s="780"/>
      <c r="G180" s="975" t="s">
        <v>763</v>
      </c>
      <c r="H180" s="823"/>
      <c r="I180" s="884"/>
      <c r="Q180" s="1427"/>
      <c r="R180" s="1427"/>
      <c r="S180" s="1427"/>
      <c r="T180" s="1427"/>
      <c r="U180" s="1427"/>
      <c r="V180" s="1427"/>
      <c r="W180" s="1427"/>
      <c r="X180" s="1427"/>
      <c r="Y180" s="1427"/>
      <c r="Z180" s="1427"/>
      <c r="AA180" s="1427"/>
      <c r="AB180" s="1427"/>
      <c r="AC180" s="1427"/>
    </row>
    <row r="181" spans="2:30">
      <c r="B181" s="2346" t="s">
        <v>65</v>
      </c>
      <c r="C181" s="823"/>
      <c r="D181" s="780"/>
      <c r="E181" s="780"/>
      <c r="F181" s="780"/>
      <c r="G181" s="2342" t="s">
        <v>65</v>
      </c>
      <c r="H181" s="823"/>
      <c r="I181" s="884"/>
      <c r="Q181"/>
      <c r="AD181" s="100"/>
    </row>
    <row r="182" spans="2:30" ht="12.75" customHeight="1">
      <c r="B182" s="2347" t="s">
        <v>714</v>
      </c>
      <c r="C182" s="823"/>
      <c r="D182" s="780"/>
      <c r="E182" s="780"/>
      <c r="F182" s="780"/>
      <c r="G182" s="975" t="s">
        <v>714</v>
      </c>
      <c r="H182" s="823"/>
      <c r="I182" s="884"/>
      <c r="Q182"/>
      <c r="AD182" s="100"/>
    </row>
    <row r="183" spans="2:30" ht="12.75" customHeight="1">
      <c r="B183" s="2347" t="s">
        <v>715</v>
      </c>
      <c r="C183" s="823"/>
      <c r="D183" s="780"/>
      <c r="E183" s="780"/>
      <c r="F183" s="780"/>
      <c r="G183" s="975" t="s">
        <v>715</v>
      </c>
      <c r="H183" s="823"/>
      <c r="I183" s="884"/>
      <c r="Q183"/>
      <c r="AD183" s="100"/>
    </row>
    <row r="184" spans="2:30">
      <c r="B184" s="2347" t="s">
        <v>716</v>
      </c>
      <c r="C184" s="823"/>
      <c r="D184" s="780"/>
      <c r="E184" s="780"/>
      <c r="F184" s="780"/>
      <c r="G184" s="975" t="s">
        <v>716</v>
      </c>
      <c r="H184" s="823"/>
      <c r="I184" s="884"/>
      <c r="Q184"/>
      <c r="AD184" s="100"/>
    </row>
    <row r="185" spans="2:30">
      <c r="B185" s="2347" t="s">
        <v>717</v>
      </c>
      <c r="C185" s="823"/>
      <c r="D185" s="780"/>
      <c r="E185" s="780"/>
      <c r="F185" s="780"/>
      <c r="G185" s="975" t="s">
        <v>717</v>
      </c>
      <c r="H185" s="823"/>
      <c r="I185" s="884"/>
      <c r="Q185"/>
      <c r="AD185" s="100"/>
    </row>
    <row r="186" spans="2:30" ht="12.75" customHeight="1">
      <c r="B186" s="2347" t="s">
        <v>718</v>
      </c>
      <c r="C186" s="823"/>
      <c r="D186" s="780"/>
      <c r="E186" s="780"/>
      <c r="F186" s="780"/>
      <c r="G186" s="975" t="s">
        <v>718</v>
      </c>
      <c r="H186" s="823"/>
      <c r="I186" s="884"/>
      <c r="Q186"/>
      <c r="AD186" s="100"/>
    </row>
    <row r="187" spans="2:30" s="2665" customFormat="1" ht="12.75" customHeight="1">
      <c r="B187" s="2347" t="s">
        <v>763</v>
      </c>
      <c r="C187" s="823"/>
      <c r="D187" s="780"/>
      <c r="E187" s="780"/>
      <c r="F187" s="780"/>
      <c r="G187" s="975" t="s">
        <v>763</v>
      </c>
      <c r="H187" s="823"/>
      <c r="I187" s="884"/>
      <c r="Q187" s="1427"/>
      <c r="R187" s="1427"/>
      <c r="S187" s="1427"/>
      <c r="T187" s="1427"/>
      <c r="U187" s="1427"/>
      <c r="V187" s="1427"/>
      <c r="W187" s="1427"/>
      <c r="X187" s="1427"/>
      <c r="Y187" s="1427"/>
      <c r="Z187" s="1427"/>
      <c r="AA187" s="1427"/>
      <c r="AB187" s="1427"/>
      <c r="AC187" s="1427"/>
    </row>
    <row r="188" spans="2:30">
      <c r="B188" s="2346" t="s">
        <v>82</v>
      </c>
      <c r="C188" s="823"/>
      <c r="D188" s="780"/>
      <c r="E188" s="780"/>
      <c r="F188" s="780"/>
      <c r="G188" s="2342" t="s">
        <v>82</v>
      </c>
      <c r="H188" s="823"/>
      <c r="I188" s="884"/>
      <c r="Q188"/>
      <c r="AD188" s="100"/>
    </row>
    <row r="189" spans="2:30" ht="12.75" customHeight="1">
      <c r="B189" s="2347" t="s">
        <v>714</v>
      </c>
      <c r="C189" s="823"/>
      <c r="D189" s="780"/>
      <c r="E189" s="780"/>
      <c r="F189" s="780"/>
      <c r="G189" s="975" t="s">
        <v>714</v>
      </c>
      <c r="H189" s="823"/>
      <c r="I189" s="884"/>
      <c r="Q189"/>
      <c r="AD189" s="100"/>
    </row>
    <row r="190" spans="2:30" ht="12.75" customHeight="1">
      <c r="B190" s="2347" t="s">
        <v>715</v>
      </c>
      <c r="C190" s="823"/>
      <c r="D190" s="780"/>
      <c r="E190" s="780"/>
      <c r="F190" s="780"/>
      <c r="G190" s="975" t="s">
        <v>715</v>
      </c>
      <c r="H190" s="823"/>
      <c r="I190" s="884"/>
      <c r="Q190"/>
      <c r="AD190" s="100"/>
    </row>
    <row r="191" spans="2:30">
      <c r="B191" s="2347" t="s">
        <v>716</v>
      </c>
      <c r="C191" s="823"/>
      <c r="D191" s="780"/>
      <c r="E191" s="780"/>
      <c r="F191" s="780"/>
      <c r="G191" s="975" t="s">
        <v>716</v>
      </c>
      <c r="H191" s="823"/>
      <c r="I191" s="884"/>
      <c r="Q191"/>
      <c r="AD191" s="100"/>
    </row>
    <row r="192" spans="2:30">
      <c r="B192" s="2347" t="s">
        <v>717</v>
      </c>
      <c r="C192" s="823"/>
      <c r="D192" s="780"/>
      <c r="E192" s="780"/>
      <c r="F192" s="780"/>
      <c r="G192" s="975" t="s">
        <v>717</v>
      </c>
      <c r="H192" s="823"/>
      <c r="I192" s="884"/>
      <c r="Q192"/>
      <c r="AD192" s="100"/>
    </row>
    <row r="193" spans="2:30" ht="12.75" customHeight="1">
      <c r="B193" s="2347" t="s">
        <v>718</v>
      </c>
      <c r="C193" s="823"/>
      <c r="D193" s="780"/>
      <c r="E193" s="780"/>
      <c r="F193" s="780"/>
      <c r="G193" s="975" t="s">
        <v>718</v>
      </c>
      <c r="H193" s="823"/>
      <c r="I193" s="884"/>
      <c r="Q193"/>
      <c r="AD193" s="100"/>
    </row>
    <row r="194" spans="2:30" s="2665" customFormat="1" ht="12.75" customHeight="1">
      <c r="B194" s="2347" t="s">
        <v>763</v>
      </c>
      <c r="C194" s="823"/>
      <c r="D194" s="780"/>
      <c r="E194" s="780"/>
      <c r="F194" s="780"/>
      <c r="G194" s="975" t="s">
        <v>763</v>
      </c>
      <c r="H194" s="823"/>
      <c r="I194" s="884"/>
      <c r="Q194" s="1427"/>
      <c r="R194" s="1427"/>
      <c r="S194" s="1427"/>
      <c r="T194" s="1427"/>
      <c r="U194" s="1427"/>
      <c r="V194" s="1427"/>
      <c r="W194" s="1427"/>
      <c r="X194" s="1427"/>
      <c r="Y194" s="1427"/>
      <c r="Z194" s="1427"/>
      <c r="AA194" s="1427"/>
      <c r="AB194" s="1427"/>
      <c r="AC194" s="1427"/>
    </row>
    <row r="195" spans="2:30">
      <c r="B195" s="2346" t="s">
        <v>719</v>
      </c>
      <c r="C195" s="823"/>
      <c r="D195" s="780"/>
      <c r="E195" s="780"/>
      <c r="F195" s="780"/>
      <c r="G195" s="2342" t="s">
        <v>719</v>
      </c>
      <c r="H195" s="823"/>
      <c r="I195" s="884"/>
      <c r="Q195"/>
      <c r="AD195" s="100"/>
    </row>
    <row r="196" spans="2:30" ht="12.75" customHeight="1">
      <c r="B196" s="2347" t="s">
        <v>714</v>
      </c>
      <c r="C196" s="823"/>
      <c r="D196" s="780"/>
      <c r="E196" s="780"/>
      <c r="F196" s="780"/>
      <c r="G196" s="975" t="s">
        <v>714</v>
      </c>
      <c r="H196" s="823"/>
      <c r="I196" s="884"/>
      <c r="Q196"/>
      <c r="AD196" s="100"/>
    </row>
    <row r="197" spans="2:30" ht="12.75" customHeight="1">
      <c r="B197" s="2347" t="s">
        <v>715</v>
      </c>
      <c r="C197" s="823"/>
      <c r="D197" s="780"/>
      <c r="E197" s="780"/>
      <c r="F197" s="780"/>
      <c r="G197" s="975" t="s">
        <v>715</v>
      </c>
      <c r="H197" s="823"/>
      <c r="I197" s="884"/>
      <c r="Q197"/>
      <c r="AD197" s="100"/>
    </row>
    <row r="198" spans="2:30">
      <c r="B198" s="2347" t="s">
        <v>716</v>
      </c>
      <c r="C198" s="823"/>
      <c r="D198" s="780"/>
      <c r="E198" s="780"/>
      <c r="F198" s="780"/>
      <c r="G198" s="975" t="s">
        <v>716</v>
      </c>
      <c r="H198" s="823"/>
      <c r="I198" s="884"/>
      <c r="Q198"/>
      <c r="AD198" s="100"/>
    </row>
    <row r="199" spans="2:30">
      <c r="B199" s="2347" t="s">
        <v>717</v>
      </c>
      <c r="C199" s="823"/>
      <c r="D199" s="780"/>
      <c r="E199" s="780"/>
      <c r="F199" s="780"/>
      <c r="G199" s="975" t="s">
        <v>717</v>
      </c>
      <c r="H199" s="823"/>
      <c r="I199" s="884"/>
      <c r="Q199"/>
      <c r="AD199" s="100"/>
    </row>
    <row r="200" spans="2:30" ht="12.75" customHeight="1">
      <c r="B200" s="2347" t="s">
        <v>718</v>
      </c>
      <c r="C200" s="823"/>
      <c r="D200" s="780"/>
      <c r="E200" s="780"/>
      <c r="F200" s="780"/>
      <c r="G200" s="975" t="s">
        <v>718</v>
      </c>
      <c r="H200" s="823"/>
      <c r="I200" s="884"/>
      <c r="Q200"/>
      <c r="AD200" s="100"/>
    </row>
    <row r="201" spans="2:30" s="2665" customFormat="1" ht="12.75" customHeight="1">
      <c r="B201" s="2347" t="s">
        <v>763</v>
      </c>
      <c r="C201" s="823"/>
      <c r="D201" s="780"/>
      <c r="E201" s="780"/>
      <c r="F201" s="780"/>
      <c r="G201" s="975" t="s">
        <v>763</v>
      </c>
      <c r="H201" s="823"/>
      <c r="I201" s="884"/>
      <c r="Q201" s="1427"/>
      <c r="R201" s="1427"/>
      <c r="S201" s="1427"/>
      <c r="T201" s="1427"/>
      <c r="U201" s="1427"/>
      <c r="V201" s="1427"/>
      <c r="W201" s="1427"/>
      <c r="X201" s="1427"/>
      <c r="Y201" s="1427"/>
      <c r="Z201" s="1427"/>
      <c r="AA201" s="1427"/>
      <c r="AB201" s="1427"/>
      <c r="AC201" s="1427"/>
    </row>
    <row r="202" spans="2:30" ht="12.75" customHeight="1">
      <c r="B202" s="2346" t="s">
        <v>720</v>
      </c>
      <c r="C202" s="823"/>
      <c r="D202" s="780"/>
      <c r="E202" s="780"/>
      <c r="F202" s="780"/>
      <c r="G202" s="2342" t="s">
        <v>720</v>
      </c>
      <c r="H202" s="823"/>
      <c r="I202" s="884"/>
      <c r="Q202"/>
      <c r="AD202" s="100"/>
    </row>
    <row r="203" spans="2:30" ht="12.75" customHeight="1">
      <c r="B203" s="2347" t="s">
        <v>714</v>
      </c>
      <c r="C203" s="823"/>
      <c r="D203" s="780"/>
      <c r="E203" s="780"/>
      <c r="F203" s="780"/>
      <c r="G203" s="975" t="s">
        <v>714</v>
      </c>
      <c r="H203" s="823"/>
      <c r="I203" s="884"/>
      <c r="Q203"/>
      <c r="AD203" s="100"/>
    </row>
    <row r="204" spans="2:30" ht="12.75" customHeight="1">
      <c r="B204" s="2347" t="s">
        <v>715</v>
      </c>
      <c r="C204" s="823"/>
      <c r="D204" s="780"/>
      <c r="E204" s="780"/>
      <c r="F204" s="780"/>
      <c r="G204" s="975" t="s">
        <v>715</v>
      </c>
      <c r="H204" s="823"/>
      <c r="I204" s="884"/>
      <c r="Q204"/>
      <c r="AD204" s="100"/>
    </row>
    <row r="205" spans="2:30">
      <c r="B205" s="2347" t="s">
        <v>716</v>
      </c>
      <c r="C205" s="823"/>
      <c r="D205" s="780"/>
      <c r="E205" s="780"/>
      <c r="F205" s="780"/>
      <c r="G205" s="975" t="s">
        <v>716</v>
      </c>
      <c r="H205" s="823"/>
      <c r="I205" s="884"/>
      <c r="Q205"/>
      <c r="AD205" s="100"/>
    </row>
    <row r="206" spans="2:30">
      <c r="B206" s="2347" t="s">
        <v>717</v>
      </c>
      <c r="C206" s="823"/>
      <c r="D206" s="780"/>
      <c r="E206" s="780"/>
      <c r="F206" s="780"/>
      <c r="G206" s="975" t="s">
        <v>717</v>
      </c>
      <c r="H206" s="823"/>
      <c r="I206" s="884"/>
      <c r="Q206"/>
      <c r="AD206" s="100"/>
    </row>
    <row r="207" spans="2:30" ht="12.75" customHeight="1">
      <c r="B207" s="2347" t="s">
        <v>718</v>
      </c>
      <c r="C207" s="823"/>
      <c r="D207" s="780"/>
      <c r="E207" s="780"/>
      <c r="F207" s="780"/>
      <c r="G207" s="975" t="s">
        <v>718</v>
      </c>
      <c r="H207" s="823"/>
      <c r="I207" s="884"/>
      <c r="Q207"/>
      <c r="AD207" s="100"/>
    </row>
    <row r="208" spans="2:30" s="2665" customFormat="1" ht="12.75" customHeight="1">
      <c r="B208" s="2347" t="s">
        <v>763</v>
      </c>
      <c r="C208" s="823"/>
      <c r="D208" s="780"/>
      <c r="E208" s="780"/>
      <c r="F208" s="780"/>
      <c r="G208" s="975" t="s">
        <v>763</v>
      </c>
      <c r="H208" s="823"/>
      <c r="I208" s="884"/>
      <c r="Q208" s="1427"/>
      <c r="R208" s="1427"/>
      <c r="S208" s="1427"/>
      <c r="T208" s="1427"/>
      <c r="U208" s="1427"/>
      <c r="V208" s="1427"/>
      <c r="W208" s="1427"/>
      <c r="X208" s="1427"/>
      <c r="Y208" s="1427"/>
      <c r="Z208" s="1427"/>
      <c r="AA208" s="1427"/>
      <c r="AB208" s="1427"/>
      <c r="AC208" s="1427"/>
    </row>
    <row r="209" spans="2:30" ht="12.75" customHeight="1">
      <c r="B209" s="2346" t="s">
        <v>721</v>
      </c>
      <c r="C209" s="823"/>
      <c r="D209" s="780"/>
      <c r="E209" s="780"/>
      <c r="F209" s="780"/>
      <c r="G209" s="2342" t="s">
        <v>721</v>
      </c>
      <c r="H209" s="823"/>
      <c r="I209" s="884"/>
      <c r="Q209"/>
      <c r="AD209" s="100"/>
    </row>
    <row r="210" spans="2:30" ht="12.75" customHeight="1">
      <c r="B210" s="2347" t="s">
        <v>714</v>
      </c>
      <c r="C210" s="823"/>
      <c r="D210" s="780"/>
      <c r="E210" s="780"/>
      <c r="F210" s="780"/>
      <c r="G210" s="975" t="s">
        <v>714</v>
      </c>
      <c r="H210" s="823"/>
      <c r="I210" s="884"/>
      <c r="Q210"/>
      <c r="AD210" s="100"/>
    </row>
    <row r="211" spans="2:30" ht="12.75" customHeight="1">
      <c r="B211" s="2347" t="s">
        <v>715</v>
      </c>
      <c r="C211" s="823"/>
      <c r="D211" s="780"/>
      <c r="E211" s="780"/>
      <c r="F211" s="780"/>
      <c r="G211" s="975" t="s">
        <v>715</v>
      </c>
      <c r="H211" s="823"/>
      <c r="I211" s="884"/>
      <c r="Q211"/>
      <c r="AD211" s="100"/>
    </row>
    <row r="212" spans="2:30">
      <c r="B212" s="2347" t="s">
        <v>716</v>
      </c>
      <c r="C212" s="823"/>
      <c r="D212" s="780"/>
      <c r="E212" s="780"/>
      <c r="F212" s="780"/>
      <c r="G212" s="975" t="s">
        <v>716</v>
      </c>
      <c r="H212" s="823"/>
      <c r="I212" s="884"/>
      <c r="Q212"/>
      <c r="AD212" s="100"/>
    </row>
    <row r="213" spans="2:30">
      <c r="B213" s="2347" t="s">
        <v>717</v>
      </c>
      <c r="C213" s="823"/>
      <c r="D213" s="780"/>
      <c r="E213" s="780"/>
      <c r="F213" s="780"/>
      <c r="G213" s="975" t="s">
        <v>717</v>
      </c>
      <c r="H213" s="823"/>
      <c r="I213" s="884"/>
      <c r="Q213"/>
      <c r="AD213" s="100"/>
    </row>
    <row r="214" spans="2:30" ht="12.75" customHeight="1">
      <c r="B214" s="2347" t="s">
        <v>718</v>
      </c>
      <c r="C214" s="823"/>
      <c r="D214" s="780"/>
      <c r="E214" s="780"/>
      <c r="F214" s="780"/>
      <c r="G214" s="975" t="s">
        <v>718</v>
      </c>
      <c r="H214" s="823"/>
      <c r="I214" s="884"/>
      <c r="Q214"/>
      <c r="AD214" s="100"/>
    </row>
    <row r="215" spans="2:30" s="2665" customFormat="1" ht="12.75" customHeight="1">
      <c r="B215" s="2347" t="s">
        <v>763</v>
      </c>
      <c r="C215" s="823"/>
      <c r="D215" s="780"/>
      <c r="E215" s="780"/>
      <c r="F215" s="780"/>
      <c r="G215" s="975" t="s">
        <v>763</v>
      </c>
      <c r="H215" s="823"/>
      <c r="I215" s="884"/>
      <c r="Q215" s="1427"/>
      <c r="R215" s="1427"/>
      <c r="S215" s="1427"/>
      <c r="T215" s="1427"/>
      <c r="U215" s="1427"/>
      <c r="V215" s="1427"/>
      <c r="W215" s="1427"/>
      <c r="X215" s="1427"/>
      <c r="Y215" s="1427"/>
      <c r="Z215" s="1427"/>
      <c r="AA215" s="1427"/>
      <c r="AB215" s="1427"/>
      <c r="AC215" s="1427"/>
    </row>
    <row r="216" spans="2:30" ht="12.75" customHeight="1">
      <c r="B216" s="2346" t="s">
        <v>66</v>
      </c>
      <c r="C216" s="823"/>
      <c r="D216" s="780"/>
      <c r="E216" s="780"/>
      <c r="F216" s="780"/>
      <c r="G216" s="2342" t="s">
        <v>66</v>
      </c>
      <c r="H216" s="823"/>
      <c r="I216" s="884"/>
      <c r="Q216"/>
      <c r="AD216" s="100"/>
    </row>
    <row r="217" spans="2:30" ht="12.75" customHeight="1">
      <c r="B217" s="2347" t="s">
        <v>714</v>
      </c>
      <c r="C217" s="823"/>
      <c r="D217" s="780"/>
      <c r="E217" s="780"/>
      <c r="F217" s="780"/>
      <c r="G217" s="975" t="s">
        <v>714</v>
      </c>
      <c r="H217" s="823"/>
      <c r="I217" s="884"/>
      <c r="Q217"/>
      <c r="AD217" s="100"/>
    </row>
    <row r="218" spans="2:30" ht="12.75" customHeight="1">
      <c r="B218" s="2347" t="s">
        <v>715</v>
      </c>
      <c r="C218" s="823"/>
      <c r="D218" s="780"/>
      <c r="E218" s="780"/>
      <c r="F218" s="780"/>
      <c r="G218" s="975" t="s">
        <v>715</v>
      </c>
      <c r="H218" s="823"/>
      <c r="I218" s="884"/>
      <c r="Q218"/>
      <c r="AD218" s="100"/>
    </row>
    <row r="219" spans="2:30">
      <c r="B219" s="2347" t="s">
        <v>716</v>
      </c>
      <c r="C219" s="823"/>
      <c r="D219" s="780"/>
      <c r="E219" s="780"/>
      <c r="F219" s="780"/>
      <c r="G219" s="975" t="s">
        <v>716</v>
      </c>
      <c r="H219" s="823"/>
      <c r="I219" s="884"/>
      <c r="Q219"/>
      <c r="AD219" s="100"/>
    </row>
    <row r="220" spans="2:30">
      <c r="B220" s="2347" t="s">
        <v>717</v>
      </c>
      <c r="C220" s="823"/>
      <c r="D220" s="780"/>
      <c r="E220" s="780"/>
      <c r="F220" s="780"/>
      <c r="G220" s="975" t="s">
        <v>717</v>
      </c>
      <c r="H220" s="823"/>
      <c r="I220" s="884"/>
      <c r="Q220"/>
      <c r="AD220" s="100"/>
    </row>
    <row r="221" spans="2:30" ht="12.75" customHeight="1">
      <c r="B221" s="2347" t="s">
        <v>718</v>
      </c>
      <c r="C221" s="823"/>
      <c r="D221" s="780"/>
      <c r="E221" s="780"/>
      <c r="F221" s="780"/>
      <c r="G221" s="975" t="s">
        <v>718</v>
      </c>
      <c r="H221" s="823"/>
      <c r="I221" s="884"/>
      <c r="Q221"/>
      <c r="AD221" s="100"/>
    </row>
    <row r="222" spans="2:30" s="2665" customFormat="1" ht="12.75" customHeight="1">
      <c r="B222" s="2347" t="s">
        <v>763</v>
      </c>
      <c r="C222" s="823"/>
      <c r="D222" s="780"/>
      <c r="E222" s="780"/>
      <c r="F222" s="780"/>
      <c r="G222" s="975" t="s">
        <v>763</v>
      </c>
      <c r="H222" s="823"/>
      <c r="I222" s="884"/>
      <c r="Q222" s="1427"/>
      <c r="R222" s="1427"/>
      <c r="S222" s="1427"/>
      <c r="T222" s="1427"/>
      <c r="U222" s="1427"/>
      <c r="V222" s="1427"/>
      <c r="W222" s="1427"/>
      <c r="X222" s="1427"/>
      <c r="Y222" s="1427"/>
      <c r="Z222" s="1427"/>
      <c r="AA222" s="1427"/>
      <c r="AB222" s="1427"/>
      <c r="AC222" s="1427"/>
    </row>
    <row r="223" spans="2:30">
      <c r="B223" s="2346" t="s">
        <v>67</v>
      </c>
      <c r="C223" s="823"/>
      <c r="D223" s="780"/>
      <c r="E223" s="780"/>
      <c r="F223" s="780"/>
      <c r="G223" s="2342" t="s">
        <v>67</v>
      </c>
      <c r="H223" s="823"/>
      <c r="I223" s="884"/>
      <c r="Q223"/>
      <c r="AD223" s="100"/>
    </row>
    <row r="224" spans="2:30" ht="12.75" customHeight="1">
      <c r="B224" s="2347" t="s">
        <v>714</v>
      </c>
      <c r="C224" s="823"/>
      <c r="D224" s="780"/>
      <c r="E224" s="780"/>
      <c r="F224" s="780"/>
      <c r="G224" s="975" t="s">
        <v>714</v>
      </c>
      <c r="H224" s="823"/>
      <c r="I224" s="884"/>
      <c r="Q224"/>
      <c r="AD224" s="100"/>
    </row>
    <row r="225" spans="2:30" ht="12.75" customHeight="1">
      <c r="B225" s="2347" t="s">
        <v>715</v>
      </c>
      <c r="C225" s="823"/>
      <c r="D225" s="780"/>
      <c r="E225" s="780"/>
      <c r="F225" s="780"/>
      <c r="G225" s="975" t="s">
        <v>715</v>
      </c>
      <c r="H225" s="823"/>
      <c r="I225" s="884"/>
      <c r="Q225"/>
      <c r="AD225" s="100"/>
    </row>
    <row r="226" spans="2:30">
      <c r="B226" s="2347" t="s">
        <v>716</v>
      </c>
      <c r="C226" s="823"/>
      <c r="D226" s="780"/>
      <c r="E226" s="780"/>
      <c r="F226" s="780"/>
      <c r="G226" s="975" t="s">
        <v>716</v>
      </c>
      <c r="H226" s="823"/>
      <c r="I226" s="884"/>
      <c r="Q226"/>
      <c r="AD226" s="100"/>
    </row>
    <row r="227" spans="2:30">
      <c r="B227" s="2347" t="s">
        <v>717</v>
      </c>
      <c r="C227" s="823"/>
      <c r="D227" s="780"/>
      <c r="E227" s="780"/>
      <c r="F227" s="780"/>
      <c r="G227" s="975" t="s">
        <v>717</v>
      </c>
      <c r="H227" s="823"/>
      <c r="I227" s="884"/>
      <c r="Q227"/>
      <c r="AD227" s="100"/>
    </row>
    <row r="228" spans="2:30" ht="12.75" customHeight="1">
      <c r="B228" s="2347" t="s">
        <v>718</v>
      </c>
      <c r="C228" s="823"/>
      <c r="D228" s="780"/>
      <c r="E228" s="780"/>
      <c r="F228" s="780"/>
      <c r="G228" s="975" t="s">
        <v>718</v>
      </c>
      <c r="H228" s="823"/>
      <c r="I228" s="884"/>
      <c r="Q228"/>
      <c r="AD228" s="100"/>
    </row>
    <row r="229" spans="2:30">
      <c r="B229" s="1476" t="s">
        <v>81</v>
      </c>
      <c r="C229" s="823"/>
      <c r="D229" s="780"/>
      <c r="E229" s="780"/>
      <c r="F229" s="780"/>
      <c r="G229" s="2349" t="s">
        <v>81</v>
      </c>
      <c r="H229" s="823"/>
      <c r="I229" s="884"/>
      <c r="Q229"/>
      <c r="AD229" s="100"/>
    </row>
    <row r="230" spans="2:30" ht="13.5" thickBot="1">
      <c r="B230" s="1477" t="s">
        <v>81</v>
      </c>
      <c r="C230" s="823"/>
      <c r="D230" s="780"/>
      <c r="E230" s="780"/>
      <c r="F230" s="780"/>
      <c r="G230" s="2349" t="s">
        <v>81</v>
      </c>
      <c r="H230" s="823"/>
      <c r="I230" s="884"/>
      <c r="Q230"/>
      <c r="AD230" s="100"/>
    </row>
    <row r="231" spans="2:30">
      <c r="B231" s="2348" t="s">
        <v>736</v>
      </c>
      <c r="C231" s="2001"/>
      <c r="D231" s="2002"/>
      <c r="E231" s="2002"/>
      <c r="F231" s="2002"/>
      <c r="G231" s="2348" t="s">
        <v>736</v>
      </c>
      <c r="H231" s="2366"/>
      <c r="I231" s="2367"/>
      <c r="Q231"/>
      <c r="AD231" s="100"/>
    </row>
    <row r="232" spans="2:30">
      <c r="B232" s="2346" t="s">
        <v>64</v>
      </c>
      <c r="C232" s="823"/>
      <c r="D232" s="780"/>
      <c r="E232" s="780"/>
      <c r="F232" s="780"/>
      <c r="G232" s="2342" t="s">
        <v>64</v>
      </c>
      <c r="H232" s="823"/>
      <c r="I232" s="884"/>
      <c r="Q232"/>
      <c r="AD232" s="100"/>
    </row>
    <row r="233" spans="2:30" ht="12.75" customHeight="1">
      <c r="B233" s="2347" t="s">
        <v>714</v>
      </c>
      <c r="C233" s="823"/>
      <c r="D233" s="780"/>
      <c r="E233" s="780"/>
      <c r="F233" s="780"/>
      <c r="G233" s="975" t="s">
        <v>714</v>
      </c>
      <c r="H233" s="823"/>
      <c r="I233" s="884"/>
      <c r="Q233"/>
      <c r="AD233" s="100"/>
    </row>
    <row r="234" spans="2:30">
      <c r="B234" s="2347" t="s">
        <v>715</v>
      </c>
      <c r="C234" s="823"/>
      <c r="D234" s="780"/>
      <c r="E234" s="780"/>
      <c r="F234" s="780"/>
      <c r="G234" s="975" t="s">
        <v>715</v>
      </c>
      <c r="H234" s="823"/>
      <c r="I234" s="884"/>
      <c r="Q234"/>
      <c r="AD234" s="100"/>
    </row>
    <row r="235" spans="2:30">
      <c r="B235" s="2347" t="s">
        <v>716</v>
      </c>
      <c r="C235" s="823"/>
      <c r="D235" s="780"/>
      <c r="E235" s="780"/>
      <c r="F235" s="780"/>
      <c r="G235" s="975" t="s">
        <v>716</v>
      </c>
      <c r="H235" s="823"/>
      <c r="I235" s="884"/>
      <c r="Q235"/>
      <c r="AD235" s="100"/>
    </row>
    <row r="236" spans="2:30" ht="12.75" customHeight="1">
      <c r="B236" s="2347" t="s">
        <v>717</v>
      </c>
      <c r="C236" s="823"/>
      <c r="D236" s="780"/>
      <c r="E236" s="780"/>
      <c r="F236" s="780"/>
      <c r="G236" s="975" t="s">
        <v>717</v>
      </c>
      <c r="H236" s="823"/>
      <c r="I236" s="884"/>
      <c r="Q236"/>
      <c r="AD236" s="100"/>
    </row>
    <row r="237" spans="2:30">
      <c r="B237" s="2347" t="s">
        <v>718</v>
      </c>
      <c r="C237" s="823"/>
      <c r="D237" s="780"/>
      <c r="E237" s="780"/>
      <c r="F237" s="780"/>
      <c r="G237" s="975" t="s">
        <v>718</v>
      </c>
      <c r="H237" s="823"/>
      <c r="I237" s="884"/>
      <c r="Q237"/>
      <c r="AD237" s="100"/>
    </row>
    <row r="238" spans="2:30" s="2665" customFormat="1">
      <c r="B238" s="2347" t="s">
        <v>763</v>
      </c>
      <c r="C238" s="823"/>
      <c r="D238" s="780"/>
      <c r="E238" s="780"/>
      <c r="F238" s="780"/>
      <c r="G238" s="975" t="s">
        <v>763</v>
      </c>
      <c r="H238" s="823"/>
      <c r="I238" s="884"/>
      <c r="Q238" s="1427"/>
      <c r="R238" s="1427"/>
      <c r="S238" s="1427"/>
      <c r="T238" s="1427"/>
      <c r="U238" s="1427"/>
      <c r="V238" s="1427"/>
      <c r="W238" s="1427"/>
      <c r="X238" s="1427"/>
      <c r="Y238" s="1427"/>
      <c r="Z238" s="1427"/>
      <c r="AA238" s="1427"/>
      <c r="AB238" s="1427"/>
      <c r="AC238" s="1427"/>
    </row>
    <row r="239" spans="2:30" ht="12.75" customHeight="1">
      <c r="B239" s="2346" t="s">
        <v>65</v>
      </c>
      <c r="C239" s="823"/>
      <c r="D239" s="780"/>
      <c r="E239" s="780"/>
      <c r="F239" s="780"/>
      <c r="G239" s="2342" t="s">
        <v>65</v>
      </c>
      <c r="H239" s="823"/>
      <c r="I239" s="884"/>
      <c r="Q239"/>
      <c r="AD239" s="100"/>
    </row>
    <row r="240" spans="2:30" ht="12.75" customHeight="1">
      <c r="B240" s="2347" t="s">
        <v>714</v>
      </c>
      <c r="C240" s="823"/>
      <c r="D240" s="780"/>
      <c r="E240" s="780"/>
      <c r="F240" s="780"/>
      <c r="G240" s="975" t="s">
        <v>714</v>
      </c>
      <c r="H240" s="823"/>
      <c r="I240" s="884"/>
      <c r="Q240"/>
      <c r="AD240" s="100"/>
    </row>
    <row r="241" spans="2:30">
      <c r="B241" s="2347" t="s">
        <v>715</v>
      </c>
      <c r="C241" s="823"/>
      <c r="D241" s="780"/>
      <c r="E241" s="780"/>
      <c r="F241" s="780"/>
      <c r="G241" s="975" t="s">
        <v>715</v>
      </c>
      <c r="H241" s="823"/>
      <c r="I241" s="884"/>
      <c r="Q241"/>
      <c r="AD241" s="100"/>
    </row>
    <row r="242" spans="2:30">
      <c r="B242" s="2347" t="s">
        <v>716</v>
      </c>
      <c r="C242" s="823"/>
      <c r="D242" s="780"/>
      <c r="E242" s="780"/>
      <c r="F242" s="780"/>
      <c r="G242" s="975" t="s">
        <v>716</v>
      </c>
      <c r="H242" s="823"/>
      <c r="I242" s="884"/>
      <c r="Q242"/>
      <c r="AD242" s="100"/>
    </row>
    <row r="243" spans="2:30" ht="12.75" customHeight="1">
      <c r="B243" s="2347" t="s">
        <v>717</v>
      </c>
      <c r="C243" s="823"/>
      <c r="D243" s="780"/>
      <c r="E243" s="780"/>
      <c r="F243" s="780"/>
      <c r="G243" s="975" t="s">
        <v>717</v>
      </c>
      <c r="H243" s="823"/>
      <c r="I243" s="884"/>
      <c r="Q243"/>
      <c r="AD243" s="100"/>
    </row>
    <row r="244" spans="2:30">
      <c r="B244" s="2347" t="s">
        <v>718</v>
      </c>
      <c r="C244" s="823"/>
      <c r="D244" s="780"/>
      <c r="E244" s="780"/>
      <c r="F244" s="780"/>
      <c r="G244" s="975" t="s">
        <v>718</v>
      </c>
      <c r="H244" s="823"/>
      <c r="I244" s="884"/>
      <c r="Q244"/>
      <c r="AD244" s="100"/>
    </row>
    <row r="245" spans="2:30" s="2665" customFormat="1">
      <c r="B245" s="2347" t="s">
        <v>763</v>
      </c>
      <c r="C245" s="823"/>
      <c r="D245" s="780"/>
      <c r="E245" s="780"/>
      <c r="F245" s="780"/>
      <c r="G245" s="975" t="s">
        <v>763</v>
      </c>
      <c r="H245" s="823"/>
      <c r="I245" s="884"/>
      <c r="Q245" s="1427"/>
      <c r="R245" s="1427"/>
      <c r="S245" s="1427"/>
      <c r="T245" s="1427"/>
      <c r="U245" s="1427"/>
      <c r="V245" s="1427"/>
      <c r="W245" s="1427"/>
      <c r="X245" s="1427"/>
      <c r="Y245" s="1427"/>
      <c r="Z245" s="1427"/>
      <c r="AA245" s="1427"/>
      <c r="AB245" s="1427"/>
      <c r="AC245" s="1427"/>
    </row>
    <row r="246" spans="2:30" ht="12.75" customHeight="1">
      <c r="B246" s="2346" t="s">
        <v>82</v>
      </c>
      <c r="C246" s="823"/>
      <c r="D246" s="780"/>
      <c r="E246" s="780"/>
      <c r="F246" s="780"/>
      <c r="G246" s="2342" t="s">
        <v>82</v>
      </c>
      <c r="H246" s="823"/>
      <c r="I246" s="884"/>
      <c r="Q246"/>
      <c r="AD246" s="100"/>
    </row>
    <row r="247" spans="2:30" ht="12.75" customHeight="1">
      <c r="B247" s="2347" t="s">
        <v>714</v>
      </c>
      <c r="C247" s="823"/>
      <c r="D247" s="780"/>
      <c r="E247" s="780"/>
      <c r="F247" s="780"/>
      <c r="G247" s="975" t="s">
        <v>714</v>
      </c>
      <c r="H247" s="823"/>
      <c r="I247" s="884"/>
      <c r="Q247"/>
      <c r="AD247" s="100"/>
    </row>
    <row r="248" spans="2:30">
      <c r="B248" s="2347" t="s">
        <v>715</v>
      </c>
      <c r="C248" s="823"/>
      <c r="D248" s="780"/>
      <c r="E248" s="780"/>
      <c r="F248" s="780"/>
      <c r="G248" s="975" t="s">
        <v>715</v>
      </c>
      <c r="H248" s="823"/>
      <c r="I248" s="884"/>
      <c r="Q248"/>
      <c r="AD248" s="100"/>
    </row>
    <row r="249" spans="2:30">
      <c r="B249" s="2347" t="s">
        <v>716</v>
      </c>
      <c r="C249" s="823"/>
      <c r="D249" s="780"/>
      <c r="E249" s="780"/>
      <c r="F249" s="780"/>
      <c r="G249" s="975" t="s">
        <v>716</v>
      </c>
      <c r="H249" s="823"/>
      <c r="I249" s="884"/>
      <c r="Q249"/>
      <c r="AD249" s="100"/>
    </row>
    <row r="250" spans="2:30" ht="12.75" customHeight="1">
      <c r="B250" s="2347" t="s">
        <v>717</v>
      </c>
      <c r="C250" s="823"/>
      <c r="D250" s="780"/>
      <c r="E250" s="780"/>
      <c r="F250" s="780"/>
      <c r="G250" s="975" t="s">
        <v>717</v>
      </c>
      <c r="H250" s="823"/>
      <c r="I250" s="884"/>
      <c r="Q250"/>
      <c r="AD250" s="100"/>
    </row>
    <row r="251" spans="2:30" ht="12.75" customHeight="1">
      <c r="B251" s="2347" t="s">
        <v>718</v>
      </c>
      <c r="C251" s="823"/>
      <c r="D251" s="780"/>
      <c r="E251" s="780"/>
      <c r="F251" s="780"/>
      <c r="G251" s="975" t="s">
        <v>718</v>
      </c>
      <c r="H251" s="823"/>
      <c r="I251" s="884"/>
      <c r="Q251"/>
      <c r="AD251" s="100"/>
    </row>
    <row r="252" spans="2:30" s="2665" customFormat="1" ht="12.75" customHeight="1">
      <c r="B252" s="2347" t="s">
        <v>763</v>
      </c>
      <c r="C252" s="823"/>
      <c r="D252" s="780"/>
      <c r="E252" s="780"/>
      <c r="F252" s="780"/>
      <c r="G252" s="975" t="s">
        <v>763</v>
      </c>
      <c r="H252" s="823"/>
      <c r="I252" s="884"/>
      <c r="Q252" s="1427"/>
      <c r="R252" s="1427"/>
      <c r="S252" s="1427"/>
      <c r="T252" s="1427"/>
      <c r="U252" s="1427"/>
      <c r="V252" s="1427"/>
      <c r="W252" s="1427"/>
      <c r="X252" s="1427"/>
      <c r="Y252" s="1427"/>
      <c r="Z252" s="1427"/>
      <c r="AA252" s="1427"/>
      <c r="AB252" s="1427"/>
      <c r="AC252" s="1427"/>
    </row>
    <row r="253" spans="2:30" ht="12.75" customHeight="1">
      <c r="B253" s="2346" t="s">
        <v>719</v>
      </c>
      <c r="C253" s="823"/>
      <c r="D253" s="780"/>
      <c r="E253" s="780"/>
      <c r="F253" s="780"/>
      <c r="G253" s="2342" t="s">
        <v>719</v>
      </c>
      <c r="H253" s="823"/>
      <c r="I253" s="884"/>
      <c r="Q253"/>
      <c r="AD253" s="100"/>
    </row>
    <row r="254" spans="2:30" ht="12.75" customHeight="1">
      <c r="B254" s="2347" t="s">
        <v>714</v>
      </c>
      <c r="C254" s="823"/>
      <c r="D254" s="780"/>
      <c r="E254" s="780"/>
      <c r="F254" s="780"/>
      <c r="G254" s="975" t="s">
        <v>714</v>
      </c>
      <c r="H254" s="823"/>
      <c r="I254" s="884"/>
      <c r="Q254"/>
      <c r="AD254" s="100"/>
    </row>
    <row r="255" spans="2:30">
      <c r="B255" s="2347" t="s">
        <v>715</v>
      </c>
      <c r="C255" s="823"/>
      <c r="D255" s="780"/>
      <c r="E255" s="780"/>
      <c r="F255" s="780"/>
      <c r="G255" s="975" t="s">
        <v>715</v>
      </c>
      <c r="H255" s="823"/>
      <c r="I255" s="884"/>
      <c r="Q255"/>
      <c r="AD255" s="100"/>
    </row>
    <row r="256" spans="2:30">
      <c r="B256" s="2347" t="s">
        <v>716</v>
      </c>
      <c r="C256" s="823"/>
      <c r="D256" s="780"/>
      <c r="E256" s="780"/>
      <c r="F256" s="780"/>
      <c r="G256" s="975" t="s">
        <v>716</v>
      </c>
      <c r="H256" s="823"/>
      <c r="I256" s="884"/>
      <c r="Q256"/>
      <c r="AD256" s="100"/>
    </row>
    <row r="257" spans="2:30" ht="12.75" customHeight="1">
      <c r="B257" s="2347" t="s">
        <v>717</v>
      </c>
      <c r="C257" s="823"/>
      <c r="D257" s="780"/>
      <c r="E257" s="780"/>
      <c r="F257" s="780"/>
      <c r="G257" s="975" t="s">
        <v>717</v>
      </c>
      <c r="H257" s="823"/>
      <c r="I257" s="884"/>
      <c r="Q257"/>
      <c r="AD257" s="100"/>
    </row>
    <row r="258" spans="2:30" ht="12.75" customHeight="1">
      <c r="B258" s="2347" t="s">
        <v>718</v>
      </c>
      <c r="C258" s="823"/>
      <c r="D258" s="780"/>
      <c r="E258" s="780"/>
      <c r="F258" s="780"/>
      <c r="G258" s="975" t="s">
        <v>718</v>
      </c>
      <c r="H258" s="823"/>
      <c r="I258" s="884"/>
      <c r="Q258"/>
      <c r="AD258" s="100"/>
    </row>
    <row r="259" spans="2:30" s="2665" customFormat="1" ht="12.75" customHeight="1">
      <c r="B259" s="2347" t="s">
        <v>763</v>
      </c>
      <c r="C259" s="823"/>
      <c r="D259" s="780"/>
      <c r="E259" s="780"/>
      <c r="F259" s="780"/>
      <c r="G259" s="975" t="s">
        <v>763</v>
      </c>
      <c r="H259" s="823"/>
      <c r="I259" s="884"/>
      <c r="Q259" s="1427"/>
      <c r="R259" s="1427"/>
      <c r="S259" s="1427"/>
      <c r="T259" s="1427"/>
      <c r="U259" s="1427"/>
      <c r="V259" s="1427"/>
      <c r="W259" s="1427"/>
      <c r="X259" s="1427"/>
      <c r="Y259" s="1427"/>
      <c r="Z259" s="1427"/>
      <c r="AA259" s="1427"/>
      <c r="AB259" s="1427"/>
      <c r="AC259" s="1427"/>
    </row>
    <row r="260" spans="2:30" ht="12.75" customHeight="1">
      <c r="B260" s="2346" t="s">
        <v>720</v>
      </c>
      <c r="C260" s="823"/>
      <c r="D260" s="780"/>
      <c r="E260" s="780"/>
      <c r="F260" s="780"/>
      <c r="G260" s="2342" t="s">
        <v>720</v>
      </c>
      <c r="H260" s="823"/>
      <c r="I260" s="884"/>
      <c r="Q260"/>
      <c r="AD260" s="100"/>
    </row>
    <row r="261" spans="2:30" ht="12.75" customHeight="1">
      <c r="B261" s="2347" t="s">
        <v>714</v>
      </c>
      <c r="C261" s="823"/>
      <c r="D261" s="780"/>
      <c r="E261" s="780"/>
      <c r="F261" s="780"/>
      <c r="G261" s="975" t="s">
        <v>714</v>
      </c>
      <c r="H261" s="823"/>
      <c r="I261" s="884"/>
      <c r="Q261"/>
      <c r="AD261" s="100"/>
    </row>
    <row r="262" spans="2:30">
      <c r="B262" s="2347" t="s">
        <v>715</v>
      </c>
      <c r="C262" s="823"/>
      <c r="D262" s="780"/>
      <c r="E262" s="780"/>
      <c r="F262" s="780"/>
      <c r="G262" s="975" t="s">
        <v>715</v>
      </c>
      <c r="H262" s="823"/>
      <c r="I262" s="884"/>
      <c r="Q262"/>
      <c r="AD262" s="100"/>
    </row>
    <row r="263" spans="2:30">
      <c r="B263" s="2347" t="s">
        <v>716</v>
      </c>
      <c r="C263" s="823"/>
      <c r="D263" s="780"/>
      <c r="E263" s="780"/>
      <c r="F263" s="780"/>
      <c r="G263" s="975" t="s">
        <v>716</v>
      </c>
      <c r="H263" s="823"/>
      <c r="I263" s="884"/>
      <c r="Q263"/>
      <c r="AD263" s="100"/>
    </row>
    <row r="264" spans="2:30" ht="12.75" customHeight="1">
      <c r="B264" s="2347" t="s">
        <v>717</v>
      </c>
      <c r="C264" s="823"/>
      <c r="D264" s="780"/>
      <c r="E264" s="780"/>
      <c r="F264" s="780"/>
      <c r="G264" s="975" t="s">
        <v>717</v>
      </c>
      <c r="H264" s="823"/>
      <c r="I264" s="884"/>
      <c r="Q264"/>
      <c r="AD264" s="100"/>
    </row>
    <row r="265" spans="2:30" ht="12.75" customHeight="1">
      <c r="B265" s="2347" t="s">
        <v>718</v>
      </c>
      <c r="C265" s="823"/>
      <c r="D265" s="780"/>
      <c r="E265" s="780"/>
      <c r="F265" s="780"/>
      <c r="G265" s="975" t="s">
        <v>718</v>
      </c>
      <c r="H265" s="823"/>
      <c r="I265" s="884"/>
      <c r="Q265"/>
      <c r="AD265" s="100"/>
    </row>
    <row r="266" spans="2:30" s="2665" customFormat="1" ht="12.75" customHeight="1">
      <c r="B266" s="2347" t="s">
        <v>763</v>
      </c>
      <c r="C266" s="823"/>
      <c r="D266" s="780"/>
      <c r="E266" s="780"/>
      <c r="F266" s="780"/>
      <c r="G266" s="975" t="s">
        <v>763</v>
      </c>
      <c r="H266" s="823"/>
      <c r="I266" s="884"/>
      <c r="Q266" s="1427"/>
      <c r="R266" s="1427"/>
      <c r="S266" s="1427"/>
      <c r="T266" s="1427"/>
      <c r="U266" s="1427"/>
      <c r="V266" s="1427"/>
      <c r="W266" s="1427"/>
      <c r="X266" s="1427"/>
      <c r="Y266" s="1427"/>
      <c r="Z266" s="1427"/>
      <c r="AA266" s="1427"/>
      <c r="AB266" s="1427"/>
      <c r="AC266" s="1427"/>
    </row>
    <row r="267" spans="2:30" ht="12.75" customHeight="1">
      <c r="B267" s="2346" t="s">
        <v>721</v>
      </c>
      <c r="C267" s="823"/>
      <c r="D267" s="780"/>
      <c r="E267" s="780"/>
      <c r="F267" s="780"/>
      <c r="G267" s="2342" t="s">
        <v>721</v>
      </c>
      <c r="H267" s="823"/>
      <c r="I267" s="884"/>
      <c r="Q267"/>
      <c r="AD267" s="100"/>
    </row>
    <row r="268" spans="2:30" ht="12.75" customHeight="1">
      <c r="B268" s="2347" t="s">
        <v>714</v>
      </c>
      <c r="C268" s="823"/>
      <c r="D268" s="780"/>
      <c r="E268" s="780"/>
      <c r="F268" s="780"/>
      <c r="G268" s="975" t="s">
        <v>714</v>
      </c>
      <c r="H268" s="823"/>
      <c r="I268" s="884"/>
      <c r="Q268"/>
      <c r="AD268" s="100"/>
    </row>
    <row r="269" spans="2:30">
      <c r="B269" s="2347" t="s">
        <v>715</v>
      </c>
      <c r="C269" s="823"/>
      <c r="D269" s="780"/>
      <c r="E269" s="780"/>
      <c r="F269" s="780"/>
      <c r="G269" s="975" t="s">
        <v>715</v>
      </c>
      <c r="H269" s="823"/>
      <c r="I269" s="884"/>
      <c r="Q269"/>
      <c r="AD269" s="100"/>
    </row>
    <row r="270" spans="2:30">
      <c r="B270" s="2347" t="s">
        <v>716</v>
      </c>
      <c r="C270" s="823"/>
      <c r="D270" s="780"/>
      <c r="E270" s="780"/>
      <c r="F270" s="780"/>
      <c r="G270" s="975" t="s">
        <v>716</v>
      </c>
      <c r="H270" s="823"/>
      <c r="I270" s="884"/>
      <c r="Q270"/>
      <c r="AD270" s="100"/>
    </row>
    <row r="271" spans="2:30" ht="12.75" customHeight="1">
      <c r="B271" s="2347" t="s">
        <v>717</v>
      </c>
      <c r="C271" s="823"/>
      <c r="D271" s="780"/>
      <c r="E271" s="780"/>
      <c r="F271" s="780"/>
      <c r="G271" s="975" t="s">
        <v>717</v>
      </c>
      <c r="H271" s="823"/>
      <c r="I271" s="884"/>
      <c r="Q271"/>
      <c r="AD271" s="100"/>
    </row>
    <row r="272" spans="2:30" ht="12.75" customHeight="1">
      <c r="B272" s="2347" t="s">
        <v>718</v>
      </c>
      <c r="C272" s="823"/>
      <c r="D272" s="780"/>
      <c r="E272" s="780"/>
      <c r="F272" s="780"/>
      <c r="G272" s="975" t="s">
        <v>718</v>
      </c>
      <c r="H272" s="823"/>
      <c r="I272" s="884"/>
      <c r="Q272"/>
      <c r="AD272" s="100"/>
    </row>
    <row r="273" spans="2:30" s="2665" customFormat="1" ht="12.75" customHeight="1">
      <c r="B273" s="2347" t="s">
        <v>763</v>
      </c>
      <c r="C273" s="823"/>
      <c r="D273" s="780"/>
      <c r="E273" s="780"/>
      <c r="F273" s="780"/>
      <c r="G273" s="975" t="s">
        <v>763</v>
      </c>
      <c r="H273" s="823"/>
      <c r="I273" s="884"/>
      <c r="Q273" s="1427"/>
      <c r="R273" s="1427"/>
      <c r="S273" s="1427"/>
      <c r="T273" s="1427"/>
      <c r="U273" s="1427"/>
      <c r="V273" s="1427"/>
      <c r="W273" s="1427"/>
      <c r="X273" s="1427"/>
      <c r="Y273" s="1427"/>
      <c r="Z273" s="1427"/>
      <c r="AA273" s="1427"/>
      <c r="AB273" s="1427"/>
      <c r="AC273" s="1427"/>
    </row>
    <row r="274" spans="2:30" ht="12.75" customHeight="1">
      <c r="B274" s="2346" t="s">
        <v>66</v>
      </c>
      <c r="C274" s="823"/>
      <c r="D274" s="780"/>
      <c r="E274" s="780"/>
      <c r="F274" s="780"/>
      <c r="G274" s="2342" t="s">
        <v>66</v>
      </c>
      <c r="H274" s="823"/>
      <c r="I274" s="884"/>
      <c r="Q274"/>
      <c r="AD274" s="100"/>
    </row>
    <row r="275" spans="2:30" ht="12.75" customHeight="1">
      <c r="B275" s="2347" t="s">
        <v>714</v>
      </c>
      <c r="C275" s="823"/>
      <c r="D275" s="780"/>
      <c r="E275" s="780"/>
      <c r="F275" s="780"/>
      <c r="G275" s="975" t="s">
        <v>714</v>
      </c>
      <c r="H275" s="823"/>
      <c r="I275" s="884"/>
      <c r="Q275"/>
      <c r="AD275" s="100"/>
    </row>
    <row r="276" spans="2:30">
      <c r="B276" s="2347" t="s">
        <v>715</v>
      </c>
      <c r="C276" s="823"/>
      <c r="D276" s="780"/>
      <c r="E276" s="780"/>
      <c r="F276" s="780"/>
      <c r="G276" s="975" t="s">
        <v>715</v>
      </c>
      <c r="H276" s="823"/>
      <c r="I276" s="884"/>
      <c r="Q276"/>
      <c r="AD276" s="100"/>
    </row>
    <row r="277" spans="2:30">
      <c r="B277" s="2347" t="s">
        <v>716</v>
      </c>
      <c r="C277" s="823"/>
      <c r="D277" s="780"/>
      <c r="E277" s="780"/>
      <c r="F277" s="780"/>
      <c r="G277" s="975" t="s">
        <v>716</v>
      </c>
      <c r="H277" s="823"/>
      <c r="I277" s="884"/>
      <c r="Q277"/>
      <c r="AD277" s="100"/>
    </row>
    <row r="278" spans="2:30" ht="12.75" customHeight="1">
      <c r="B278" s="2347" t="s">
        <v>717</v>
      </c>
      <c r="C278" s="823"/>
      <c r="D278" s="780"/>
      <c r="E278" s="780"/>
      <c r="F278" s="780"/>
      <c r="G278" s="975" t="s">
        <v>717</v>
      </c>
      <c r="H278" s="823"/>
      <c r="I278" s="884"/>
      <c r="Q278"/>
      <c r="AD278" s="100"/>
    </row>
    <row r="279" spans="2:30" ht="12.75" customHeight="1">
      <c r="B279" s="2347" t="s">
        <v>718</v>
      </c>
      <c r="C279" s="823"/>
      <c r="D279" s="780"/>
      <c r="E279" s="780"/>
      <c r="F279" s="780"/>
      <c r="G279" s="975" t="s">
        <v>718</v>
      </c>
      <c r="H279" s="823"/>
      <c r="I279" s="884"/>
      <c r="Q279"/>
      <c r="AD279" s="100"/>
    </row>
    <row r="280" spans="2:30" s="2665" customFormat="1" ht="12.75" customHeight="1">
      <c r="B280" s="2347" t="s">
        <v>763</v>
      </c>
      <c r="C280" s="823"/>
      <c r="D280" s="780"/>
      <c r="E280" s="780"/>
      <c r="F280" s="780"/>
      <c r="G280" s="975" t="s">
        <v>763</v>
      </c>
      <c r="H280" s="823"/>
      <c r="I280" s="884"/>
      <c r="Q280" s="1427"/>
      <c r="R280" s="1427"/>
      <c r="S280" s="1427"/>
      <c r="T280" s="1427"/>
      <c r="U280" s="1427"/>
      <c r="V280" s="1427"/>
      <c r="W280" s="1427"/>
      <c r="X280" s="1427"/>
      <c r="Y280" s="1427"/>
      <c r="Z280" s="1427"/>
      <c r="AA280" s="1427"/>
      <c r="AB280" s="1427"/>
      <c r="AC280" s="1427"/>
    </row>
    <row r="281" spans="2:30" ht="12.75" customHeight="1">
      <c r="B281" s="2346" t="s">
        <v>67</v>
      </c>
      <c r="C281" s="823"/>
      <c r="D281" s="780"/>
      <c r="E281" s="780"/>
      <c r="F281" s="780"/>
      <c r="G281" s="2342" t="s">
        <v>67</v>
      </c>
      <c r="H281" s="823"/>
      <c r="I281" s="884"/>
      <c r="Q281"/>
      <c r="AD281" s="100"/>
    </row>
    <row r="282" spans="2:30" ht="12.75" customHeight="1">
      <c r="B282" s="2347" t="s">
        <v>714</v>
      </c>
      <c r="C282" s="823"/>
      <c r="D282" s="780"/>
      <c r="E282" s="780"/>
      <c r="F282" s="780"/>
      <c r="G282" s="975" t="s">
        <v>714</v>
      </c>
      <c r="H282" s="823"/>
      <c r="I282" s="884"/>
      <c r="Q282"/>
      <c r="AD282" s="100"/>
    </row>
    <row r="283" spans="2:30">
      <c r="B283" s="2347" t="s">
        <v>715</v>
      </c>
      <c r="C283" s="823"/>
      <c r="D283" s="780"/>
      <c r="E283" s="780"/>
      <c r="F283" s="780"/>
      <c r="G283" s="975" t="s">
        <v>715</v>
      </c>
      <c r="H283" s="823"/>
      <c r="I283" s="884"/>
      <c r="Q283"/>
      <c r="AD283" s="100"/>
    </row>
    <row r="284" spans="2:30">
      <c r="B284" s="2347" t="s">
        <v>716</v>
      </c>
      <c r="C284" s="823"/>
      <c r="D284" s="780"/>
      <c r="E284" s="780"/>
      <c r="F284" s="780"/>
      <c r="G284" s="975" t="s">
        <v>716</v>
      </c>
      <c r="H284" s="823"/>
      <c r="I284" s="884"/>
      <c r="Q284"/>
      <c r="AD284" s="100"/>
    </row>
    <row r="285" spans="2:30" ht="12.75" customHeight="1">
      <c r="B285" s="2347" t="s">
        <v>717</v>
      </c>
      <c r="C285" s="823"/>
      <c r="D285" s="780"/>
      <c r="E285" s="780"/>
      <c r="F285" s="780"/>
      <c r="G285" s="975" t="s">
        <v>717</v>
      </c>
      <c r="H285" s="823"/>
      <c r="I285" s="884"/>
      <c r="Q285"/>
      <c r="AD285" s="100"/>
    </row>
    <row r="286" spans="2:30">
      <c r="B286" s="2347" t="s">
        <v>718</v>
      </c>
      <c r="C286" s="823"/>
      <c r="D286" s="780"/>
      <c r="E286" s="780"/>
      <c r="F286" s="780"/>
      <c r="G286" s="975" t="s">
        <v>718</v>
      </c>
      <c r="H286" s="823"/>
      <c r="I286" s="884"/>
      <c r="Q286"/>
      <c r="AD286" s="100"/>
    </row>
    <row r="287" spans="2:30">
      <c r="B287" s="1476" t="s">
        <v>81</v>
      </c>
      <c r="C287" s="823"/>
      <c r="D287" s="780"/>
      <c r="E287" s="780"/>
      <c r="F287" s="780"/>
      <c r="G287" s="2349" t="s">
        <v>81</v>
      </c>
      <c r="H287" s="823"/>
      <c r="I287" s="884"/>
      <c r="Q287"/>
      <c r="AD287" s="100"/>
    </row>
    <row r="288" spans="2:30" ht="13.5" thickBot="1">
      <c r="B288" s="1477" t="s">
        <v>81</v>
      </c>
      <c r="C288" s="1932"/>
      <c r="D288" s="886"/>
      <c r="E288" s="886"/>
      <c r="F288" s="886"/>
      <c r="G288" s="2361" t="s">
        <v>81</v>
      </c>
      <c r="H288" s="1932"/>
      <c r="I288" s="887"/>
      <c r="Q288"/>
      <c r="AD288" s="100"/>
    </row>
    <row r="289" spans="8:9">
      <c r="H289" s="2343"/>
      <c r="I289" s="2343"/>
    </row>
  </sheetData>
  <mergeCells count="40">
    <mergeCell ref="K81:Q81"/>
    <mergeCell ref="B111:B113"/>
    <mergeCell ref="G111:G113"/>
    <mergeCell ref="B110:J110"/>
    <mergeCell ref="B91:B94"/>
    <mergeCell ref="C91:G91"/>
    <mergeCell ref="H91:L91"/>
    <mergeCell ref="C93:J93"/>
    <mergeCell ref="K93:Q93"/>
    <mergeCell ref="C112:F112"/>
    <mergeCell ref="B68:B71"/>
    <mergeCell ref="C68:G68"/>
    <mergeCell ref="M91:Q91"/>
    <mergeCell ref="C92:Q92"/>
    <mergeCell ref="H68:L68"/>
    <mergeCell ref="M68:Q68"/>
    <mergeCell ref="C70:J70"/>
    <mergeCell ref="K70:Q70"/>
    <mergeCell ref="C69:Q69"/>
    <mergeCell ref="C87:Q87"/>
    <mergeCell ref="B79:B82"/>
    <mergeCell ref="C79:G79"/>
    <mergeCell ref="H79:L79"/>
    <mergeCell ref="M79:Q79"/>
    <mergeCell ref="C80:Q80"/>
    <mergeCell ref="C81:J81"/>
    <mergeCell ref="B7:E7"/>
    <mergeCell ref="B19:B22"/>
    <mergeCell ref="C19:G19"/>
    <mergeCell ref="C21:J21"/>
    <mergeCell ref="H19:L19"/>
    <mergeCell ref="C20:Q20"/>
    <mergeCell ref="B13:E13"/>
    <mergeCell ref="B8:E8"/>
    <mergeCell ref="B9:E9"/>
    <mergeCell ref="B10:E10"/>
    <mergeCell ref="B12:E12"/>
    <mergeCell ref="B11:E11"/>
    <mergeCell ref="M19:Q19"/>
    <mergeCell ref="K21:Q21"/>
  </mergeCells>
  <pageMargins left="0.75" right="0.75" top="1" bottom="1" header="0.5" footer="0.5"/>
  <pageSetup paperSize="9" orientation="portrait" r:id="rId1"/>
  <headerFooter alignWithMargins="0"/>
  <customProperties>
    <customPr name="_pios_id"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0.59999389629810485"/>
    <pageSetUpPr autoPageBreaks="0"/>
  </sheetPr>
  <dimension ref="A1:AD48"/>
  <sheetViews>
    <sheetView showGridLines="0" zoomScale="70" zoomScaleNormal="70" workbookViewId="0">
      <selection activeCell="C29" sqref="C29"/>
    </sheetView>
  </sheetViews>
  <sheetFormatPr defaultColWidth="9.140625" defaultRowHeight="12.75"/>
  <cols>
    <col min="1" max="1" width="16.28515625" style="96" bestFit="1" customWidth="1"/>
    <col min="2" max="2" width="40" style="96" bestFit="1" customWidth="1"/>
    <col min="3" max="11" width="15.7109375" style="96" customWidth="1"/>
    <col min="12" max="12" width="23.42578125" style="96" customWidth="1"/>
    <col min="13" max="15" width="8.7109375"/>
    <col min="16" max="23" width="15.7109375" style="1427" customWidth="1"/>
    <col min="24" max="30" width="8.7109375" customWidth="1"/>
    <col min="31" max="16384" width="9.140625" style="96"/>
  </cols>
  <sheetData>
    <row r="1" spans="1:30" s="223" customFormat="1" ht="24.95" customHeight="1">
      <c r="B1" s="3050" t="str">
        <f>IF(dms_DataQuality="backcast",INDEX(dms_Worksheet_List,MATCH(dms_Model,dms_Model_List))&amp;" BACKCAST",INDEX(dms_Worksheet_List,MATCH(dms_Model,dms_Model_List)))</f>
        <v>REGULATORY REPORTING STATEMENT</v>
      </c>
      <c r="C1" s="546"/>
      <c r="D1" s="546"/>
      <c r="E1" s="546"/>
      <c r="F1" s="546"/>
      <c r="G1" s="546"/>
      <c r="H1" s="546"/>
      <c r="I1" s="546"/>
      <c r="J1" s="546"/>
      <c r="K1" s="546"/>
      <c r="L1" s="546"/>
      <c r="M1" s="546"/>
      <c r="N1" s="546"/>
      <c r="O1" s="546"/>
      <c r="P1" s="546"/>
      <c r="Q1" s="546"/>
      <c r="R1" s="546"/>
      <c r="S1" s="546"/>
      <c r="T1" s="546"/>
      <c r="U1" s="546"/>
      <c r="V1" s="546"/>
      <c r="W1" s="546"/>
      <c r="X1"/>
      <c r="Y1"/>
      <c r="Z1"/>
      <c r="AA1"/>
      <c r="AB1"/>
      <c r="AC1"/>
      <c r="AD1"/>
    </row>
    <row r="2" spans="1:30" s="223" customFormat="1" ht="24.95" customHeight="1">
      <c r="B2" s="3054" t="str">
        <f>INDEX(dms_TradingNameFull_List,MATCH(dms_TradingName,dms_TradingName_List))</f>
        <v>AusNet Gas Services</v>
      </c>
      <c r="C2" s="226"/>
      <c r="D2" s="226"/>
      <c r="E2" s="226"/>
      <c r="F2" s="226"/>
      <c r="G2" s="226"/>
      <c r="H2" s="226"/>
      <c r="I2" s="226"/>
      <c r="J2" s="226"/>
      <c r="K2" s="226"/>
      <c r="L2" s="226"/>
      <c r="M2" s="1428"/>
      <c r="N2" s="1428"/>
      <c r="O2" s="1428"/>
      <c r="P2" s="1428"/>
      <c r="Q2" s="1428"/>
      <c r="R2" s="1428"/>
      <c r="S2" s="1428"/>
      <c r="T2" s="1428"/>
      <c r="U2" s="1428"/>
      <c r="V2" s="1428"/>
      <c r="W2" s="1428"/>
      <c r="X2"/>
      <c r="Y2"/>
      <c r="Z2"/>
      <c r="AA2"/>
      <c r="AB2"/>
      <c r="AC2"/>
      <c r="AD2"/>
    </row>
    <row r="3" spans="1:30" s="223" customFormat="1" ht="24.95" customHeight="1">
      <c r="B3" s="3054" t="str">
        <f ca="1">IF(SUM(dms_SingleYear_Model)&gt;0,CRY,CONCATENATE(FRCP_y1," to ",dms_MultiYear_FinalYear_Result))</f>
        <v>2018 to 2022</v>
      </c>
      <c r="C3" s="227"/>
      <c r="D3" s="227"/>
      <c r="E3" s="227"/>
      <c r="F3" s="227"/>
      <c r="G3" s="227"/>
      <c r="H3" s="227"/>
      <c r="I3" s="227"/>
      <c r="J3" s="227"/>
      <c r="K3" s="227"/>
      <c r="L3" s="227"/>
      <c r="M3" s="1426"/>
      <c r="N3" s="1426"/>
      <c r="O3" s="1426"/>
      <c r="P3" s="1426"/>
      <c r="Q3" s="1426"/>
      <c r="R3" s="1426"/>
      <c r="S3" s="1426"/>
      <c r="T3" s="1426"/>
      <c r="U3" s="1426"/>
      <c r="V3" s="1426"/>
      <c r="W3" s="1426"/>
      <c r="X3"/>
      <c r="Y3"/>
      <c r="Z3"/>
      <c r="AA3"/>
      <c r="AB3"/>
      <c r="AC3"/>
      <c r="AD3"/>
    </row>
    <row r="4" spans="1:30" s="165" customFormat="1" ht="24" customHeight="1">
      <c r="B4" s="10" t="s">
        <v>402</v>
      </c>
      <c r="C4" s="12"/>
      <c r="D4" s="12"/>
      <c r="E4" s="12"/>
      <c r="F4" s="12"/>
      <c r="G4" s="12"/>
      <c r="H4" s="12"/>
      <c r="I4" s="12"/>
      <c r="J4" s="12"/>
      <c r="K4" s="12"/>
      <c r="L4" s="12"/>
      <c r="M4" s="12"/>
      <c r="N4" s="12"/>
      <c r="O4" s="12"/>
      <c r="P4" s="12"/>
      <c r="Q4" s="12"/>
      <c r="R4" s="12"/>
      <c r="S4" s="12"/>
      <c r="T4" s="12"/>
      <c r="U4" s="12"/>
      <c r="V4" s="12"/>
      <c r="W4" s="12"/>
      <c r="X4"/>
      <c r="Y4"/>
      <c r="Z4"/>
      <c r="AA4"/>
      <c r="AB4"/>
      <c r="AC4"/>
      <c r="AD4"/>
    </row>
    <row r="5" spans="1:30" customFormat="1" ht="26.25" customHeight="1">
      <c r="A5" s="288"/>
      <c r="B5" s="1422"/>
      <c r="C5" s="1422"/>
      <c r="D5" s="1422"/>
      <c r="E5" s="1422"/>
      <c r="F5" s="1422"/>
      <c r="G5" s="1422"/>
      <c r="H5" s="1422"/>
      <c r="I5" s="1422"/>
      <c r="J5" s="1422"/>
      <c r="K5" s="1422"/>
      <c r="L5" s="1422"/>
      <c r="W5" s="1422"/>
    </row>
    <row r="6" spans="1:30">
      <c r="A6" s="798"/>
      <c r="B6" s="1162"/>
      <c r="C6" s="1162"/>
      <c r="D6" s="1423"/>
      <c r="E6" s="1423"/>
      <c r="F6" s="1424"/>
      <c r="G6" s="1424"/>
      <c r="H6" s="1425"/>
      <c r="I6" s="1423"/>
      <c r="J6" s="1423"/>
      <c r="K6" s="1423"/>
      <c r="L6" s="1423"/>
      <c r="P6"/>
      <c r="Q6"/>
      <c r="R6"/>
      <c r="S6"/>
      <c r="T6"/>
      <c r="U6"/>
      <c r="V6"/>
      <c r="W6" s="1423"/>
    </row>
    <row r="7" spans="1:30" s="203" customFormat="1">
      <c r="A7" s="293"/>
      <c r="B7" s="1685" t="s">
        <v>59</v>
      </c>
      <c r="C7" s="1685"/>
      <c r="D7" s="1685"/>
      <c r="E7" s="1685"/>
      <c r="F7" s="1685"/>
      <c r="G7" s="1685"/>
      <c r="H7" s="1685"/>
      <c r="I7" s="1420"/>
      <c r="J7" s="1420"/>
      <c r="K7" s="1420"/>
      <c r="L7" s="1420"/>
      <c r="P7"/>
      <c r="Q7"/>
      <c r="R7"/>
      <c r="S7"/>
      <c r="T7"/>
      <c r="U7"/>
      <c r="V7"/>
      <c r="W7" s="1420"/>
    </row>
    <row r="8" spans="1:30" s="203" customFormat="1">
      <c r="A8" s="293"/>
      <c r="B8" s="1686" t="s">
        <v>127</v>
      </c>
      <c r="C8" s="1686"/>
      <c r="D8" s="1686"/>
      <c r="E8" s="1686"/>
      <c r="F8" s="1686"/>
      <c r="G8" s="1686"/>
      <c r="H8" s="1685"/>
      <c r="I8" s="1420"/>
      <c r="J8" s="1420"/>
      <c r="K8" s="1420"/>
      <c r="L8" s="1420"/>
      <c r="P8"/>
      <c r="Q8"/>
      <c r="R8"/>
      <c r="S8"/>
      <c r="T8"/>
      <c r="U8"/>
      <c r="V8"/>
      <c r="W8" s="1420"/>
    </row>
    <row r="9" spans="1:30" s="203" customFormat="1" ht="34.5" customHeight="1">
      <c r="A9" s="293"/>
      <c r="B9" s="3669" t="str">
        <f>CONCATENATE("Reported expenditure is to be entered INCLUSIVE of any profit margins or management fees paid pursuant to arrangements or contracts between ",dms_TradingName, " and any related parties.")</f>
        <v>Reported expenditure is to be entered INCLUSIVE of any profit margins or management fees paid pursuant to arrangements or contracts between AusNet (Gas) and any related parties.</v>
      </c>
      <c r="C9" s="3669"/>
      <c r="D9" s="3669"/>
      <c r="E9" s="3669"/>
      <c r="F9" s="3669"/>
      <c r="G9" s="3669"/>
      <c r="H9" s="3669"/>
      <c r="I9" s="1420"/>
      <c r="J9" s="1420"/>
      <c r="K9" s="1420"/>
      <c r="L9" s="1420"/>
      <c r="P9"/>
      <c r="Q9"/>
      <c r="R9"/>
      <c r="S9"/>
      <c r="T9"/>
      <c r="U9"/>
      <c r="V9"/>
      <c r="W9" s="1420"/>
    </row>
    <row r="10" spans="1:30" s="203" customFormat="1" ht="34.5" customHeight="1">
      <c r="A10" s="293"/>
      <c r="B10" s="4222" t="s">
        <v>243</v>
      </c>
      <c r="C10" s="3671"/>
      <c r="D10" s="3671"/>
      <c r="E10" s="3671"/>
      <c r="F10" s="3671"/>
      <c r="G10" s="3671"/>
      <c r="H10" s="3671"/>
      <c r="I10" s="1420"/>
      <c r="J10" s="1420"/>
      <c r="K10" s="1420"/>
      <c r="L10" s="1420"/>
      <c r="P10"/>
      <c r="Q10"/>
      <c r="R10"/>
      <c r="S10"/>
      <c r="T10"/>
      <c r="U10"/>
      <c r="V10"/>
      <c r="W10" s="1420"/>
    </row>
    <row r="11" spans="1:30" s="203" customFormat="1" ht="18" customHeight="1">
      <c r="A11" s="293"/>
      <c r="B11" s="1686" t="s">
        <v>241</v>
      </c>
      <c r="C11" s="1687"/>
      <c r="D11" s="1687"/>
      <c r="E11" s="1687"/>
      <c r="F11" s="1687"/>
      <c r="G11" s="1687"/>
      <c r="H11" s="1685"/>
      <c r="I11" s="1420"/>
      <c r="J11" s="1420"/>
      <c r="K11" s="1420"/>
      <c r="L11" s="1420"/>
      <c r="P11"/>
      <c r="Q11"/>
      <c r="R11"/>
      <c r="S11"/>
      <c r="T11"/>
      <c r="U11"/>
      <c r="V11"/>
      <c r="W11" s="1420"/>
    </row>
    <row r="12" spans="1:30" s="203" customFormat="1" ht="18" customHeight="1">
      <c r="A12" s="293"/>
      <c r="B12" s="1686" t="s">
        <v>242</v>
      </c>
      <c r="C12" s="1687"/>
      <c r="D12" s="1687"/>
      <c r="E12" s="1687"/>
      <c r="F12" s="1687"/>
      <c r="G12" s="1687"/>
      <c r="H12" s="1685"/>
      <c r="I12" s="1420"/>
      <c r="J12" s="1420"/>
      <c r="K12" s="1420"/>
      <c r="L12" s="1420"/>
      <c r="P12"/>
      <c r="Q12"/>
      <c r="R12"/>
      <c r="S12"/>
      <c r="T12"/>
      <c r="U12"/>
      <c r="V12"/>
      <c r="W12" s="1420"/>
    </row>
    <row r="13" spans="1:30">
      <c r="A13" s="798"/>
      <c r="C13" s="798"/>
      <c r="D13" s="308"/>
      <c r="E13" s="308"/>
      <c r="F13" s="994"/>
      <c r="G13" s="994"/>
      <c r="H13" s="361"/>
      <c r="I13" s="308"/>
      <c r="J13" s="308"/>
      <c r="K13" s="308"/>
      <c r="L13" s="308"/>
      <c r="P13"/>
      <c r="Q13"/>
      <c r="R13"/>
      <c r="S13"/>
      <c r="T13"/>
      <c r="U13"/>
      <c r="V13"/>
      <c r="W13" s="308"/>
    </row>
    <row r="14" spans="1:30" ht="43.5" customHeight="1" thickBot="1">
      <c r="A14" s="798"/>
      <c r="C14" s="798"/>
      <c r="D14" s="308"/>
      <c r="E14" s="994"/>
      <c r="F14" s="994"/>
      <c r="G14" s="361"/>
      <c r="H14" s="308"/>
      <c r="I14" s="308"/>
      <c r="J14" s="308"/>
      <c r="K14" s="308"/>
      <c r="L14" s="798"/>
      <c r="P14" s="1429"/>
      <c r="Q14" s="308"/>
      <c r="R14" s="994"/>
      <c r="S14" s="994"/>
      <c r="T14" s="361"/>
      <c r="U14" s="308"/>
      <c r="V14" s="308"/>
      <c r="W14" s="308"/>
    </row>
    <row r="15" spans="1:30" s="229" customFormat="1" ht="26.25" customHeight="1" thickBot="1">
      <c r="A15" s="308"/>
      <c r="B15" s="972" t="s">
        <v>576</v>
      </c>
      <c r="C15" s="989"/>
      <c r="D15" s="989"/>
      <c r="E15" s="989"/>
      <c r="F15" s="989"/>
      <c r="G15" s="989"/>
      <c r="H15" s="989"/>
      <c r="I15" s="989"/>
      <c r="J15" s="989"/>
      <c r="K15" s="989"/>
      <c r="L15" s="990"/>
      <c r="M15" s="308"/>
      <c r="P15" s="856" t="s">
        <v>681</v>
      </c>
      <c r="Q15" s="989"/>
      <c r="R15" s="989"/>
      <c r="S15" s="989"/>
      <c r="T15" s="989"/>
      <c r="U15" s="989"/>
      <c r="V15" s="989"/>
      <c r="W15" s="990"/>
    </row>
    <row r="16" spans="1:30" s="229" customFormat="1" ht="26.25" customHeight="1" thickBot="1">
      <c r="A16" s="308"/>
      <c r="B16" s="1576" t="s">
        <v>577</v>
      </c>
      <c r="C16" s="1577"/>
      <c r="D16" s="1577"/>
      <c r="E16" s="1577"/>
      <c r="F16" s="1577"/>
      <c r="G16" s="1577"/>
      <c r="H16" s="1577"/>
      <c r="I16" s="1577"/>
      <c r="J16" s="1577"/>
      <c r="K16" s="1577"/>
      <c r="L16" s="1578"/>
      <c r="M16" s="308"/>
      <c r="P16" s="1576"/>
      <c r="Q16" s="1577"/>
      <c r="R16" s="1577"/>
      <c r="S16" s="1577"/>
      <c r="T16" s="1577"/>
      <c r="U16" s="1577"/>
      <c r="V16" s="1577"/>
      <c r="W16" s="1578"/>
      <c r="X16"/>
      <c r="Y16"/>
      <c r="Z16"/>
    </row>
    <row r="17" spans="1:30" s="78" customFormat="1" ht="15" customHeight="1">
      <c r="A17" s="308"/>
      <c r="B17" s="4244"/>
      <c r="C17" s="4235" t="s">
        <v>36</v>
      </c>
      <c r="D17" s="4236"/>
      <c r="E17" s="4236"/>
      <c r="F17" s="4236"/>
      <c r="G17" s="4237"/>
      <c r="H17" s="4241" t="s">
        <v>37</v>
      </c>
      <c r="I17" s="4242"/>
      <c r="J17" s="4242"/>
      <c r="K17" s="4242"/>
      <c r="L17" s="4243"/>
      <c r="M17"/>
      <c r="N17"/>
      <c r="O17"/>
      <c r="P17" s="4235" t="s">
        <v>36</v>
      </c>
      <c r="Q17" s="4236"/>
      <c r="R17" s="4236"/>
      <c r="S17" s="4236"/>
      <c r="T17" s="4237"/>
      <c r="U17" s="4241" t="s">
        <v>37</v>
      </c>
      <c r="V17" s="4242"/>
      <c r="W17" s="4243"/>
      <c r="X17"/>
      <c r="Y17"/>
      <c r="Z17"/>
      <c r="AA17"/>
      <c r="AB17"/>
      <c r="AC17"/>
      <c r="AD17"/>
    </row>
    <row r="18" spans="1:30" s="78" customFormat="1" ht="15" customHeight="1">
      <c r="A18" s="308"/>
      <c r="B18" s="4245"/>
      <c r="C18" s="3911" t="s">
        <v>391</v>
      </c>
      <c r="D18" s="3912"/>
      <c r="E18" s="3912"/>
      <c r="F18" s="3912"/>
      <c r="G18" s="3912"/>
      <c r="H18" s="3912"/>
      <c r="I18" s="3912"/>
      <c r="J18" s="3913"/>
      <c r="K18" s="3914" t="str">
        <f>CONCATENATE("$0's, real ",dms_DollarReal)</f>
        <v>$0's, real December 2017</v>
      </c>
      <c r="L18" s="4246"/>
      <c r="M18"/>
      <c r="N18"/>
      <c r="O18"/>
      <c r="P18" s="3911" t="str">
        <f>CONCATENATE("$0's, real ",dms_DollarReal)</f>
        <v>$0's, real December 2017</v>
      </c>
      <c r="Q18" s="3912"/>
      <c r="R18" s="3912"/>
      <c r="S18" s="3912"/>
      <c r="T18" s="3912"/>
      <c r="U18" s="3912"/>
      <c r="V18" s="3912"/>
      <c r="W18" s="3921"/>
      <c r="X18"/>
      <c r="Y18"/>
      <c r="Z18"/>
      <c r="AA18"/>
      <c r="AB18"/>
      <c r="AC18"/>
      <c r="AD18"/>
    </row>
    <row r="19" spans="1:30" s="78" customFormat="1" ht="15" customHeight="1">
      <c r="A19" s="308"/>
      <c r="B19" s="4245"/>
      <c r="C19" s="4238" t="s">
        <v>54</v>
      </c>
      <c r="D19" s="4239"/>
      <c r="E19" s="4239"/>
      <c r="F19" s="4239"/>
      <c r="G19" s="4239"/>
      <c r="H19" s="4239"/>
      <c r="I19" s="4239"/>
      <c r="J19" s="4249"/>
      <c r="K19" s="4247" t="s">
        <v>55</v>
      </c>
      <c r="L19" s="4248"/>
      <c r="M19"/>
      <c r="N19"/>
      <c r="O19"/>
      <c r="P19" s="4238" t="s">
        <v>54</v>
      </c>
      <c r="Q19" s="4239"/>
      <c r="R19" s="4239"/>
      <c r="S19" s="4239"/>
      <c r="T19" s="4239"/>
      <c r="U19" s="4239"/>
      <c r="V19" s="4239"/>
      <c r="W19" s="4240"/>
      <c r="X19"/>
      <c r="Y19"/>
      <c r="Z19"/>
      <c r="AA19"/>
      <c r="AB19"/>
      <c r="AC19"/>
      <c r="AD19"/>
    </row>
    <row r="20" spans="1:30" s="78" customFormat="1" ht="15" customHeight="1" thickBot="1">
      <c r="A20" s="308"/>
      <c r="B20" s="4245"/>
      <c r="C20" s="2290">
        <f t="array" ref="C20:G20">PRCP</f>
        <v>2008</v>
      </c>
      <c r="D20" s="985">
        <v>2009</v>
      </c>
      <c r="E20" s="985">
        <v>2010</v>
      </c>
      <c r="F20" s="985">
        <v>2011</v>
      </c>
      <c r="G20" s="985">
        <v>2012</v>
      </c>
      <c r="H20" s="984">
        <f>CRCP_y1</f>
        <v>2013</v>
      </c>
      <c r="I20" s="984">
        <f>CRCP_y2</f>
        <v>2014</v>
      </c>
      <c r="J20" s="984">
        <f>CRCP_y3</f>
        <v>2015</v>
      </c>
      <c r="K20" s="984">
        <f>CRCP_y4</f>
        <v>2016</v>
      </c>
      <c r="L20" s="2307">
        <f>CRCP_y5</f>
        <v>2017</v>
      </c>
      <c r="M20"/>
      <c r="N20"/>
      <c r="O20"/>
      <c r="P20" s="2290">
        <f t="array" ref="P20:T20">PRCP</f>
        <v>2008</v>
      </c>
      <c r="Q20" s="985">
        <v>2009</v>
      </c>
      <c r="R20" s="985">
        <v>2010</v>
      </c>
      <c r="S20" s="985">
        <v>2011</v>
      </c>
      <c r="T20" s="985">
        <v>2012</v>
      </c>
      <c r="U20" s="984">
        <f>CRCP_y1</f>
        <v>2013</v>
      </c>
      <c r="V20" s="984">
        <f>CRCP_y2</f>
        <v>2014</v>
      </c>
      <c r="W20" s="2307">
        <f>CRCP_y3</f>
        <v>2015</v>
      </c>
      <c r="X20"/>
      <c r="Y20"/>
      <c r="Z20"/>
      <c r="AA20"/>
      <c r="AB20"/>
      <c r="AC20"/>
      <c r="AD20"/>
    </row>
    <row r="21" spans="1:30">
      <c r="A21" s="798"/>
      <c r="B21" s="1100" t="s">
        <v>126</v>
      </c>
      <c r="C21" s="1096"/>
      <c r="D21" s="1097"/>
      <c r="E21" s="1097"/>
      <c r="F21" s="1097"/>
      <c r="G21" s="1102"/>
      <c r="H21" s="2005"/>
      <c r="I21" s="1097"/>
      <c r="J21" s="1097"/>
      <c r="K21" s="1097"/>
      <c r="L21" s="1102"/>
      <c r="P21" s="2251"/>
      <c r="Q21" s="2247"/>
      <c r="R21" s="2247"/>
      <c r="S21" s="2247"/>
      <c r="T21" s="2252"/>
      <c r="U21" s="2251"/>
      <c r="V21" s="2247"/>
      <c r="W21" s="2252"/>
    </row>
    <row r="22" spans="1:30">
      <c r="A22" s="798"/>
      <c r="B22" s="1101" t="s">
        <v>126</v>
      </c>
      <c r="C22" s="1098"/>
      <c r="D22" s="1099"/>
      <c r="E22" s="1099"/>
      <c r="F22" s="1099"/>
      <c r="G22" s="1103"/>
      <c r="H22" s="1098"/>
      <c r="I22" s="1099"/>
      <c r="J22" s="1099"/>
      <c r="K22" s="1099"/>
      <c r="L22" s="1103"/>
      <c r="P22" s="2248"/>
      <c r="Q22" s="2249"/>
      <c r="R22" s="2249"/>
      <c r="S22" s="2249"/>
      <c r="T22" s="2253"/>
      <c r="U22" s="2248"/>
      <c r="V22" s="2249"/>
      <c r="W22" s="2253"/>
    </row>
    <row r="23" spans="1:30">
      <c r="A23" s="798"/>
      <c r="B23" s="1101" t="s">
        <v>126</v>
      </c>
      <c r="C23" s="1098"/>
      <c r="D23" s="1099"/>
      <c r="E23" s="1099"/>
      <c r="F23" s="1099"/>
      <c r="G23" s="1103"/>
      <c r="H23" s="1098"/>
      <c r="I23" s="1099"/>
      <c r="J23" s="1099"/>
      <c r="K23" s="1099"/>
      <c r="L23" s="1103"/>
      <c r="P23" s="2248"/>
      <c r="Q23" s="2249"/>
      <c r="R23" s="2249"/>
      <c r="S23" s="2249"/>
      <c r="T23" s="2253"/>
      <c r="U23" s="2248"/>
      <c r="V23" s="2249"/>
      <c r="W23" s="2253"/>
    </row>
    <row r="24" spans="1:30">
      <c r="A24" s="798"/>
      <c r="B24" s="1101" t="s">
        <v>126</v>
      </c>
      <c r="C24" s="1098"/>
      <c r="D24" s="1099"/>
      <c r="E24" s="1099"/>
      <c r="F24" s="1099"/>
      <c r="G24" s="1103"/>
      <c r="H24" s="1098"/>
      <c r="I24" s="1099"/>
      <c r="J24" s="1099"/>
      <c r="K24" s="1099"/>
      <c r="L24" s="1103"/>
      <c r="P24" s="2248"/>
      <c r="Q24" s="2249"/>
      <c r="R24" s="2249"/>
      <c r="S24" s="2249"/>
      <c r="T24" s="2253"/>
      <c r="U24" s="2248"/>
      <c r="V24" s="2249"/>
      <c r="W24" s="2253"/>
    </row>
    <row r="25" spans="1:30">
      <c r="A25" s="798"/>
      <c r="B25" s="1101" t="s">
        <v>126</v>
      </c>
      <c r="C25" s="1098"/>
      <c r="D25" s="1099"/>
      <c r="E25" s="1099"/>
      <c r="F25" s="1099"/>
      <c r="G25" s="1103"/>
      <c r="H25" s="1098"/>
      <c r="I25" s="1099"/>
      <c r="J25" s="1099"/>
      <c r="K25" s="1099"/>
      <c r="L25" s="1103"/>
      <c r="P25" s="2248"/>
      <c r="Q25" s="2249"/>
      <c r="R25" s="2249"/>
      <c r="S25" s="2249"/>
      <c r="T25" s="2253"/>
      <c r="U25" s="2248"/>
      <c r="V25" s="2249"/>
      <c r="W25" s="2253"/>
    </row>
    <row r="26" spans="1:30">
      <c r="A26" s="798"/>
      <c r="B26" s="1101" t="s">
        <v>126</v>
      </c>
      <c r="C26" s="1098"/>
      <c r="D26" s="1099"/>
      <c r="E26" s="1099"/>
      <c r="F26" s="1099"/>
      <c r="G26" s="1103"/>
      <c r="H26" s="1098"/>
      <c r="I26" s="1099"/>
      <c r="J26" s="1099"/>
      <c r="K26" s="1099"/>
      <c r="L26" s="1103"/>
      <c r="P26" s="2248"/>
      <c r="Q26" s="2249"/>
      <c r="R26" s="2249"/>
      <c r="S26" s="2249"/>
      <c r="T26" s="2253"/>
      <c r="U26" s="2248"/>
      <c r="V26" s="2249"/>
      <c r="W26" s="2253"/>
    </row>
    <row r="27" spans="1:30">
      <c r="A27" s="798"/>
      <c r="B27" s="1101" t="s">
        <v>126</v>
      </c>
      <c r="C27" s="1098"/>
      <c r="D27" s="1099"/>
      <c r="E27" s="1099"/>
      <c r="F27" s="1099"/>
      <c r="G27" s="1103"/>
      <c r="H27" s="1098"/>
      <c r="I27" s="1099"/>
      <c r="J27" s="1099"/>
      <c r="K27" s="1099"/>
      <c r="L27" s="1103"/>
      <c r="P27" s="2248"/>
      <c r="Q27" s="2249"/>
      <c r="R27" s="2249"/>
      <c r="S27" s="2249"/>
      <c r="T27" s="2253"/>
      <c r="U27" s="2248"/>
      <c r="V27" s="2249"/>
      <c r="W27" s="2253"/>
    </row>
    <row r="28" spans="1:30" ht="15" customHeight="1" thickBot="1">
      <c r="A28" s="798"/>
      <c r="B28" s="1104" t="s">
        <v>126</v>
      </c>
      <c r="C28" s="1105"/>
      <c r="D28" s="1106"/>
      <c r="E28" s="1106"/>
      <c r="F28" s="1106"/>
      <c r="G28" s="1107"/>
      <c r="H28" s="2006"/>
      <c r="I28" s="2007"/>
      <c r="J28" s="2007"/>
      <c r="K28" s="2007"/>
      <c r="L28" s="2008"/>
      <c r="P28" s="2308"/>
      <c r="Q28" s="2309"/>
      <c r="R28" s="2309"/>
      <c r="S28" s="2309"/>
      <c r="T28" s="2310"/>
      <c r="U28" s="2254"/>
      <c r="V28" s="2250"/>
      <c r="W28" s="2255"/>
    </row>
    <row r="29" spans="1:30" ht="13.5" thickBot="1">
      <c r="A29" s="798"/>
      <c r="B29" s="1109" t="s">
        <v>63</v>
      </c>
      <c r="C29" s="1166">
        <f t="shared" ref="C29:L29" si="0">SUM(C21:C24)</f>
        <v>0</v>
      </c>
      <c r="D29" s="1167">
        <f t="shared" si="0"/>
        <v>0</v>
      </c>
      <c r="E29" s="1167">
        <f t="shared" si="0"/>
        <v>0</v>
      </c>
      <c r="F29" s="1167">
        <f t="shared" si="0"/>
        <v>0</v>
      </c>
      <c r="G29" s="1168">
        <f t="shared" si="0"/>
        <v>0</v>
      </c>
      <c r="H29" s="1166">
        <f t="shared" si="0"/>
        <v>0</v>
      </c>
      <c r="I29" s="1167">
        <f t="shared" si="0"/>
        <v>0</v>
      </c>
      <c r="J29" s="1167">
        <f t="shared" ref="J29" si="1">SUM(J21:J24)</f>
        <v>0</v>
      </c>
      <c r="K29" s="1167">
        <f t="shared" si="0"/>
        <v>0</v>
      </c>
      <c r="L29" s="1168">
        <f t="shared" si="0"/>
        <v>0</v>
      </c>
      <c r="P29" s="1166">
        <f t="shared" ref="P29:V29" si="2">SUM(P21:P24)</f>
        <v>0</v>
      </c>
      <c r="Q29" s="1167">
        <f t="shared" si="2"/>
        <v>0</v>
      </c>
      <c r="R29" s="1167">
        <f t="shared" si="2"/>
        <v>0</v>
      </c>
      <c r="S29" s="1167">
        <f t="shared" si="2"/>
        <v>0</v>
      </c>
      <c r="T29" s="1168">
        <f t="shared" si="2"/>
        <v>0</v>
      </c>
      <c r="U29" s="1169">
        <f t="shared" si="2"/>
        <v>0</v>
      </c>
      <c r="V29" s="1167">
        <f t="shared" si="2"/>
        <v>0</v>
      </c>
      <c r="W29" s="1168">
        <f t="shared" ref="W29" si="3">SUM(W21:W24)</f>
        <v>0</v>
      </c>
    </row>
    <row r="30" spans="1:30" s="70" customFormat="1" ht="29.25" customHeight="1" thickBot="1">
      <c r="A30" s="360"/>
      <c r="B30" s="2004" t="s">
        <v>125</v>
      </c>
      <c r="C30" s="1484"/>
      <c r="D30" s="1485"/>
      <c r="E30" s="1485"/>
      <c r="F30" s="1485"/>
      <c r="G30" s="1485"/>
      <c r="H30" s="1485"/>
      <c r="I30" s="1485"/>
      <c r="J30" s="1485"/>
      <c r="K30" s="1485"/>
      <c r="L30" s="1486"/>
      <c r="M30"/>
      <c r="N30"/>
      <c r="O30"/>
      <c r="P30" s="2135"/>
      <c r="Q30" s="2116"/>
      <c r="R30" s="2116"/>
      <c r="S30" s="2116"/>
      <c r="T30" s="2116"/>
      <c r="U30" s="2116"/>
      <c r="V30" s="2116"/>
      <c r="W30" s="2119"/>
      <c r="X30"/>
      <c r="Y30"/>
      <c r="Z30"/>
      <c r="AA30"/>
      <c r="AB30"/>
      <c r="AC30"/>
      <c r="AD30"/>
    </row>
    <row r="31" spans="1:30" s="97" customFormat="1" ht="30" customHeight="1" thickBot="1">
      <c r="A31" s="798"/>
      <c r="B31" s="1110"/>
      <c r="C31" s="1111"/>
      <c r="D31" s="1111"/>
      <c r="E31" s="1111"/>
      <c r="F31" s="1111"/>
      <c r="G31" s="1111"/>
      <c r="H31" s="1111"/>
      <c r="I31" s="1111"/>
      <c r="J31" s="1111"/>
      <c r="K31" s="1111"/>
      <c r="L31" s="1111"/>
      <c r="M31"/>
      <c r="N31"/>
      <c r="O31"/>
      <c r="P31" s="1111"/>
      <c r="Q31" s="1111"/>
      <c r="R31" s="1111"/>
      <c r="S31" s="1111"/>
      <c r="T31" s="1111"/>
      <c r="U31" s="1111"/>
      <c r="V31" s="1111"/>
      <c r="W31" s="1111"/>
      <c r="X31"/>
      <c r="Y31"/>
      <c r="Z31"/>
      <c r="AA31"/>
      <c r="AB31"/>
      <c r="AC31"/>
      <c r="AD31"/>
    </row>
    <row r="32" spans="1:30" s="229" customFormat="1" ht="26.25" customHeight="1" thickBot="1">
      <c r="A32" s="308"/>
      <c r="B32" s="1576" t="s">
        <v>413</v>
      </c>
      <c r="C32" s="1577"/>
      <c r="D32" s="1577"/>
      <c r="E32" s="1577"/>
      <c r="F32" s="1577"/>
      <c r="G32" s="1577"/>
      <c r="H32" s="1577"/>
      <c r="I32" s="1577"/>
      <c r="J32" s="1577"/>
      <c r="K32" s="1577"/>
      <c r="L32" s="1578"/>
      <c r="M32" s="308"/>
      <c r="O32"/>
      <c r="P32"/>
      <c r="Q32"/>
      <c r="R32"/>
      <c r="S32"/>
      <c r="T32"/>
      <c r="U32"/>
      <c r="V32"/>
      <c r="W32"/>
      <c r="X32"/>
      <c r="Y32"/>
      <c r="Z32"/>
    </row>
    <row r="33" spans="1:30" s="529" customFormat="1" ht="15" customHeight="1">
      <c r="A33" s="308"/>
      <c r="B33" s="4244"/>
      <c r="C33" s="4235" t="s">
        <v>36</v>
      </c>
      <c r="D33" s="4236"/>
      <c r="E33" s="4236"/>
      <c r="F33" s="4236"/>
      <c r="G33" s="4237"/>
      <c r="H33" s="4241" t="s">
        <v>37</v>
      </c>
      <c r="I33" s="4242"/>
      <c r="J33" s="4242"/>
      <c r="K33" s="4242"/>
      <c r="L33" s="4243"/>
      <c r="M33"/>
      <c r="N33"/>
      <c r="O33"/>
      <c r="P33"/>
      <c r="Q33"/>
      <c r="R33"/>
      <c r="S33"/>
      <c r="T33"/>
      <c r="U33"/>
      <c r="V33"/>
      <c r="W33"/>
      <c r="X33"/>
      <c r="Y33"/>
      <c r="Z33"/>
      <c r="AA33"/>
      <c r="AB33"/>
      <c r="AC33"/>
      <c r="AD33"/>
    </row>
    <row r="34" spans="1:30" s="529" customFormat="1" ht="15" customHeight="1">
      <c r="A34" s="308"/>
      <c r="B34" s="4245"/>
      <c r="C34" s="3911" t="str">
        <f>CONCATENATE("$0's, real ",dms_DollarReal)</f>
        <v>$0's, real December 2017</v>
      </c>
      <c r="D34" s="3912"/>
      <c r="E34" s="3912"/>
      <c r="F34" s="3912"/>
      <c r="G34" s="3912"/>
      <c r="H34" s="3912"/>
      <c r="I34" s="3912"/>
      <c r="J34" s="3912"/>
      <c r="K34" s="3912"/>
      <c r="L34" s="3921"/>
      <c r="M34"/>
      <c r="N34"/>
      <c r="O34"/>
      <c r="P34"/>
      <c r="Q34"/>
      <c r="R34"/>
      <c r="S34"/>
      <c r="T34"/>
      <c r="U34"/>
      <c r="V34"/>
      <c r="W34"/>
      <c r="X34"/>
      <c r="Y34"/>
      <c r="Z34"/>
      <c r="AA34"/>
      <c r="AB34"/>
      <c r="AC34"/>
      <c r="AD34"/>
    </row>
    <row r="35" spans="1:30" s="529" customFormat="1" ht="15" customHeight="1">
      <c r="A35" s="308"/>
      <c r="B35" s="4245"/>
      <c r="C35" s="4238" t="s">
        <v>74</v>
      </c>
      <c r="D35" s="4239"/>
      <c r="E35" s="4239"/>
      <c r="F35" s="4239"/>
      <c r="G35" s="4239"/>
      <c r="H35" s="4239"/>
      <c r="I35" s="4239"/>
      <c r="J35" s="4239"/>
      <c r="K35" s="4239"/>
      <c r="L35" s="4240"/>
      <c r="M35"/>
      <c r="N35"/>
      <c r="O35"/>
      <c r="P35"/>
      <c r="Q35"/>
      <c r="R35"/>
      <c r="S35"/>
      <c r="T35"/>
      <c r="U35"/>
      <c r="V35"/>
      <c r="W35"/>
      <c r="X35"/>
      <c r="Y35"/>
      <c r="Z35"/>
      <c r="AA35"/>
      <c r="AB35"/>
      <c r="AC35"/>
      <c r="AD35"/>
    </row>
    <row r="36" spans="1:30" s="529" customFormat="1" ht="15" customHeight="1" thickBot="1">
      <c r="A36" s="308"/>
      <c r="B36" s="4245"/>
      <c r="C36" s="2290">
        <f t="array" ref="C36:G36">PRCP</f>
        <v>2008</v>
      </c>
      <c r="D36" s="985">
        <v>2009</v>
      </c>
      <c r="E36" s="985">
        <v>2010</v>
      </c>
      <c r="F36" s="985">
        <v>2011</v>
      </c>
      <c r="G36" s="985">
        <v>2012</v>
      </c>
      <c r="H36" s="984">
        <f>CRCP_y1</f>
        <v>2013</v>
      </c>
      <c r="I36" s="984">
        <f>CRCP_y2</f>
        <v>2014</v>
      </c>
      <c r="J36" s="984">
        <f>CRCP_y3</f>
        <v>2015</v>
      </c>
      <c r="K36" s="984">
        <f>CRCP_y4</f>
        <v>2016</v>
      </c>
      <c r="L36" s="2307">
        <f>CRCP_y5</f>
        <v>2017</v>
      </c>
      <c r="M36"/>
      <c r="N36"/>
      <c r="O36"/>
      <c r="P36"/>
      <c r="Q36"/>
      <c r="R36"/>
      <c r="S36"/>
      <c r="T36"/>
      <c r="U36"/>
      <c r="V36"/>
      <c r="W36"/>
      <c r="X36"/>
      <c r="Y36"/>
      <c r="Z36"/>
      <c r="AA36"/>
      <c r="AB36"/>
      <c r="AC36"/>
      <c r="AD36"/>
    </row>
    <row r="37" spans="1:30">
      <c r="A37" s="798"/>
      <c r="B37" s="1100" t="s">
        <v>126</v>
      </c>
      <c r="C37" s="2005"/>
      <c r="D37" s="1097"/>
      <c r="E37" s="1097"/>
      <c r="F37" s="1097"/>
      <c r="G37" s="1102"/>
      <c r="H37" s="2005"/>
      <c r="I37" s="1097"/>
      <c r="J37" s="1097"/>
      <c r="K37" s="1097"/>
      <c r="L37" s="1102"/>
      <c r="P37"/>
      <c r="Q37"/>
      <c r="R37"/>
      <c r="S37"/>
      <c r="T37"/>
      <c r="U37"/>
      <c r="V37"/>
      <c r="W37"/>
    </row>
    <row r="38" spans="1:30">
      <c r="A38" s="798"/>
      <c r="B38" s="1101" t="s">
        <v>126</v>
      </c>
      <c r="C38" s="1098"/>
      <c r="D38" s="1099"/>
      <c r="E38" s="1099"/>
      <c r="F38" s="1099"/>
      <c r="G38" s="1103"/>
      <c r="H38" s="1098"/>
      <c r="I38" s="1099"/>
      <c r="J38" s="1099"/>
      <c r="K38" s="1099"/>
      <c r="L38" s="1103"/>
      <c r="P38"/>
      <c r="Q38"/>
      <c r="R38"/>
      <c r="S38"/>
      <c r="T38"/>
      <c r="U38"/>
      <c r="V38"/>
      <c r="W38"/>
    </row>
    <row r="39" spans="1:30">
      <c r="A39" s="798"/>
      <c r="B39" s="1101" t="s">
        <v>126</v>
      </c>
      <c r="C39" s="1098"/>
      <c r="D39" s="1099"/>
      <c r="E39" s="1099"/>
      <c r="F39" s="1099"/>
      <c r="G39" s="1103"/>
      <c r="H39" s="1098"/>
      <c r="I39" s="1099"/>
      <c r="J39" s="1099"/>
      <c r="K39" s="1099"/>
      <c r="L39" s="1103"/>
      <c r="P39"/>
      <c r="Q39"/>
      <c r="R39"/>
      <c r="S39"/>
      <c r="T39"/>
      <c r="U39"/>
      <c r="V39"/>
      <c r="W39"/>
    </row>
    <row r="40" spans="1:30">
      <c r="A40" s="798"/>
      <c r="B40" s="1101" t="s">
        <v>126</v>
      </c>
      <c r="C40" s="1098"/>
      <c r="D40" s="1099"/>
      <c r="E40" s="1099"/>
      <c r="F40" s="1099"/>
      <c r="G40" s="1103"/>
      <c r="H40" s="1098"/>
      <c r="I40" s="1099"/>
      <c r="J40" s="1099"/>
      <c r="K40" s="1099"/>
      <c r="L40" s="1103"/>
      <c r="P40"/>
      <c r="Q40"/>
      <c r="R40"/>
      <c r="S40"/>
      <c r="T40"/>
      <c r="U40"/>
      <c r="V40"/>
      <c r="W40"/>
    </row>
    <row r="41" spans="1:30">
      <c r="A41" s="798"/>
      <c r="B41" s="1101" t="s">
        <v>126</v>
      </c>
      <c r="C41" s="1098"/>
      <c r="D41" s="1099"/>
      <c r="E41" s="1099"/>
      <c r="F41" s="1099"/>
      <c r="G41" s="1103"/>
      <c r="H41" s="1098"/>
      <c r="I41" s="1099"/>
      <c r="J41" s="1099"/>
      <c r="K41" s="1099"/>
      <c r="L41" s="1103"/>
      <c r="P41"/>
      <c r="Q41"/>
      <c r="R41"/>
      <c r="S41"/>
      <c r="T41"/>
      <c r="U41"/>
      <c r="V41"/>
      <c r="W41"/>
    </row>
    <row r="42" spans="1:30">
      <c r="A42" s="798"/>
      <c r="B42" s="1101" t="s">
        <v>126</v>
      </c>
      <c r="C42" s="1098"/>
      <c r="D42" s="1099"/>
      <c r="E42" s="1099"/>
      <c r="F42" s="1099"/>
      <c r="G42" s="1103"/>
      <c r="H42" s="1098"/>
      <c r="I42" s="1099"/>
      <c r="J42" s="1099"/>
      <c r="K42" s="1099"/>
      <c r="L42" s="1103"/>
      <c r="P42"/>
      <c r="Q42"/>
      <c r="R42"/>
      <c r="S42"/>
      <c r="T42"/>
      <c r="U42"/>
      <c r="V42"/>
      <c r="W42"/>
    </row>
    <row r="43" spans="1:30">
      <c r="A43" s="798"/>
      <c r="B43" s="1101" t="s">
        <v>126</v>
      </c>
      <c r="C43" s="1098"/>
      <c r="D43" s="1099"/>
      <c r="E43" s="1099"/>
      <c r="F43" s="1099"/>
      <c r="G43" s="1103"/>
      <c r="H43" s="1098"/>
      <c r="I43" s="1099"/>
      <c r="J43" s="1099"/>
      <c r="K43" s="1099"/>
      <c r="L43" s="1103"/>
      <c r="P43"/>
      <c r="Q43"/>
      <c r="R43"/>
      <c r="S43"/>
      <c r="T43"/>
      <c r="U43"/>
      <c r="V43"/>
      <c r="W43"/>
    </row>
    <row r="44" spans="1:30" ht="13.5" thickBot="1">
      <c r="A44" s="798"/>
      <c r="B44" s="1108" t="s">
        <v>126</v>
      </c>
      <c r="C44" s="1105"/>
      <c r="D44" s="1106"/>
      <c r="E44" s="1106"/>
      <c r="F44" s="1106"/>
      <c r="G44" s="1107"/>
      <c r="H44" s="2006"/>
      <c r="I44" s="2007"/>
      <c r="J44" s="2007"/>
      <c r="K44" s="2007"/>
      <c r="L44" s="2008"/>
      <c r="P44"/>
      <c r="Q44"/>
      <c r="R44"/>
      <c r="S44"/>
      <c r="T44"/>
      <c r="U44"/>
      <c r="V44"/>
      <c r="W44"/>
    </row>
    <row r="45" spans="1:30" ht="13.5" thickBot="1">
      <c r="A45" s="798"/>
      <c r="B45" s="1109" t="s">
        <v>63</v>
      </c>
      <c r="C45" s="1166">
        <f t="shared" ref="C45:L45" si="4">SUM(C37:C44)</f>
        <v>0</v>
      </c>
      <c r="D45" s="1167">
        <f t="shared" si="4"/>
        <v>0</v>
      </c>
      <c r="E45" s="1167">
        <f t="shared" si="4"/>
        <v>0</v>
      </c>
      <c r="F45" s="1167">
        <f t="shared" si="4"/>
        <v>0</v>
      </c>
      <c r="G45" s="1168">
        <f t="shared" si="4"/>
        <v>0</v>
      </c>
      <c r="H45" s="1166">
        <f t="shared" si="4"/>
        <v>0</v>
      </c>
      <c r="I45" s="1167">
        <f t="shared" si="4"/>
        <v>0</v>
      </c>
      <c r="J45" s="1167">
        <f t="shared" ref="J45" si="5">SUM(J37:J44)</f>
        <v>0</v>
      </c>
      <c r="K45" s="1167">
        <f t="shared" si="4"/>
        <v>0</v>
      </c>
      <c r="L45" s="1168">
        <f t="shared" si="4"/>
        <v>0</v>
      </c>
      <c r="P45"/>
      <c r="Q45"/>
      <c r="R45"/>
      <c r="S45"/>
      <c r="T45"/>
      <c r="U45"/>
      <c r="V45"/>
      <c r="W45"/>
    </row>
    <row r="46" spans="1:30" s="70" customFormat="1" ht="29.25" customHeight="1" thickBot="1">
      <c r="A46" s="360"/>
      <c r="B46" s="2004" t="s">
        <v>125</v>
      </c>
      <c r="C46" s="1484"/>
      <c r="D46" s="1485"/>
      <c r="E46" s="1485"/>
      <c r="F46" s="1485"/>
      <c r="G46" s="1485"/>
      <c r="H46" s="1485"/>
      <c r="I46" s="1485"/>
      <c r="J46" s="1485"/>
      <c r="K46" s="1485"/>
      <c r="L46" s="1486"/>
      <c r="M46"/>
      <c r="N46"/>
      <c r="O46"/>
      <c r="P46"/>
      <c r="Q46"/>
      <c r="R46"/>
      <c r="S46"/>
      <c r="T46"/>
      <c r="U46"/>
      <c r="V46"/>
      <c r="W46"/>
      <c r="X46"/>
      <c r="Y46"/>
      <c r="Z46"/>
      <c r="AA46"/>
      <c r="AB46"/>
      <c r="AC46"/>
      <c r="AD46"/>
    </row>
    <row r="47" spans="1:30" s="97" customFormat="1">
      <c r="B47" s="124"/>
      <c r="C47" s="125"/>
      <c r="D47" s="125"/>
      <c r="E47" s="125"/>
      <c r="F47" s="125"/>
      <c r="G47" s="125"/>
      <c r="M47"/>
      <c r="N47"/>
      <c r="O47"/>
      <c r="P47"/>
      <c r="Q47"/>
      <c r="R47"/>
      <c r="S47"/>
      <c r="T47"/>
      <c r="U47"/>
      <c r="V47"/>
      <c r="W47"/>
      <c r="X47"/>
      <c r="Y47"/>
      <c r="Z47"/>
      <c r="AA47"/>
      <c r="AB47"/>
      <c r="AC47"/>
      <c r="AD47"/>
    </row>
    <row r="48" spans="1:30">
      <c r="P48"/>
      <c r="Q48"/>
      <c r="R48"/>
      <c r="S48"/>
      <c r="T48"/>
      <c r="U48"/>
      <c r="V48"/>
      <c r="W48"/>
    </row>
  </sheetData>
  <mergeCells count="18">
    <mergeCell ref="B33:B36"/>
    <mergeCell ref="C33:G33"/>
    <mergeCell ref="H33:L33"/>
    <mergeCell ref="K18:L18"/>
    <mergeCell ref="K19:L19"/>
    <mergeCell ref="C18:J18"/>
    <mergeCell ref="C19:J19"/>
    <mergeCell ref="C34:L34"/>
    <mergeCell ref="B9:H9"/>
    <mergeCell ref="B17:B20"/>
    <mergeCell ref="C17:G17"/>
    <mergeCell ref="H17:L17"/>
    <mergeCell ref="B10:H10"/>
    <mergeCell ref="P17:T17"/>
    <mergeCell ref="P18:W18"/>
    <mergeCell ref="P19:W19"/>
    <mergeCell ref="U17:W17"/>
    <mergeCell ref="C35:L35"/>
  </mergeCells>
  <pageMargins left="0.7" right="0.7" top="0.75" bottom="0.75" header="0.3" footer="0.3"/>
  <pageSetup paperSize="9" orientation="portrait"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59999389629810485"/>
  </sheetPr>
  <dimension ref="B1:Y55"/>
  <sheetViews>
    <sheetView showGridLines="0" zoomScale="85" zoomScaleNormal="85" workbookViewId="0"/>
  </sheetViews>
  <sheetFormatPr defaultColWidth="9.140625" defaultRowHeight="12.75"/>
  <cols>
    <col min="1" max="1" width="9.140625" style="96"/>
    <col min="2" max="2" width="17.85546875" style="96" customWidth="1"/>
    <col min="3" max="3" width="19.85546875" style="96" customWidth="1"/>
    <col min="4" max="4" width="17.140625" style="96" customWidth="1"/>
    <col min="5" max="21" width="10.7109375" style="96" customWidth="1"/>
    <col min="22" max="16384" width="9.140625" style="96"/>
  </cols>
  <sheetData>
    <row r="1" spans="3:20" s="165" customFormat="1" ht="24" customHeight="1">
      <c r="C1" s="3050" t="str">
        <f>IF(dms_DataQuality="backcast",INDEX(dms_Worksheet_List,MATCH(dms_Model,dms_Model_List))&amp;" BACKCAST",INDEX(dms_Worksheet_List,MATCH(dms_Model,dms_Model_List)))</f>
        <v>REGULATORY REPORTING STATEMENT</v>
      </c>
      <c r="D1" s="163"/>
      <c r="E1" s="163"/>
      <c r="F1" s="163"/>
      <c r="G1" s="163"/>
      <c r="H1" s="163"/>
      <c r="I1" s="163"/>
      <c r="J1" s="163"/>
      <c r="K1" s="163"/>
      <c r="L1" s="163"/>
      <c r="M1" s="163"/>
      <c r="N1" s="163"/>
      <c r="O1" s="163"/>
      <c r="P1" s="163"/>
      <c r="Q1" s="163"/>
      <c r="R1" s="163"/>
      <c r="S1" s="163"/>
      <c r="T1" s="164"/>
    </row>
    <row r="2" spans="3:20" s="165" customFormat="1" ht="24" customHeight="1">
      <c r="C2" s="3054" t="str">
        <f>INDEX(dms_TradingNameFull_List,MATCH(dms_TradingName,dms_TradingName_List))</f>
        <v>AusNet Gas Services</v>
      </c>
      <c r="D2" s="163"/>
      <c r="E2" s="163"/>
      <c r="F2" s="163"/>
      <c r="G2" s="163"/>
      <c r="H2" s="163"/>
      <c r="I2" s="163"/>
      <c r="J2" s="163"/>
      <c r="K2" s="163"/>
      <c r="L2" s="163"/>
      <c r="M2" s="163"/>
      <c r="N2" s="163"/>
      <c r="O2" s="163"/>
      <c r="P2" s="163"/>
      <c r="Q2" s="163"/>
      <c r="R2" s="163"/>
      <c r="S2" s="163"/>
      <c r="T2" s="164"/>
    </row>
    <row r="3" spans="3:20" s="165" customFormat="1" ht="24" customHeight="1">
      <c r="C3" s="3054" t="str">
        <f ca="1">IF(SUM(dms_SingleYear_Model)&gt;0,CRY,CONCATENATE(FRCP_y1," to ",dms_MultiYear_FinalYear_Result))</f>
        <v>2018 to 2022</v>
      </c>
      <c r="D3" s="1113"/>
      <c r="E3" s="1113"/>
      <c r="F3" s="1113"/>
      <c r="G3" s="1113"/>
      <c r="H3" s="1113"/>
      <c r="I3" s="1113"/>
      <c r="J3" s="1113"/>
      <c r="K3" s="1113"/>
      <c r="L3" s="1113"/>
      <c r="M3" s="1113"/>
      <c r="N3" s="1113"/>
      <c r="O3" s="1113"/>
      <c r="P3" s="1113"/>
      <c r="Q3" s="1113"/>
      <c r="R3" s="1113"/>
      <c r="S3" s="1113"/>
      <c r="T3" s="1113"/>
    </row>
    <row r="4" spans="3:20" s="165" customFormat="1" ht="24" customHeight="1">
      <c r="C4" s="528" t="s">
        <v>377</v>
      </c>
      <c r="D4" s="528"/>
      <c r="E4" s="528"/>
      <c r="F4" s="528"/>
      <c r="G4" s="528"/>
      <c r="H4" s="528"/>
      <c r="I4" s="528"/>
      <c r="J4" s="528"/>
      <c r="K4" s="528"/>
      <c r="L4" s="528"/>
      <c r="M4" s="528"/>
      <c r="N4" s="528"/>
      <c r="O4" s="528"/>
      <c r="P4" s="528"/>
      <c r="Q4" s="528"/>
      <c r="R4" s="528"/>
      <c r="S4" s="528"/>
      <c r="T4" s="528"/>
    </row>
    <row r="5" spans="3:20">
      <c r="C5" s="72"/>
      <c r="D5" s="72"/>
    </row>
    <row r="7" spans="3:20">
      <c r="C7" s="105" t="s">
        <v>59</v>
      </c>
      <c r="D7" s="113"/>
      <c r="E7" s="113"/>
      <c r="F7" s="113"/>
      <c r="G7" s="113"/>
      <c r="H7" s="113"/>
      <c r="I7" s="113"/>
      <c r="J7" s="113"/>
    </row>
    <row r="8" spans="3:20">
      <c r="C8" s="113" t="s">
        <v>267</v>
      </c>
      <c r="D8" s="113"/>
      <c r="E8" s="113"/>
      <c r="F8" s="113"/>
      <c r="G8" s="113"/>
      <c r="H8" s="113"/>
      <c r="I8" s="113"/>
      <c r="J8" s="113"/>
    </row>
    <row r="9" spans="3:20">
      <c r="C9" s="113"/>
      <c r="D9" s="113"/>
      <c r="E9" s="113"/>
      <c r="F9" s="113"/>
      <c r="G9" s="113"/>
      <c r="H9" s="113"/>
      <c r="I9" s="113"/>
      <c r="J9" s="113"/>
    </row>
    <row r="10" spans="3:20">
      <c r="C10" s="113" t="s">
        <v>268</v>
      </c>
      <c r="D10" s="113"/>
      <c r="E10" s="113"/>
      <c r="F10" s="113"/>
      <c r="G10" s="113"/>
      <c r="H10" s="113"/>
      <c r="I10" s="113"/>
      <c r="J10" s="113"/>
    </row>
    <row r="11" spans="3:20">
      <c r="C11" s="105"/>
      <c r="D11" s="113"/>
      <c r="E11" s="113"/>
      <c r="F11" s="113"/>
      <c r="G11" s="113"/>
      <c r="H11" s="113"/>
      <c r="I11" s="113"/>
      <c r="J11" s="113"/>
    </row>
    <row r="12" spans="3:20">
      <c r="C12" s="106" t="s">
        <v>245</v>
      </c>
      <c r="D12" s="113"/>
      <c r="E12" s="113"/>
      <c r="F12" s="113"/>
      <c r="G12" s="113"/>
      <c r="H12" s="113"/>
      <c r="I12" s="113"/>
      <c r="J12" s="113"/>
    </row>
    <row r="13" spans="3:20">
      <c r="C13" s="111"/>
      <c r="D13" s="113"/>
      <c r="E13" s="113"/>
      <c r="F13" s="113"/>
      <c r="G13" s="113"/>
      <c r="H13" s="113"/>
      <c r="I13" s="113"/>
      <c r="J13" s="113"/>
    </row>
    <row r="14" spans="3:20">
      <c r="C14" s="106" t="s">
        <v>269</v>
      </c>
      <c r="D14" s="113"/>
      <c r="E14" s="113"/>
      <c r="F14" s="113"/>
      <c r="G14" s="113"/>
      <c r="H14" s="113"/>
      <c r="I14" s="113"/>
      <c r="J14" s="113"/>
    </row>
    <row r="15" spans="3:20">
      <c r="C15" s="111"/>
      <c r="D15" s="113"/>
      <c r="E15" s="113"/>
      <c r="F15" s="113"/>
      <c r="G15" s="113"/>
      <c r="H15" s="113"/>
      <c r="I15" s="113"/>
      <c r="J15" s="113"/>
    </row>
    <row r="16" spans="3:20" ht="13.5" thickBot="1"/>
    <row r="17" spans="2:21" s="233" customFormat="1" ht="16.5" thickBot="1">
      <c r="B17" s="1427"/>
      <c r="C17" s="856" t="s">
        <v>516</v>
      </c>
      <c r="D17" s="856"/>
      <c r="E17" s="856"/>
      <c r="F17" s="856"/>
      <c r="G17" s="856"/>
      <c r="H17" s="1427"/>
      <c r="I17" s="1427"/>
      <c r="J17" s="1427"/>
      <c r="K17" s="1427"/>
      <c r="L17" s="1427"/>
      <c r="M17" s="1427"/>
      <c r="N17" s="1427"/>
      <c r="O17" s="1427"/>
      <c r="P17" s="1427"/>
      <c r="Q17" s="1427"/>
      <c r="S17" s="1427"/>
      <c r="T17" s="1427"/>
      <c r="U17" s="1427"/>
    </row>
    <row r="18" spans="2:21" s="233" customFormat="1" ht="16.5" thickBot="1">
      <c r="B18" s="1427"/>
      <c r="C18" s="1571" t="s">
        <v>460</v>
      </c>
      <c r="D18" s="1572"/>
      <c r="E18" s="1572"/>
      <c r="F18" s="1572"/>
      <c r="G18" s="1573"/>
      <c r="H18" s="1427"/>
      <c r="I18" s="1427"/>
      <c r="J18" s="1427"/>
      <c r="K18" s="1427"/>
      <c r="L18" s="1427"/>
      <c r="M18" s="1427"/>
      <c r="N18" s="1427"/>
      <c r="O18" s="1427"/>
      <c r="P18" s="1427"/>
      <c r="Q18" s="1427"/>
      <c r="S18" s="1427"/>
      <c r="T18" s="1427"/>
      <c r="U18" s="1427"/>
    </row>
    <row r="19" spans="2:21" ht="20.25">
      <c r="C19" s="840"/>
      <c r="D19" s="841"/>
      <c r="E19" s="841"/>
      <c r="F19" s="655"/>
      <c r="G19" s="656"/>
      <c r="H19"/>
    </row>
    <row r="20" spans="2:21">
      <c r="C20" s="657"/>
      <c r="D20" s="658"/>
      <c r="E20" s="658"/>
      <c r="F20" s="658"/>
      <c r="G20" s="659"/>
      <c r="H20"/>
    </row>
    <row r="21" spans="2:21" ht="76.5">
      <c r="C21" s="660"/>
      <c r="D21" s="661" t="s">
        <v>14</v>
      </c>
      <c r="E21" s="662" t="s">
        <v>263</v>
      </c>
      <c r="F21" s="662" t="s">
        <v>264</v>
      </c>
      <c r="G21" s="663" t="s">
        <v>15</v>
      </c>
      <c r="H21"/>
    </row>
    <row r="22" spans="2:21">
      <c r="C22" s="699" t="s">
        <v>54</v>
      </c>
      <c r="D22" s="664">
        <v>35765</v>
      </c>
      <c r="E22" s="646">
        <v>120</v>
      </c>
      <c r="F22" s="647">
        <v>66.8</v>
      </c>
      <c r="G22" s="648"/>
    </row>
    <row r="23" spans="2:21">
      <c r="C23" s="699" t="s">
        <v>54</v>
      </c>
      <c r="D23" s="664">
        <v>36130</v>
      </c>
      <c r="E23" s="649">
        <v>121.9</v>
      </c>
      <c r="F23" s="647">
        <v>67.8</v>
      </c>
      <c r="G23" s="648">
        <f t="shared" ref="G23:G36" si="0">E23/E22-1</f>
        <v>1.5833333333333366E-2</v>
      </c>
      <c r="I23" s="155"/>
    </row>
    <row r="24" spans="2:21">
      <c r="C24" s="699" t="s">
        <v>54</v>
      </c>
      <c r="D24" s="664">
        <v>36495</v>
      </c>
      <c r="E24" s="649">
        <v>124.1</v>
      </c>
      <c r="F24" s="647">
        <v>69.099999999999994</v>
      </c>
      <c r="G24" s="648">
        <f t="shared" si="0"/>
        <v>1.8047579983593076E-2</v>
      </c>
      <c r="I24" s="155"/>
    </row>
    <row r="25" spans="2:21">
      <c r="C25" s="699" t="s">
        <v>54</v>
      </c>
      <c r="D25" s="664">
        <v>36861</v>
      </c>
      <c r="E25" s="649">
        <v>131.30000000000001</v>
      </c>
      <c r="F25" s="647">
        <v>73.099999999999994</v>
      </c>
      <c r="G25" s="648">
        <f t="shared" si="0"/>
        <v>5.8017727639001038E-2</v>
      </c>
      <c r="I25" s="155"/>
    </row>
    <row r="26" spans="2:21">
      <c r="C26" s="699" t="s">
        <v>54</v>
      </c>
      <c r="D26" s="664">
        <v>37226</v>
      </c>
      <c r="E26" s="649">
        <v>135.4</v>
      </c>
      <c r="F26" s="647">
        <v>75.400000000000006</v>
      </c>
      <c r="G26" s="648">
        <f t="shared" si="0"/>
        <v>3.1226199543031186E-2</v>
      </c>
      <c r="I26" s="155"/>
    </row>
    <row r="27" spans="2:21">
      <c r="C27" s="699" t="s">
        <v>54</v>
      </c>
      <c r="D27" s="664">
        <v>37591</v>
      </c>
      <c r="E27" s="649">
        <v>139.5</v>
      </c>
      <c r="F27" s="647">
        <v>77.599999999999994</v>
      </c>
      <c r="G27" s="648">
        <f t="shared" si="0"/>
        <v>3.0280649926144765E-2</v>
      </c>
      <c r="I27" s="155"/>
    </row>
    <row r="28" spans="2:21">
      <c r="C28" s="699" t="s">
        <v>54</v>
      </c>
      <c r="D28" s="664">
        <v>37956</v>
      </c>
      <c r="E28" s="649">
        <v>142.80000000000001</v>
      </c>
      <c r="F28" s="647">
        <v>79.5</v>
      </c>
      <c r="G28" s="648">
        <f t="shared" si="0"/>
        <v>2.3655913978494647E-2</v>
      </c>
      <c r="I28" s="155"/>
    </row>
    <row r="29" spans="2:21">
      <c r="C29" s="699" t="s">
        <v>54</v>
      </c>
      <c r="D29" s="664">
        <v>38322</v>
      </c>
      <c r="E29" s="649">
        <v>146.5</v>
      </c>
      <c r="F29" s="647">
        <v>81.5</v>
      </c>
      <c r="G29" s="648">
        <f t="shared" si="0"/>
        <v>2.5910364145658171E-2</v>
      </c>
      <c r="H29" s="155"/>
      <c r="I29" s="155"/>
    </row>
    <row r="30" spans="2:21">
      <c r="C30" s="699" t="s">
        <v>54</v>
      </c>
      <c r="D30" s="664">
        <v>38687</v>
      </c>
      <c r="E30" s="649">
        <v>150.6</v>
      </c>
      <c r="F30" s="647">
        <v>83.8</v>
      </c>
      <c r="G30" s="648">
        <f t="shared" si="0"/>
        <v>2.7986348122866822E-2</v>
      </c>
      <c r="H30" s="155"/>
      <c r="I30" s="155"/>
    </row>
    <row r="31" spans="2:21">
      <c r="C31" s="699" t="s">
        <v>54</v>
      </c>
      <c r="D31" s="664">
        <v>39052</v>
      </c>
      <c r="E31" s="649">
        <v>155.5</v>
      </c>
      <c r="F31" s="647">
        <v>86.6</v>
      </c>
      <c r="G31" s="648">
        <f t="shared" si="0"/>
        <v>3.253652058432932E-2</v>
      </c>
      <c r="H31" s="155"/>
      <c r="I31" s="155"/>
    </row>
    <row r="32" spans="2:21">
      <c r="C32" s="699" t="s">
        <v>54</v>
      </c>
      <c r="D32" s="664">
        <v>39417</v>
      </c>
      <c r="E32" s="649">
        <v>160.1</v>
      </c>
      <c r="F32" s="647">
        <v>89.1</v>
      </c>
      <c r="G32" s="648">
        <f t="shared" si="0"/>
        <v>2.9581993569131715E-2</v>
      </c>
      <c r="H32" s="155"/>
      <c r="I32" s="155"/>
    </row>
    <row r="33" spans="3:25">
      <c r="C33" s="699" t="s">
        <v>54</v>
      </c>
      <c r="D33" s="664">
        <v>39783</v>
      </c>
      <c r="E33" s="646">
        <v>166</v>
      </c>
      <c r="F33" s="647">
        <v>92.4</v>
      </c>
      <c r="G33" s="648">
        <f t="shared" si="0"/>
        <v>3.6851967520299844E-2</v>
      </c>
      <c r="H33" s="155"/>
      <c r="I33" s="155"/>
    </row>
    <row r="34" spans="3:25">
      <c r="C34" s="699" t="s">
        <v>54</v>
      </c>
      <c r="D34" s="664">
        <v>40148</v>
      </c>
      <c r="E34" s="649">
        <v>169.5</v>
      </c>
      <c r="F34" s="647">
        <v>94.3</v>
      </c>
      <c r="G34" s="648">
        <f t="shared" si="0"/>
        <v>2.108433734939763E-2</v>
      </c>
      <c r="H34" s="155"/>
      <c r="I34" s="155"/>
    </row>
    <row r="35" spans="3:25">
      <c r="C35" s="699" t="s">
        <v>54</v>
      </c>
      <c r="D35" s="664">
        <v>40513</v>
      </c>
      <c r="E35" s="646">
        <v>174</v>
      </c>
      <c r="F35" s="647">
        <v>96.9</v>
      </c>
      <c r="G35" s="648">
        <f t="shared" si="0"/>
        <v>2.6548672566371723E-2</v>
      </c>
      <c r="H35" s="155"/>
      <c r="I35" s="155"/>
    </row>
    <row r="36" spans="3:25">
      <c r="C36" s="699" t="s">
        <v>54</v>
      </c>
      <c r="D36" s="664">
        <v>40878</v>
      </c>
      <c r="E36" s="649">
        <v>179.4</v>
      </c>
      <c r="F36" s="647">
        <v>99.8</v>
      </c>
      <c r="G36" s="648">
        <f t="shared" si="0"/>
        <v>3.1034482758620641E-2</v>
      </c>
      <c r="H36" s="155"/>
      <c r="I36" s="155"/>
    </row>
    <row r="37" spans="3:25">
      <c r="C37" s="699" t="s">
        <v>54</v>
      </c>
      <c r="D37" s="664">
        <v>41244</v>
      </c>
      <c r="E37" s="650"/>
      <c r="F37" s="650">
        <v>102</v>
      </c>
      <c r="G37" s="651">
        <f>F37/F36-1</f>
        <v>2.2044088176352838E-2</v>
      </c>
      <c r="H37" s="155"/>
    </row>
    <row r="38" spans="3:25">
      <c r="C38" s="699" t="s">
        <v>54</v>
      </c>
      <c r="D38" s="664">
        <v>41609</v>
      </c>
      <c r="E38" s="647"/>
      <c r="F38" s="647">
        <v>104.8</v>
      </c>
      <c r="G38" s="651">
        <f>F38/F37-1</f>
        <v>2.7450980392156765E-2</v>
      </c>
      <c r="H38" s="155"/>
    </row>
    <row r="39" spans="3:25">
      <c r="C39" s="699" t="s">
        <v>54</v>
      </c>
      <c r="D39" s="664">
        <v>41974</v>
      </c>
      <c r="E39" s="647"/>
      <c r="F39" s="647">
        <v>106.6</v>
      </c>
      <c r="G39" s="651">
        <f>F39/F38-1</f>
        <v>1.7175572519083859E-2</v>
      </c>
    </row>
    <row r="40" spans="3:25">
      <c r="C40" s="699" t="s">
        <v>266</v>
      </c>
      <c r="D40" s="664">
        <v>42339</v>
      </c>
      <c r="E40" s="647"/>
      <c r="F40" s="647"/>
      <c r="G40" s="652"/>
    </row>
    <row r="41" spans="3:25">
      <c r="C41" s="699" t="s">
        <v>266</v>
      </c>
      <c r="D41" s="664">
        <v>42705</v>
      </c>
      <c r="E41" s="647"/>
      <c r="F41" s="647"/>
      <c r="G41" s="652"/>
    </row>
    <row r="42" spans="3:25">
      <c r="C42" s="699" t="s">
        <v>266</v>
      </c>
      <c r="D42" s="664">
        <v>43070</v>
      </c>
      <c r="E42" s="647"/>
      <c r="F42" s="647"/>
      <c r="G42" s="652"/>
    </row>
    <row r="43" spans="3:25">
      <c r="C43" s="699" t="s">
        <v>266</v>
      </c>
      <c r="D43" s="664">
        <v>43435</v>
      </c>
      <c r="E43" s="647"/>
      <c r="F43" s="647"/>
      <c r="G43" s="652"/>
    </row>
    <row r="44" spans="3:25">
      <c r="C44" s="699" t="s">
        <v>266</v>
      </c>
      <c r="D44" s="664">
        <v>43800</v>
      </c>
      <c r="E44" s="647"/>
      <c r="F44" s="647"/>
      <c r="G44" s="652"/>
    </row>
    <row r="45" spans="3:25" ht="13.5" thickBot="1">
      <c r="C45" s="700" t="s">
        <v>266</v>
      </c>
      <c r="D45" s="665">
        <v>44166</v>
      </c>
      <c r="E45" s="653"/>
      <c r="F45" s="653"/>
      <c r="G45" s="654"/>
      <c r="O45" s="160"/>
      <c r="P45" s="160"/>
      <c r="Q45" s="160"/>
      <c r="R45" s="160"/>
    </row>
    <row r="46" spans="3:25" ht="13.5" thickBot="1">
      <c r="C46" s="116"/>
      <c r="D46" s="116"/>
      <c r="E46" s="116"/>
      <c r="F46" s="117"/>
      <c r="H46" s="65"/>
    </row>
    <row r="47" spans="3:25" ht="16.5" thickBot="1">
      <c r="C47" s="1571" t="s">
        <v>378</v>
      </c>
      <c r="D47" s="1572"/>
      <c r="E47" s="1572"/>
      <c r="F47" s="1572"/>
      <c r="G47" s="1572"/>
      <c r="H47" s="1572"/>
      <c r="I47" s="1572"/>
      <c r="J47" s="1572"/>
      <c r="K47" s="1572"/>
      <c r="L47" s="1572"/>
      <c r="M47" s="1572"/>
      <c r="N47" s="1572"/>
      <c r="O47" s="1572"/>
      <c r="P47" s="1572"/>
      <c r="Q47" s="1572"/>
      <c r="R47" s="1572"/>
      <c r="S47" s="1572"/>
      <c r="T47" s="1572"/>
      <c r="U47" s="1572"/>
      <c r="V47" s="1572"/>
      <c r="W47" s="1572"/>
      <c r="X47" s="1572"/>
      <c r="Y47" s="1573"/>
    </row>
    <row r="48" spans="3:25">
      <c r="C48" s="666"/>
      <c r="D48" s="686"/>
      <c r="E48" s="696" t="s">
        <v>255</v>
      </c>
      <c r="F48" s="697" t="s">
        <v>254</v>
      </c>
      <c r="G48" s="697" t="s">
        <v>253</v>
      </c>
      <c r="H48" s="697" t="s">
        <v>252</v>
      </c>
      <c r="I48" s="697" t="s">
        <v>251</v>
      </c>
      <c r="J48" s="697" t="s">
        <v>113</v>
      </c>
      <c r="K48" s="697" t="s">
        <v>98</v>
      </c>
      <c r="L48" s="697" t="s">
        <v>99</v>
      </c>
      <c r="M48" s="697" t="s">
        <v>100</v>
      </c>
      <c r="N48" s="697" t="s">
        <v>101</v>
      </c>
      <c r="O48" s="697" t="s">
        <v>102</v>
      </c>
      <c r="P48" s="697" t="s">
        <v>103</v>
      </c>
      <c r="Q48" s="697" t="s">
        <v>104</v>
      </c>
      <c r="R48" s="697" t="s">
        <v>105</v>
      </c>
      <c r="S48" s="697" t="s">
        <v>106</v>
      </c>
      <c r="T48" s="697" t="s">
        <v>107</v>
      </c>
      <c r="U48" s="697" t="s">
        <v>108</v>
      </c>
      <c r="V48" s="697" t="s">
        <v>109</v>
      </c>
      <c r="W48" s="697" t="s">
        <v>110</v>
      </c>
      <c r="X48" s="697" t="s">
        <v>111</v>
      </c>
      <c r="Y48" s="698" t="s">
        <v>112</v>
      </c>
    </row>
    <row r="49" spans="3:25">
      <c r="C49" s="667"/>
      <c r="D49" s="687"/>
      <c r="E49" s="682">
        <f>$G24</f>
        <v>1.8047579983593076E-2</v>
      </c>
      <c r="F49" s="672">
        <f>$G25</f>
        <v>5.8017727639001038E-2</v>
      </c>
      <c r="G49" s="672">
        <f>$G26</f>
        <v>3.1226199543031186E-2</v>
      </c>
      <c r="H49" s="672">
        <f>$G27</f>
        <v>3.0280649926144765E-2</v>
      </c>
      <c r="I49" s="672">
        <f>$G28</f>
        <v>2.3655913978494647E-2</v>
      </c>
      <c r="J49" s="672">
        <f>$G29</f>
        <v>2.5910364145658171E-2</v>
      </c>
      <c r="K49" s="672">
        <f>$G30</f>
        <v>2.7986348122866822E-2</v>
      </c>
      <c r="L49" s="672">
        <f>$G31</f>
        <v>3.253652058432932E-2</v>
      </c>
      <c r="M49" s="672">
        <f>$G32</f>
        <v>2.9581993569131715E-2</v>
      </c>
      <c r="N49" s="672">
        <f>$G33</f>
        <v>3.6851967520299844E-2</v>
      </c>
      <c r="O49" s="672">
        <f>$G34</f>
        <v>2.108433734939763E-2</v>
      </c>
      <c r="P49" s="672">
        <f>$G35</f>
        <v>2.6548672566371723E-2</v>
      </c>
      <c r="Q49" s="672">
        <f>$G36</f>
        <v>3.1034482758620641E-2</v>
      </c>
      <c r="R49" s="673">
        <f>$G37</f>
        <v>2.2044088176352838E-2</v>
      </c>
      <c r="S49" s="673">
        <f>$G38</f>
        <v>2.7450980392156765E-2</v>
      </c>
      <c r="T49" s="673">
        <f>$G39</f>
        <v>1.7175572519083859E-2</v>
      </c>
      <c r="U49" s="673">
        <f>$G40</f>
        <v>0</v>
      </c>
      <c r="V49" s="673">
        <f>$G41</f>
        <v>0</v>
      </c>
      <c r="W49" s="673">
        <f>$G42</f>
        <v>0</v>
      </c>
      <c r="X49" s="673">
        <f>$G43</f>
        <v>0</v>
      </c>
      <c r="Y49" s="674">
        <f>$G44</f>
        <v>0</v>
      </c>
    </row>
    <row r="50" spans="3:25">
      <c r="C50" s="668" t="str">
        <f>CONCATENATE("Escalator : Nominal $ to Real $ ", dms_DollarReal)</f>
        <v>Escalator : Nominal $ to Real $ December 2017</v>
      </c>
      <c r="D50" s="671"/>
      <c r="E50" s="683">
        <f t="shared" ref="E50:R50" si="1">F50*(1+E49)</f>
        <v>1.5454304836087271</v>
      </c>
      <c r="F50" s="675">
        <f t="shared" si="1"/>
        <v>1.5180336498944709</v>
      </c>
      <c r="G50" s="675">
        <f t="shared" si="1"/>
        <v>1.4347903728248574</v>
      </c>
      <c r="H50" s="675">
        <f t="shared" si="1"/>
        <v>1.3913439878279452</v>
      </c>
      <c r="I50" s="675">
        <f t="shared" si="1"/>
        <v>1.3504514405154393</v>
      </c>
      <c r="J50" s="675">
        <f t="shared" si="1"/>
        <v>1.3192435290749565</v>
      </c>
      <c r="K50" s="675">
        <f t="shared" si="1"/>
        <v>1.2859247505249407</v>
      </c>
      <c r="L50" s="675">
        <f t="shared" si="1"/>
        <v>1.2509161749794411</v>
      </c>
      <c r="M50" s="675">
        <f t="shared" si="1"/>
        <v>1.2114982376328221</v>
      </c>
      <c r="N50" s="675">
        <f t="shared" si="1"/>
        <v>1.1766894188126411</v>
      </c>
      <c r="O50" s="675">
        <f t="shared" si="1"/>
        <v>1.1348673250114689</v>
      </c>
      <c r="P50" s="675">
        <f t="shared" si="1"/>
        <v>1.1114334864419104</v>
      </c>
      <c r="Q50" s="675">
        <f t="shared" si="1"/>
        <v>1.0826895169649644</v>
      </c>
      <c r="R50" s="675">
        <f t="shared" si="1"/>
        <v>1.0501002004008015</v>
      </c>
      <c r="S50" s="675">
        <f>T50*(1+S49)</f>
        <v>1.0274509803921568</v>
      </c>
      <c r="T50" s="675">
        <v>1</v>
      </c>
      <c r="U50" s="675">
        <f>T50/(1+T49)</f>
        <v>0.98311444652908075</v>
      </c>
      <c r="V50" s="675">
        <f>U50/(1+U49)</f>
        <v>0.98311444652908075</v>
      </c>
      <c r="W50" s="675">
        <f>V50/(1+V49)</f>
        <v>0.98311444652908075</v>
      </c>
      <c r="X50" s="675">
        <f>W50/(1+W49)</f>
        <v>0.98311444652908075</v>
      </c>
      <c r="Y50" s="676">
        <f>X50/(1+X49)</f>
        <v>0.98311444652908075</v>
      </c>
    </row>
    <row r="51" spans="3:25">
      <c r="C51" s="668"/>
      <c r="D51" s="671"/>
      <c r="E51" s="690"/>
      <c r="F51" s="691"/>
      <c r="G51" s="691"/>
      <c r="H51" s="691"/>
      <c r="I51" s="691"/>
      <c r="J51" s="691"/>
      <c r="K51" s="691"/>
      <c r="L51" s="691"/>
      <c r="M51" s="691"/>
      <c r="N51" s="691"/>
      <c r="O51" s="691"/>
      <c r="P51" s="691"/>
      <c r="Q51" s="691"/>
      <c r="R51" s="691"/>
      <c r="S51" s="691"/>
      <c r="T51" s="691"/>
      <c r="U51" s="691"/>
      <c r="V51" s="691"/>
      <c r="W51" s="691"/>
      <c r="X51" s="691"/>
      <c r="Y51" s="692"/>
    </row>
    <row r="52" spans="3:25" ht="15">
      <c r="C52" s="669" t="s">
        <v>16</v>
      </c>
      <c r="D52" s="688"/>
      <c r="E52" s="693"/>
      <c r="F52" s="694"/>
      <c r="G52" s="694"/>
      <c r="H52" s="694"/>
      <c r="I52" s="694"/>
      <c r="J52" s="694"/>
      <c r="K52" s="694"/>
      <c r="L52" s="694"/>
      <c r="M52" s="694"/>
      <c r="N52" s="694"/>
      <c r="O52" s="694"/>
      <c r="P52" s="694"/>
      <c r="Q52" s="694"/>
      <c r="R52" s="694"/>
      <c r="S52" s="694"/>
      <c r="T52" s="694"/>
      <c r="U52" s="694"/>
      <c r="V52" s="694"/>
      <c r="W52" s="694"/>
      <c r="X52" s="694"/>
      <c r="Y52" s="695"/>
    </row>
    <row r="53" spans="3:25">
      <c r="C53" s="668" t="s">
        <v>17</v>
      </c>
      <c r="D53" s="671"/>
      <c r="E53" s="684">
        <v>75</v>
      </c>
      <c r="F53" s="677">
        <v>76</v>
      </c>
      <c r="G53" s="677">
        <v>77</v>
      </c>
      <c r="H53" s="677">
        <v>78</v>
      </c>
      <c r="I53" s="677">
        <v>79</v>
      </c>
      <c r="J53" s="677">
        <v>80</v>
      </c>
      <c r="K53" s="677">
        <v>80</v>
      </c>
      <c r="L53" s="677">
        <v>80</v>
      </c>
      <c r="M53" s="677">
        <v>80</v>
      </c>
      <c r="N53" s="677">
        <v>80</v>
      </c>
      <c r="O53" s="677">
        <v>80</v>
      </c>
      <c r="P53" s="677">
        <v>80</v>
      </c>
      <c r="Q53" s="677">
        <v>123</v>
      </c>
      <c r="R53" s="677">
        <v>70</v>
      </c>
      <c r="S53" s="678">
        <v>120</v>
      </c>
      <c r="T53" s="677">
        <v>200</v>
      </c>
      <c r="U53" s="677">
        <v>145</v>
      </c>
      <c r="V53" s="677">
        <v>150</v>
      </c>
      <c r="W53" s="678">
        <v>100</v>
      </c>
      <c r="X53" s="677">
        <v>55</v>
      </c>
      <c r="Y53" s="679">
        <v>135</v>
      </c>
    </row>
    <row r="54" spans="3:25" ht="13.5" thickBot="1">
      <c r="C54" s="670" t="s">
        <v>265</v>
      </c>
      <c r="D54" s="689"/>
      <c r="E54" s="685">
        <f t="shared" ref="E54:Y54" si="2">E53*E$50</f>
        <v>115.90728627065454</v>
      </c>
      <c r="F54" s="680">
        <f t="shared" si="2"/>
        <v>115.37055739197979</v>
      </c>
      <c r="G54" s="680">
        <f t="shared" si="2"/>
        <v>110.47885870751402</v>
      </c>
      <c r="H54" s="680">
        <f t="shared" si="2"/>
        <v>108.52483105057972</v>
      </c>
      <c r="I54" s="680">
        <f t="shared" si="2"/>
        <v>106.68566380071971</v>
      </c>
      <c r="J54" s="680">
        <f t="shared" si="2"/>
        <v>105.53948232599652</v>
      </c>
      <c r="K54" s="680">
        <f t="shared" si="2"/>
        <v>102.87398004199525</v>
      </c>
      <c r="L54" s="680">
        <f t="shared" si="2"/>
        <v>100.07329399835528</v>
      </c>
      <c r="M54" s="680">
        <f t="shared" si="2"/>
        <v>96.919859010625771</v>
      </c>
      <c r="N54" s="680">
        <f t="shared" si="2"/>
        <v>94.135153505011289</v>
      </c>
      <c r="O54" s="680">
        <f t="shared" si="2"/>
        <v>90.789386000917517</v>
      </c>
      <c r="P54" s="680">
        <f t="shared" si="2"/>
        <v>88.914678915352837</v>
      </c>
      <c r="Q54" s="680">
        <f t="shared" si="2"/>
        <v>133.17081058669064</v>
      </c>
      <c r="R54" s="680">
        <f t="shared" si="2"/>
        <v>73.507014028056105</v>
      </c>
      <c r="S54" s="680">
        <f t="shared" si="2"/>
        <v>123.29411764705881</v>
      </c>
      <c r="T54" s="680">
        <f t="shared" si="2"/>
        <v>200</v>
      </c>
      <c r="U54" s="680">
        <f t="shared" si="2"/>
        <v>142.55159474671672</v>
      </c>
      <c r="V54" s="680">
        <f t="shared" si="2"/>
        <v>147.4671669793621</v>
      </c>
      <c r="W54" s="680">
        <f t="shared" si="2"/>
        <v>98.311444652908079</v>
      </c>
      <c r="X54" s="680">
        <f t="shared" si="2"/>
        <v>54.071294559099442</v>
      </c>
      <c r="Y54" s="681">
        <f t="shared" si="2"/>
        <v>132.72045028142591</v>
      </c>
    </row>
    <row r="55" spans="3:25">
      <c r="H55" s="65"/>
    </row>
  </sheetData>
  <pageMargins left="0.75" right="0.75" top="1" bottom="1" header="0.5" footer="0.5"/>
  <pageSetup paperSize="9" orientation="portrait" r:id="rId1"/>
  <headerFooter alignWithMargins="0"/>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59999389629810485"/>
    <pageSetUpPr autoPageBreaks="0"/>
  </sheetPr>
  <dimension ref="A1:AO59"/>
  <sheetViews>
    <sheetView showGridLines="0" zoomScale="70" zoomScaleNormal="70" workbookViewId="0"/>
  </sheetViews>
  <sheetFormatPr defaultColWidth="9.140625" defaultRowHeight="12.75"/>
  <cols>
    <col min="1" max="1" width="16.28515625" style="175" bestFit="1" customWidth="1"/>
    <col min="2" max="2" width="66.7109375" style="175" customWidth="1"/>
    <col min="3" max="18" width="14.28515625" style="175" customWidth="1"/>
    <col min="19" max="19" width="14.28515625" style="174" customWidth="1"/>
    <col min="20" max="16384" width="9.140625" style="175"/>
  </cols>
  <sheetData>
    <row r="1" spans="2:41" s="165" customFormat="1" ht="24" customHeight="1">
      <c r="B1" s="3050" t="str">
        <f>IF(dms_DataQuality="backcast",INDEX(dms_Worksheet_List,MATCH(dms_Model,dms_Model_List))&amp;" BACKCAST",INDEX(dms_Worksheet_List,MATCH(dms_Model,dms_Model_List)))</f>
        <v>REGULATORY REPORTING STATEMENT</v>
      </c>
      <c r="C1" s="163"/>
      <c r="D1" s="163"/>
      <c r="E1" s="163"/>
      <c r="F1" s="163"/>
      <c r="G1" s="163"/>
      <c r="H1" s="163"/>
      <c r="I1" s="163"/>
      <c r="J1" s="163"/>
      <c r="K1" s="163"/>
      <c r="L1" s="163"/>
      <c r="M1" s="163"/>
      <c r="N1" s="163"/>
      <c r="O1" s="163"/>
      <c r="P1" s="163"/>
      <c r="Q1" s="163"/>
      <c r="R1" s="163"/>
      <c r="S1" s="164"/>
    </row>
    <row r="2" spans="2:41" s="165" customFormat="1" ht="24" customHeight="1">
      <c r="B2" s="3054" t="str">
        <f>INDEX(dms_TradingNameFull_List,MATCH(dms_TradingName,dms_TradingName_List))</f>
        <v>AusNet Gas Services</v>
      </c>
      <c r="C2" s="163"/>
      <c r="D2" s="163"/>
      <c r="E2" s="163"/>
      <c r="F2" s="163"/>
      <c r="G2" s="163"/>
      <c r="H2" s="163"/>
      <c r="I2" s="163"/>
      <c r="J2" s="163"/>
      <c r="K2" s="163"/>
      <c r="L2" s="163"/>
      <c r="M2" s="163"/>
      <c r="N2" s="163"/>
      <c r="O2" s="163"/>
      <c r="P2" s="163"/>
      <c r="Q2" s="163"/>
      <c r="R2" s="163"/>
      <c r="S2" s="164"/>
    </row>
    <row r="3" spans="2:41" s="165" customFormat="1" ht="24" customHeight="1">
      <c r="B3" s="3054" t="str">
        <f ca="1">IF(SUM(dms_SingleYear_Model)&gt;0,CRY,CONCATENATE(FRCP_y1," to ",dms_MultiYear_FinalYear_Result))</f>
        <v>2018 to 2022</v>
      </c>
      <c r="C3" s="168" t="s">
        <v>384</v>
      </c>
      <c r="D3" s="167"/>
      <c r="E3" s="167"/>
      <c r="F3" s="167"/>
      <c r="G3" s="167"/>
      <c r="H3" s="167"/>
      <c r="I3" s="167"/>
      <c r="J3" s="167"/>
      <c r="K3" s="167"/>
      <c r="L3" s="167"/>
      <c r="M3" s="167"/>
      <c r="N3" s="167"/>
      <c r="O3" s="167"/>
      <c r="P3" s="167"/>
      <c r="Q3" s="167"/>
      <c r="R3" s="167"/>
      <c r="S3" s="167"/>
    </row>
    <row r="4" spans="2:41" s="165" customFormat="1" ht="24" customHeight="1">
      <c r="B4" s="10" t="s">
        <v>376</v>
      </c>
      <c r="C4" s="10"/>
      <c r="D4" s="10"/>
      <c r="E4" s="10"/>
      <c r="F4" s="10"/>
      <c r="G4" s="10"/>
      <c r="H4" s="10"/>
      <c r="I4" s="10"/>
      <c r="J4" s="10"/>
      <c r="K4" s="10"/>
      <c r="L4" s="10"/>
      <c r="M4" s="10"/>
      <c r="N4" s="10"/>
      <c r="O4" s="10"/>
      <c r="P4" s="10"/>
      <c r="Q4" s="10"/>
      <c r="R4" s="10"/>
      <c r="S4" s="10"/>
    </row>
    <row r="5" spans="2:41" s="165" customFormat="1" ht="14.25">
      <c r="B5" s="170"/>
      <c r="S5" s="171"/>
      <c r="AD5"/>
      <c r="AE5"/>
      <c r="AF5"/>
      <c r="AG5"/>
      <c r="AH5"/>
      <c r="AI5"/>
      <c r="AJ5"/>
      <c r="AK5"/>
      <c r="AL5"/>
      <c r="AM5"/>
      <c r="AN5"/>
      <c r="AO5"/>
    </row>
    <row r="6" spans="2:41" ht="21" customHeight="1">
      <c r="AD6"/>
      <c r="AE6"/>
      <c r="AF6"/>
      <c r="AG6"/>
      <c r="AH6"/>
      <c r="AI6"/>
      <c r="AJ6"/>
      <c r="AK6"/>
      <c r="AL6"/>
      <c r="AM6"/>
      <c r="AN6"/>
      <c r="AO6"/>
    </row>
    <row r="7" spans="2:41" s="173" customFormat="1">
      <c r="B7" s="3511" t="s">
        <v>485</v>
      </c>
      <c r="C7" s="3511"/>
      <c r="D7" s="3511"/>
      <c r="E7" s="3511"/>
      <c r="F7" s="172"/>
      <c r="G7" s="172"/>
      <c r="H7" s="172"/>
      <c r="I7" s="172"/>
      <c r="J7" s="1494"/>
      <c r="S7" s="174"/>
    </row>
    <row r="8" spans="2:41" s="173" customFormat="1" ht="36" customHeight="1">
      <c r="B8" s="3511" t="str">
        <f>CONCATENATE("In Tables 2.1 and 2.2 enter the current access arrangement period data and, subject to cl.6.1 of the ", dms_TradingName, ", enter the next access arrangement period data via link from the ", dms_TradingName, " capex model.")</f>
        <v>In Tables 2.1 and 2.2 enter the current access arrangement period data and, subject to cl.6.1 of the AusNet (Gas), enter the next access arrangement period data via link from the AusNet (Gas) capex model.</v>
      </c>
      <c r="C8" s="3511"/>
      <c r="D8" s="3511"/>
      <c r="E8" s="3511"/>
      <c r="F8" s="172"/>
      <c r="G8" s="172"/>
      <c r="H8" s="172"/>
      <c r="I8" s="172"/>
      <c r="J8" s="1494"/>
      <c r="S8" s="174"/>
    </row>
    <row r="9" spans="2:41" s="173" customFormat="1" ht="51" customHeight="1">
      <c r="B9" s="3511" t="str">
        <f>CONCATENATE("If linked/adjustable escalation is not provided in the ", dms_TradingName, " capex model, ensure the escalation in table 2.2 is linked through to all capex categories/subcategories and projects.")</f>
        <v>If linked/adjustable escalation is not provided in the AusNet (Gas) capex model, ensure the escalation in table 2.2 is linked through to all capex categories/subcategories and projects.</v>
      </c>
      <c r="C9" s="3511"/>
      <c r="D9" s="3511"/>
      <c r="E9" s="3511"/>
      <c r="F9" s="172"/>
      <c r="G9" s="172"/>
      <c r="H9" s="172"/>
      <c r="I9" s="172"/>
      <c r="J9" s="1494"/>
      <c r="S9" s="174"/>
    </row>
    <row r="10" spans="2:41" ht="34.5" customHeight="1" thickBot="1"/>
    <row r="11" spans="2:41" ht="36.75" customHeight="1" thickBot="1">
      <c r="B11" s="856" t="s">
        <v>349</v>
      </c>
      <c r="C11" s="972"/>
      <c r="D11" s="972"/>
      <c r="E11" s="972"/>
      <c r="F11" s="972"/>
      <c r="G11" s="972"/>
      <c r="H11" s="972"/>
      <c r="I11" s="972"/>
      <c r="J11" s="972"/>
      <c r="K11" s="972"/>
      <c r="L11" s="972"/>
      <c r="M11" s="176"/>
      <c r="N11" s="176"/>
      <c r="O11" s="176"/>
      <c r="S11" s="175"/>
    </row>
    <row r="12" spans="2:41" ht="41.25" customHeight="1">
      <c r="B12" s="3512"/>
      <c r="C12" s="3514" t="s">
        <v>350</v>
      </c>
      <c r="D12" s="3515"/>
      <c r="E12" s="3515"/>
      <c r="F12" s="3515"/>
      <c r="G12" s="3515"/>
      <c r="H12" s="3519" t="s">
        <v>184</v>
      </c>
      <c r="I12" s="3519"/>
      <c r="J12" s="3519"/>
      <c r="K12" s="3519"/>
      <c r="L12" s="3520"/>
      <c r="O12" s="174"/>
      <c r="S12" s="175"/>
    </row>
    <row r="13" spans="2:41" s="177" customFormat="1" ht="17.25" customHeight="1">
      <c r="B13" s="3513"/>
      <c r="C13" s="3521">
        <v>0</v>
      </c>
      <c r="D13" s="3522"/>
      <c r="E13" s="3522"/>
      <c r="F13" s="3522"/>
      <c r="G13" s="3522"/>
      <c r="H13" s="3522"/>
      <c r="I13" s="3522"/>
      <c r="J13" s="3522"/>
      <c r="K13" s="3522"/>
      <c r="L13" s="3523"/>
      <c r="O13" s="178"/>
    </row>
    <row r="14" spans="2:41" s="177" customFormat="1" ht="17.25" customHeight="1">
      <c r="B14" s="1493"/>
      <c r="C14" s="3524" t="s">
        <v>74</v>
      </c>
      <c r="D14" s="3525"/>
      <c r="E14" s="3525"/>
      <c r="F14" s="3525"/>
      <c r="G14" s="3525"/>
      <c r="H14" s="3526" t="s">
        <v>55</v>
      </c>
      <c r="I14" s="3526"/>
      <c r="J14" s="3526"/>
      <c r="K14" s="3526"/>
      <c r="L14" s="3527"/>
      <c r="O14" s="178"/>
    </row>
    <row r="15" spans="2:41" s="180" customFormat="1" ht="21" customHeight="1" thickBot="1">
      <c r="B15" s="179"/>
      <c r="C15" s="1546">
        <f>CRCP_y1</f>
        <v>2013</v>
      </c>
      <c r="D15" s="1547">
        <f>CRCP_y2</f>
        <v>2014</v>
      </c>
      <c r="E15" s="1547">
        <f>CRCP_y3</f>
        <v>2015</v>
      </c>
      <c r="F15" s="1547">
        <f>CRCP_y4</f>
        <v>2016</v>
      </c>
      <c r="G15" s="1547">
        <f>CRCP_y5</f>
        <v>2017</v>
      </c>
      <c r="H15" s="295" t="str">
        <f>FRCP_y1</f>
        <v>2018</v>
      </c>
      <c r="I15" s="295">
        <f>FRCP_y2</f>
        <v>2019</v>
      </c>
      <c r="J15" s="295">
        <f>FRCP_y3</f>
        <v>2020</v>
      </c>
      <c r="K15" s="295">
        <f>FRCP_y4</f>
        <v>2021</v>
      </c>
      <c r="L15" s="1548">
        <f>FRCP_y5</f>
        <v>2022</v>
      </c>
      <c r="O15" s="181"/>
    </row>
    <row r="16" spans="2:41" s="180" customFormat="1" ht="12.75" customHeight="1">
      <c r="B16" s="182" t="s">
        <v>148</v>
      </c>
      <c r="C16" s="183"/>
      <c r="D16" s="184"/>
      <c r="E16" s="184"/>
      <c r="F16" s="184"/>
      <c r="G16" s="185"/>
      <c r="H16" s="186"/>
      <c r="I16" s="187"/>
      <c r="J16" s="187"/>
      <c r="K16" s="187"/>
      <c r="L16" s="188"/>
      <c r="O16" s="181"/>
    </row>
    <row r="17" spans="1:30" ht="13.5" thickBot="1">
      <c r="B17" s="182" t="s">
        <v>152</v>
      </c>
      <c r="C17" s="189"/>
      <c r="D17" s="190"/>
      <c r="E17" s="190"/>
      <c r="F17" s="190"/>
      <c r="G17" s="191"/>
      <c r="H17" s="192"/>
      <c r="I17" s="193"/>
      <c r="J17" s="193"/>
      <c r="K17" s="193"/>
      <c r="L17" s="194"/>
      <c r="O17" s="174"/>
      <c r="S17" s="175"/>
    </row>
    <row r="18" spans="1:30">
      <c r="B18" s="182" t="s">
        <v>151</v>
      </c>
      <c r="C18" s="189"/>
      <c r="D18" s="190"/>
      <c r="E18" s="190"/>
      <c r="F18" s="190"/>
      <c r="G18" s="191"/>
      <c r="H18" s="192"/>
      <c r="I18" s="193"/>
      <c r="J18" s="193"/>
      <c r="K18" s="193"/>
      <c r="L18" s="194"/>
      <c r="O18" s="174"/>
      <c r="S18" s="2317"/>
      <c r="T18" s="2318"/>
      <c r="U18" s="2318"/>
      <c r="V18" s="2318"/>
      <c r="W18" s="2318"/>
      <c r="X18" s="2318"/>
      <c r="Y18" s="2318"/>
      <c r="Z18" s="2318"/>
      <c r="AA18" s="2318"/>
      <c r="AB18" s="2318"/>
      <c r="AC18" s="2318"/>
      <c r="AD18" s="2319"/>
    </row>
    <row r="19" spans="1:30">
      <c r="B19" s="182" t="s">
        <v>150</v>
      </c>
      <c r="C19" s="189"/>
      <c r="D19" s="190"/>
      <c r="E19" s="190"/>
      <c r="F19" s="190"/>
      <c r="G19" s="191"/>
      <c r="H19" s="192"/>
      <c r="I19" s="193"/>
      <c r="J19" s="193"/>
      <c r="K19" s="193"/>
      <c r="L19" s="194"/>
      <c r="O19" s="174"/>
      <c r="S19" s="3516"/>
      <c r="T19" s="3517"/>
      <c r="U19" s="3517"/>
      <c r="V19" s="3517"/>
      <c r="W19" s="3517"/>
      <c r="X19" s="3517"/>
      <c r="Y19" s="3517"/>
      <c r="Z19" s="3517"/>
      <c r="AA19" s="3517"/>
      <c r="AB19" s="3517"/>
      <c r="AC19" s="3517"/>
      <c r="AD19" s="3518"/>
    </row>
    <row r="20" spans="1:30">
      <c r="B20" s="182" t="s">
        <v>153</v>
      </c>
      <c r="C20" s="189"/>
      <c r="D20" s="190"/>
      <c r="E20" s="190"/>
      <c r="F20" s="190"/>
      <c r="G20" s="191"/>
      <c r="H20" s="192"/>
      <c r="I20" s="193"/>
      <c r="J20" s="193"/>
      <c r="K20" s="193"/>
      <c r="L20" s="194"/>
      <c r="O20" s="174"/>
      <c r="S20" s="3516"/>
      <c r="T20" s="3517"/>
      <c r="U20" s="3517"/>
      <c r="V20" s="3517"/>
      <c r="W20" s="3517"/>
      <c r="X20" s="3517"/>
      <c r="Y20" s="3517"/>
      <c r="Z20" s="3517"/>
      <c r="AA20" s="3517"/>
      <c r="AB20" s="3517"/>
      <c r="AC20" s="3517"/>
      <c r="AD20" s="3518"/>
    </row>
    <row r="21" spans="1:30" ht="51.75" thickBot="1">
      <c r="B21" s="182" t="s">
        <v>149</v>
      </c>
      <c r="C21" s="189"/>
      <c r="D21" s="190"/>
      <c r="E21" s="190"/>
      <c r="F21" s="190"/>
      <c r="G21" s="191"/>
      <c r="H21" s="192"/>
      <c r="I21" s="193"/>
      <c r="J21" s="193"/>
      <c r="K21" s="193"/>
      <c r="L21" s="194"/>
      <c r="O21" s="174"/>
      <c r="S21" s="2320"/>
      <c r="T21" s="2321"/>
      <c r="U21" s="2321"/>
      <c r="V21" s="2321"/>
      <c r="W21" s="2321"/>
      <c r="X21" s="2322" t="s">
        <v>683</v>
      </c>
      <c r="Y21" s="2321"/>
      <c r="Z21" s="2321"/>
      <c r="AA21" s="2321"/>
      <c r="AB21" s="2321"/>
      <c r="AC21" s="2321"/>
      <c r="AD21" s="2323" t="s">
        <v>683</v>
      </c>
    </row>
    <row r="22" spans="1:30">
      <c r="B22" s="182" t="s">
        <v>277</v>
      </c>
      <c r="C22" s="189"/>
      <c r="D22" s="190"/>
      <c r="E22" s="190"/>
      <c r="F22" s="190"/>
      <c r="G22" s="191"/>
      <c r="H22" s="192"/>
      <c r="I22" s="193"/>
      <c r="J22" s="193"/>
      <c r="K22" s="193"/>
      <c r="L22" s="194"/>
      <c r="O22" s="174"/>
      <c r="S22" s="175"/>
    </row>
    <row r="23" spans="1:30">
      <c r="B23" s="182" t="s">
        <v>62</v>
      </c>
      <c r="C23" s="189"/>
      <c r="D23" s="190"/>
      <c r="E23" s="190"/>
      <c r="F23" s="190"/>
      <c r="G23" s="191"/>
      <c r="H23" s="192"/>
      <c r="I23" s="193"/>
      <c r="J23" s="193"/>
      <c r="K23" s="193"/>
      <c r="L23" s="194"/>
      <c r="O23" s="174"/>
      <c r="S23" s="175"/>
    </row>
    <row r="24" spans="1:30" ht="13.5" thickBot="1">
      <c r="B24" s="182" t="s">
        <v>278</v>
      </c>
      <c r="C24" s="195"/>
      <c r="D24" s="196"/>
      <c r="E24" s="196"/>
      <c r="F24" s="196"/>
      <c r="G24" s="197"/>
      <c r="H24" s="198"/>
      <c r="I24" s="199"/>
      <c r="J24" s="199"/>
      <c r="K24" s="199"/>
      <c r="L24" s="200"/>
      <c r="O24" s="174"/>
      <c r="S24" s="175"/>
    </row>
    <row r="25" spans="1:30" s="176" customFormat="1" ht="15" customHeight="1" thickBot="1">
      <c r="A25" s="201"/>
      <c r="B25" s="202"/>
      <c r="C25" s="1495">
        <f t="shared" ref="C25:E25" si="0">SUM(C16:C24)</f>
        <v>0</v>
      </c>
      <c r="D25" s="1496">
        <f t="shared" si="0"/>
        <v>0</v>
      </c>
      <c r="E25" s="1496">
        <f t="shared" si="0"/>
        <v>0</v>
      </c>
      <c r="F25" s="1496">
        <f>SUM(F16:F24)</f>
        <v>0</v>
      </c>
      <c r="G25" s="1497">
        <f>SUM(G16:G24)</f>
        <v>0</v>
      </c>
      <c r="H25" s="1496">
        <f>SUM(H16:H24)</f>
        <v>0</v>
      </c>
      <c r="I25" s="1496">
        <f t="shared" ref="I25:L25" si="1">SUM(I16:I24)</f>
        <v>0</v>
      </c>
      <c r="J25" s="1496">
        <f t="shared" si="1"/>
        <v>0</v>
      </c>
      <c r="K25" s="1496">
        <f t="shared" si="1"/>
        <v>0</v>
      </c>
      <c r="L25" s="1497">
        <f t="shared" si="1"/>
        <v>0</v>
      </c>
      <c r="O25" s="203"/>
    </row>
    <row r="26" spans="1:30" ht="20.25" customHeight="1" thickBot="1">
      <c r="B26" s="204" t="s">
        <v>125</v>
      </c>
      <c r="C26" s="205"/>
      <c r="D26" s="206"/>
      <c r="E26" s="206"/>
      <c r="F26" s="206"/>
      <c r="G26" s="206"/>
      <c r="H26" s="207"/>
      <c r="I26" s="207"/>
      <c r="J26" s="207"/>
      <c r="K26" s="207"/>
      <c r="L26" s="208"/>
      <c r="N26" s="174"/>
      <c r="S26" s="175"/>
    </row>
    <row r="27" spans="1:30" ht="40.5" customHeight="1" thickBot="1">
      <c r="Q27" s="176"/>
      <c r="R27" s="176"/>
      <c r="S27" s="176"/>
    </row>
    <row r="28" spans="1:30" ht="36.75" customHeight="1" thickBot="1">
      <c r="B28" s="856" t="s">
        <v>351</v>
      </c>
      <c r="C28" s="972"/>
      <c r="D28" s="972"/>
      <c r="E28" s="972"/>
      <c r="F28" s="972"/>
      <c r="G28" s="972"/>
      <c r="H28" s="972"/>
      <c r="I28" s="972"/>
      <c r="J28" s="972"/>
      <c r="K28" s="972"/>
      <c r="L28" s="972"/>
      <c r="M28" s="972"/>
      <c r="N28" s="972"/>
      <c r="O28" s="972"/>
      <c r="P28" s="972"/>
      <c r="Q28" s="972"/>
      <c r="R28" s="972"/>
      <c r="S28" s="972"/>
    </row>
    <row r="29" spans="1:30" s="180" customFormat="1" ht="21.75" customHeight="1">
      <c r="B29" s="209"/>
      <c r="C29" s="3501" t="s">
        <v>55</v>
      </c>
      <c r="D29" s="3502"/>
      <c r="E29" s="3502"/>
      <c r="F29" s="3502"/>
      <c r="G29" s="3502"/>
      <c r="H29" s="3502"/>
      <c r="I29" s="3502"/>
      <c r="J29" s="3502"/>
      <c r="K29" s="3503"/>
      <c r="L29" s="3504" t="s">
        <v>55</v>
      </c>
      <c r="M29" s="3505"/>
      <c r="N29" s="3505"/>
      <c r="O29" s="3505"/>
      <c r="P29" s="3505"/>
      <c r="Q29" s="3505"/>
      <c r="R29" s="3505"/>
      <c r="S29" s="3506"/>
    </row>
    <row r="30" spans="1:30" s="177" customFormat="1" ht="21" customHeight="1">
      <c r="B30" s="210"/>
      <c r="C30" s="3495">
        <v>0</v>
      </c>
      <c r="D30" s="3496"/>
      <c r="E30" s="3496"/>
      <c r="F30" s="3496"/>
      <c r="G30" s="3496"/>
      <c r="H30" s="3496"/>
      <c r="I30" s="3496"/>
      <c r="J30" s="3496"/>
      <c r="K30" s="3497"/>
      <c r="L30" s="3498" t="s">
        <v>352</v>
      </c>
      <c r="M30" s="3499"/>
      <c r="N30" s="3499"/>
      <c r="O30" s="3499"/>
      <c r="P30" s="3499"/>
      <c r="Q30" s="3499"/>
      <c r="R30" s="3499"/>
      <c r="S30" s="3500"/>
    </row>
    <row r="31" spans="1:30" s="177" customFormat="1" ht="21" customHeight="1">
      <c r="B31" s="210"/>
      <c r="C31" s="3498" t="s">
        <v>283</v>
      </c>
      <c r="D31" s="3507"/>
      <c r="E31" s="3508" t="s">
        <v>284</v>
      </c>
      <c r="F31" s="3509"/>
      <c r="G31" s="3509"/>
      <c r="H31" s="3509"/>
      <c r="I31" s="3509"/>
      <c r="J31" s="3509"/>
      <c r="K31" s="3510"/>
      <c r="L31" s="3498"/>
      <c r="M31" s="3499"/>
      <c r="N31" s="3499"/>
      <c r="O31" s="3499"/>
      <c r="P31" s="3499"/>
      <c r="Q31" s="3499"/>
      <c r="R31" s="3499"/>
      <c r="S31" s="3500"/>
    </row>
    <row r="32" spans="1:30" s="177" customFormat="1" ht="21" thickBot="1">
      <c r="B32" s="211"/>
      <c r="C32" s="1551" t="s">
        <v>148</v>
      </c>
      <c r="D32" s="1552" t="s">
        <v>152</v>
      </c>
      <c r="E32" s="1553" t="str">
        <f>B18</f>
        <v>Concrete</v>
      </c>
      <c r="F32" s="1553" t="str">
        <f>B19</f>
        <v>Steel</v>
      </c>
      <c r="G32" s="1553" t="str">
        <f>B20</f>
        <v>Plastic</v>
      </c>
      <c r="H32" s="1553" t="str">
        <f>B21</f>
        <v>Aluminium</v>
      </c>
      <c r="I32" s="1553" t="str">
        <f>B22</f>
        <v>Brass</v>
      </c>
      <c r="J32" s="1553" t="str">
        <f>B23</f>
        <v>Other</v>
      </c>
      <c r="K32" s="1554" t="s">
        <v>63</v>
      </c>
      <c r="L32" s="1551" t="s">
        <v>105</v>
      </c>
      <c r="M32" s="1027" t="s">
        <v>106</v>
      </c>
      <c r="N32" s="1552" t="s">
        <v>107</v>
      </c>
      <c r="O32" s="1027" t="s">
        <v>109</v>
      </c>
      <c r="P32" s="1027" t="s">
        <v>110</v>
      </c>
      <c r="Q32" s="1027" t="s">
        <v>111</v>
      </c>
      <c r="R32" s="1027" t="s">
        <v>112</v>
      </c>
      <c r="S32" s="1030" t="s">
        <v>216</v>
      </c>
    </row>
    <row r="33" spans="2:19" s="180" customFormat="1" ht="12.75" customHeight="1">
      <c r="B33" s="1489" t="s">
        <v>353</v>
      </c>
      <c r="C33" s="183"/>
      <c r="D33" s="185"/>
      <c r="E33" s="1549"/>
      <c r="F33" s="184"/>
      <c r="G33" s="184"/>
      <c r="H33" s="184"/>
      <c r="I33" s="184"/>
      <c r="J33" s="184"/>
      <c r="K33" s="1550"/>
      <c r="L33" s="1555">
        <v>1</v>
      </c>
      <c r="M33" s="184"/>
      <c r="N33" s="184"/>
      <c r="O33" s="184"/>
      <c r="P33" s="184"/>
      <c r="Q33" s="184"/>
      <c r="R33" s="184"/>
      <c r="S33" s="1556"/>
    </row>
    <row r="34" spans="2:19" s="180" customFormat="1" ht="12.75" customHeight="1">
      <c r="B34" s="1489"/>
      <c r="C34" s="189"/>
      <c r="D34" s="191"/>
      <c r="E34" s="212"/>
      <c r="F34" s="190"/>
      <c r="G34" s="190"/>
      <c r="H34" s="190"/>
      <c r="I34" s="190"/>
      <c r="J34" s="190"/>
      <c r="K34" s="213"/>
      <c r="L34" s="214">
        <v>1</v>
      </c>
      <c r="M34" s="190"/>
      <c r="N34" s="190"/>
      <c r="O34" s="190"/>
      <c r="P34" s="190"/>
      <c r="Q34" s="190"/>
      <c r="R34" s="190"/>
      <c r="S34" s="215"/>
    </row>
    <row r="35" spans="2:19">
      <c r="B35" s="1489"/>
      <c r="C35" s="189"/>
      <c r="D35" s="191"/>
      <c r="E35" s="212"/>
      <c r="F35" s="190"/>
      <c r="G35" s="190"/>
      <c r="H35" s="190"/>
      <c r="I35" s="190"/>
      <c r="J35" s="190"/>
      <c r="K35" s="213"/>
      <c r="L35" s="214">
        <v>1</v>
      </c>
      <c r="M35" s="190"/>
      <c r="N35" s="190"/>
      <c r="O35" s="190"/>
      <c r="P35" s="190"/>
      <c r="Q35" s="190"/>
      <c r="R35" s="190"/>
      <c r="S35" s="215"/>
    </row>
    <row r="36" spans="2:19">
      <c r="B36" s="1489"/>
      <c r="C36" s="189"/>
      <c r="D36" s="191"/>
      <c r="E36" s="212"/>
      <c r="F36" s="190"/>
      <c r="G36" s="190"/>
      <c r="H36" s="190"/>
      <c r="I36" s="190"/>
      <c r="J36" s="190"/>
      <c r="K36" s="213"/>
      <c r="L36" s="214">
        <v>1</v>
      </c>
      <c r="M36" s="190"/>
      <c r="N36" s="190"/>
      <c r="O36" s="190"/>
      <c r="P36" s="190"/>
      <c r="Q36" s="190"/>
      <c r="R36" s="190"/>
      <c r="S36" s="215"/>
    </row>
    <row r="37" spans="2:19">
      <c r="B37" s="1489"/>
      <c r="C37" s="189"/>
      <c r="D37" s="191"/>
      <c r="E37" s="212"/>
      <c r="F37" s="190"/>
      <c r="G37" s="190"/>
      <c r="H37" s="190"/>
      <c r="I37" s="190"/>
      <c r="J37" s="190"/>
      <c r="K37" s="213"/>
      <c r="L37" s="214">
        <v>1</v>
      </c>
      <c r="M37" s="190"/>
      <c r="N37" s="190"/>
      <c r="O37" s="190"/>
      <c r="P37" s="190"/>
      <c r="Q37" s="190"/>
      <c r="R37" s="190"/>
      <c r="S37" s="215"/>
    </row>
    <row r="38" spans="2:19">
      <c r="B38" s="1489"/>
      <c r="C38" s="189"/>
      <c r="D38" s="191"/>
      <c r="E38" s="212"/>
      <c r="F38" s="190"/>
      <c r="G38" s="190"/>
      <c r="H38" s="190"/>
      <c r="I38" s="190"/>
      <c r="J38" s="190"/>
      <c r="K38" s="213"/>
      <c r="L38" s="214">
        <v>1</v>
      </c>
      <c r="M38" s="190"/>
      <c r="N38" s="190"/>
      <c r="O38" s="190"/>
      <c r="P38" s="190"/>
      <c r="Q38" s="190"/>
      <c r="R38" s="190"/>
      <c r="S38" s="215"/>
    </row>
    <row r="39" spans="2:19">
      <c r="B39" s="1489"/>
      <c r="C39" s="189"/>
      <c r="D39" s="191"/>
      <c r="E39" s="212"/>
      <c r="F39" s="190"/>
      <c r="G39" s="190"/>
      <c r="H39" s="190"/>
      <c r="I39" s="190"/>
      <c r="J39" s="190"/>
      <c r="K39" s="213"/>
      <c r="L39" s="214">
        <v>1</v>
      </c>
      <c r="M39" s="190"/>
      <c r="N39" s="190"/>
      <c r="O39" s="190"/>
      <c r="P39" s="190"/>
      <c r="Q39" s="190"/>
      <c r="R39" s="190"/>
      <c r="S39" s="215"/>
    </row>
    <row r="40" spans="2:19">
      <c r="B40" s="1489"/>
      <c r="C40" s="189"/>
      <c r="D40" s="191"/>
      <c r="E40" s="212"/>
      <c r="F40" s="190"/>
      <c r="G40" s="190"/>
      <c r="H40" s="190"/>
      <c r="I40" s="190"/>
      <c r="J40" s="190"/>
      <c r="K40" s="213"/>
      <c r="L40" s="214">
        <v>1</v>
      </c>
      <c r="M40" s="190"/>
      <c r="N40" s="190"/>
      <c r="O40" s="190"/>
      <c r="P40" s="190"/>
      <c r="Q40" s="190"/>
      <c r="R40" s="190"/>
      <c r="S40" s="215"/>
    </row>
    <row r="41" spans="2:19">
      <c r="B41" s="1489"/>
      <c r="C41" s="189"/>
      <c r="D41" s="191"/>
      <c r="E41" s="212"/>
      <c r="F41" s="190"/>
      <c r="G41" s="190"/>
      <c r="H41" s="190"/>
      <c r="I41" s="190"/>
      <c r="J41" s="190"/>
      <c r="K41" s="213"/>
      <c r="L41" s="214">
        <v>1</v>
      </c>
      <c r="M41" s="190"/>
      <c r="N41" s="190"/>
      <c r="O41" s="190"/>
      <c r="P41" s="190"/>
      <c r="Q41" s="190"/>
      <c r="R41" s="190"/>
      <c r="S41" s="215"/>
    </row>
    <row r="42" spans="2:19">
      <c r="B42" s="1489"/>
      <c r="C42" s="189"/>
      <c r="D42" s="191"/>
      <c r="E42" s="212"/>
      <c r="F42" s="190"/>
      <c r="G42" s="190"/>
      <c r="H42" s="190"/>
      <c r="I42" s="190"/>
      <c r="J42" s="190"/>
      <c r="K42" s="213"/>
      <c r="L42" s="214">
        <v>1</v>
      </c>
      <c r="M42" s="190"/>
      <c r="N42" s="190"/>
      <c r="O42" s="190"/>
      <c r="P42" s="190"/>
      <c r="Q42" s="190"/>
      <c r="R42" s="190"/>
      <c r="S42" s="215"/>
    </row>
    <row r="43" spans="2:19">
      <c r="B43" s="1489"/>
      <c r="C43" s="189"/>
      <c r="D43" s="191"/>
      <c r="E43" s="212"/>
      <c r="F43" s="190"/>
      <c r="G43" s="190"/>
      <c r="H43" s="190"/>
      <c r="I43" s="190"/>
      <c r="J43" s="190"/>
      <c r="K43" s="213"/>
      <c r="L43" s="214">
        <v>1</v>
      </c>
      <c r="M43" s="190"/>
      <c r="N43" s="190"/>
      <c r="O43" s="190"/>
      <c r="P43" s="190"/>
      <c r="Q43" s="190"/>
      <c r="R43" s="190"/>
      <c r="S43" s="215"/>
    </row>
    <row r="44" spans="2:19">
      <c r="B44" s="1489"/>
      <c r="C44" s="189"/>
      <c r="D44" s="191"/>
      <c r="E44" s="212"/>
      <c r="F44" s="190"/>
      <c r="G44" s="190"/>
      <c r="H44" s="190"/>
      <c r="I44" s="190"/>
      <c r="J44" s="190"/>
      <c r="K44" s="213"/>
      <c r="L44" s="214">
        <v>1</v>
      </c>
      <c r="M44" s="190"/>
      <c r="N44" s="190"/>
      <c r="O44" s="190"/>
      <c r="P44" s="190"/>
      <c r="Q44" s="190"/>
      <c r="R44" s="190"/>
      <c r="S44" s="215"/>
    </row>
    <row r="45" spans="2:19">
      <c r="B45" s="1489"/>
      <c r="C45" s="189"/>
      <c r="D45" s="191"/>
      <c r="E45" s="212"/>
      <c r="F45" s="190"/>
      <c r="G45" s="190"/>
      <c r="H45" s="190"/>
      <c r="I45" s="190"/>
      <c r="J45" s="190"/>
      <c r="K45" s="213"/>
      <c r="L45" s="214">
        <v>1</v>
      </c>
      <c r="M45" s="190"/>
      <c r="N45" s="190"/>
      <c r="O45" s="190"/>
      <c r="P45" s="190"/>
      <c r="Q45" s="190"/>
      <c r="R45" s="190"/>
      <c r="S45" s="215"/>
    </row>
    <row r="46" spans="2:19">
      <c r="B46" s="1489"/>
      <c r="C46" s="189"/>
      <c r="D46" s="191"/>
      <c r="E46" s="212"/>
      <c r="F46" s="190"/>
      <c r="G46" s="190"/>
      <c r="H46" s="190"/>
      <c r="I46" s="190"/>
      <c r="J46" s="190"/>
      <c r="K46" s="213"/>
      <c r="L46" s="214">
        <v>1</v>
      </c>
      <c r="M46" s="190"/>
      <c r="N46" s="190"/>
      <c r="O46" s="190"/>
      <c r="P46" s="190"/>
      <c r="Q46" s="190"/>
      <c r="R46" s="190"/>
      <c r="S46" s="215"/>
    </row>
    <row r="47" spans="2:19">
      <c r="B47" s="1489"/>
      <c r="C47" s="189"/>
      <c r="D47" s="191"/>
      <c r="E47" s="212"/>
      <c r="F47" s="190"/>
      <c r="G47" s="190"/>
      <c r="H47" s="190"/>
      <c r="I47" s="190"/>
      <c r="J47" s="190"/>
      <c r="K47" s="213"/>
      <c r="L47" s="214">
        <v>1</v>
      </c>
      <c r="M47" s="190"/>
      <c r="N47" s="190"/>
      <c r="O47" s="190"/>
      <c r="P47" s="190"/>
      <c r="Q47" s="190"/>
      <c r="R47" s="190"/>
      <c r="S47" s="215"/>
    </row>
    <row r="48" spans="2:19">
      <c r="B48" s="1489"/>
      <c r="C48" s="189"/>
      <c r="D48" s="191"/>
      <c r="E48" s="212"/>
      <c r="F48" s="190"/>
      <c r="G48" s="190"/>
      <c r="H48" s="190"/>
      <c r="I48" s="190"/>
      <c r="J48" s="190"/>
      <c r="K48" s="213"/>
      <c r="L48" s="214">
        <v>1</v>
      </c>
      <c r="M48" s="190"/>
      <c r="N48" s="190"/>
      <c r="O48" s="190"/>
      <c r="P48" s="190"/>
      <c r="Q48" s="190"/>
      <c r="R48" s="190"/>
      <c r="S48" s="215"/>
    </row>
    <row r="49" spans="2:19">
      <c r="B49" s="1489"/>
      <c r="C49" s="189"/>
      <c r="D49" s="191"/>
      <c r="E49" s="212"/>
      <c r="F49" s="190"/>
      <c r="G49" s="190"/>
      <c r="H49" s="190"/>
      <c r="I49" s="190"/>
      <c r="J49" s="190"/>
      <c r="K49" s="213"/>
      <c r="L49" s="214">
        <v>1</v>
      </c>
      <c r="M49" s="190"/>
      <c r="N49" s="190"/>
      <c r="O49" s="190"/>
      <c r="P49" s="190"/>
      <c r="Q49" s="190"/>
      <c r="R49" s="190"/>
      <c r="S49" s="215"/>
    </row>
    <row r="50" spans="2:19">
      <c r="B50" s="1489"/>
      <c r="C50" s="189"/>
      <c r="D50" s="191"/>
      <c r="E50" s="212"/>
      <c r="F50" s="190"/>
      <c r="G50" s="190"/>
      <c r="H50" s="190"/>
      <c r="I50" s="190"/>
      <c r="J50" s="190"/>
      <c r="K50" s="213"/>
      <c r="L50" s="214">
        <v>1</v>
      </c>
      <c r="M50" s="190"/>
      <c r="N50" s="190"/>
      <c r="O50" s="190"/>
      <c r="P50" s="190"/>
      <c r="Q50" s="190"/>
      <c r="R50" s="190"/>
      <c r="S50" s="215"/>
    </row>
    <row r="51" spans="2:19">
      <c r="B51" s="1489"/>
      <c r="C51" s="189"/>
      <c r="D51" s="191"/>
      <c r="E51" s="212"/>
      <c r="F51" s="190"/>
      <c r="G51" s="190"/>
      <c r="H51" s="190"/>
      <c r="I51" s="190"/>
      <c r="J51" s="190"/>
      <c r="K51" s="213"/>
      <c r="L51" s="214">
        <v>1</v>
      </c>
      <c r="M51" s="190"/>
      <c r="N51" s="190"/>
      <c r="O51" s="190"/>
      <c r="P51" s="190"/>
      <c r="Q51" s="190"/>
      <c r="R51" s="190"/>
      <c r="S51" s="215"/>
    </row>
    <row r="52" spans="2:19">
      <c r="B52" s="1489"/>
      <c r="C52" s="189"/>
      <c r="D52" s="191"/>
      <c r="E52" s="212"/>
      <c r="F52" s="190"/>
      <c r="G52" s="190"/>
      <c r="H52" s="190"/>
      <c r="I52" s="190"/>
      <c r="J52" s="190"/>
      <c r="K52" s="213"/>
      <c r="L52" s="214">
        <v>1</v>
      </c>
      <c r="M52" s="190"/>
      <c r="N52" s="190"/>
      <c r="O52" s="190"/>
      <c r="P52" s="190"/>
      <c r="Q52" s="190"/>
      <c r="R52" s="190"/>
      <c r="S52" s="215"/>
    </row>
    <row r="53" spans="2:19">
      <c r="B53" s="1489"/>
      <c r="C53" s="189"/>
      <c r="D53" s="191"/>
      <c r="E53" s="212"/>
      <c r="F53" s="190"/>
      <c r="G53" s="190"/>
      <c r="H53" s="190"/>
      <c r="I53" s="190"/>
      <c r="J53" s="190"/>
      <c r="K53" s="213"/>
      <c r="L53" s="214">
        <v>1</v>
      </c>
      <c r="M53" s="190"/>
      <c r="N53" s="190"/>
      <c r="O53" s="190"/>
      <c r="P53" s="190"/>
      <c r="Q53" s="190"/>
      <c r="R53" s="190"/>
      <c r="S53" s="215"/>
    </row>
    <row r="54" spans="2:19">
      <c r="B54" s="1489"/>
      <c r="C54" s="189"/>
      <c r="D54" s="191"/>
      <c r="E54" s="212"/>
      <c r="F54" s="190"/>
      <c r="G54" s="190"/>
      <c r="H54" s="190"/>
      <c r="I54" s="190"/>
      <c r="J54" s="190"/>
      <c r="K54" s="213"/>
      <c r="L54" s="214">
        <v>1</v>
      </c>
      <c r="M54" s="190"/>
      <c r="N54" s="190"/>
      <c r="O54" s="190"/>
      <c r="P54" s="190"/>
      <c r="Q54" s="190"/>
      <c r="R54" s="190"/>
      <c r="S54" s="215"/>
    </row>
    <row r="55" spans="2:19">
      <c r="B55" s="1489"/>
      <c r="C55" s="189"/>
      <c r="D55" s="191"/>
      <c r="E55" s="212"/>
      <c r="F55" s="190"/>
      <c r="G55" s="190"/>
      <c r="H55" s="190"/>
      <c r="I55" s="190"/>
      <c r="J55" s="190"/>
      <c r="K55" s="213"/>
      <c r="L55" s="214">
        <v>1</v>
      </c>
      <c r="M55" s="190"/>
      <c r="N55" s="190"/>
      <c r="O55" s="190"/>
      <c r="P55" s="190"/>
      <c r="Q55" s="190"/>
      <c r="R55" s="190"/>
      <c r="S55" s="215"/>
    </row>
    <row r="56" spans="2:19">
      <c r="B56" s="1489"/>
      <c r="C56" s="189"/>
      <c r="D56" s="191"/>
      <c r="E56" s="212"/>
      <c r="F56" s="190"/>
      <c r="G56" s="190"/>
      <c r="H56" s="190"/>
      <c r="I56" s="190"/>
      <c r="J56" s="190"/>
      <c r="K56" s="213"/>
      <c r="L56" s="214">
        <v>1</v>
      </c>
      <c r="M56" s="190"/>
      <c r="N56" s="190"/>
      <c r="O56" s="190"/>
      <c r="P56" s="190"/>
      <c r="Q56" s="190"/>
      <c r="R56" s="190"/>
      <c r="S56" s="215"/>
    </row>
    <row r="57" spans="2:19">
      <c r="B57" s="216"/>
      <c r="C57" s="217"/>
      <c r="D57" s="218"/>
      <c r="E57" s="218"/>
      <c r="F57" s="218"/>
      <c r="G57" s="218"/>
      <c r="H57" s="218"/>
      <c r="I57" s="218"/>
      <c r="J57" s="218"/>
      <c r="K57" s="219"/>
      <c r="L57" s="220"/>
      <c r="M57" s="218"/>
      <c r="N57" s="218"/>
      <c r="O57" s="218"/>
      <c r="P57" s="218"/>
      <c r="Q57" s="218"/>
      <c r="R57" s="218"/>
      <c r="S57" s="219"/>
    </row>
    <row r="58" spans="2:19" ht="20.25" customHeight="1" thickBot="1">
      <c r="B58" s="221" t="s">
        <v>125</v>
      </c>
      <c r="C58" s="222"/>
      <c r="D58" s="207"/>
      <c r="E58" s="207"/>
      <c r="F58" s="207"/>
      <c r="G58" s="207"/>
      <c r="H58" s="207"/>
      <c r="I58" s="207"/>
      <c r="J58" s="207"/>
      <c r="K58" s="207"/>
      <c r="L58" s="207"/>
      <c r="M58" s="207"/>
      <c r="N58" s="207"/>
      <c r="O58" s="207"/>
      <c r="P58" s="207"/>
      <c r="Q58" s="207"/>
      <c r="R58" s="207"/>
      <c r="S58" s="208"/>
    </row>
    <row r="59" spans="2:19" ht="35.25" customHeight="1"/>
  </sheetData>
  <mergeCells count="17">
    <mergeCell ref="S19:AD19"/>
    <mergeCell ref="S20:AD20"/>
    <mergeCell ref="H12:L12"/>
    <mergeCell ref="C13:L13"/>
    <mergeCell ref="C14:G14"/>
    <mergeCell ref="H14:L14"/>
    <mergeCell ref="B7:E7"/>
    <mergeCell ref="B12:B13"/>
    <mergeCell ref="B9:E9"/>
    <mergeCell ref="B8:E8"/>
    <mergeCell ref="C12:G12"/>
    <mergeCell ref="C30:K30"/>
    <mergeCell ref="L30:S31"/>
    <mergeCell ref="C29:K29"/>
    <mergeCell ref="L29:S29"/>
    <mergeCell ref="C31:D31"/>
    <mergeCell ref="E31:K31"/>
  </mergeCells>
  <pageMargins left="0.75" right="0.75" top="1" bottom="1" header="0.5" footer="0.5"/>
  <pageSetup paperSize="9" orientation="portrait" r:id="rId1"/>
  <headerFooter alignWithMargins="0"/>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U106"/>
  <sheetViews>
    <sheetView showGridLines="0" topLeftCell="A31" zoomScale="55" zoomScaleNormal="55" workbookViewId="0">
      <selection activeCell="B18" sqref="B18"/>
    </sheetView>
  </sheetViews>
  <sheetFormatPr defaultColWidth="9.140625" defaultRowHeight="12.75" outlineLevelRow="2"/>
  <cols>
    <col min="1" max="1" width="20.140625" style="78" customWidth="1"/>
    <col min="2" max="2" width="95.85546875" style="78" customWidth="1"/>
    <col min="3" max="10" width="15.7109375" style="78" customWidth="1"/>
    <col min="11" max="12" width="17.7109375" style="78" customWidth="1"/>
    <col min="13" max="17" width="15.7109375" style="78" customWidth="1"/>
    <col min="18" max="19" width="13.140625" style="78" bestFit="1" customWidth="1"/>
    <col min="20" max="20" width="16.42578125" style="78" bestFit="1" customWidth="1"/>
    <col min="21" max="21" width="18.5703125" style="78" bestFit="1" customWidth="1"/>
    <col min="22" max="16384" width="9.140625" style="78"/>
  </cols>
  <sheetData>
    <row r="1" spans="2:21" s="223" customFormat="1" ht="24" customHeight="1">
      <c r="B1" s="224" t="str">
        <f>SheetHeader</f>
        <v>REGULATORY REPORTING STATEMENT</v>
      </c>
      <c r="C1" s="225"/>
      <c r="D1" s="225"/>
      <c r="E1" s="225"/>
      <c r="F1" s="225"/>
      <c r="G1" s="225"/>
      <c r="H1" s="225"/>
      <c r="I1" s="225"/>
      <c r="J1" s="225"/>
      <c r="K1" s="225"/>
      <c r="L1" s="225"/>
      <c r="M1" s="225"/>
      <c r="N1" s="225"/>
      <c r="O1" s="225"/>
      <c r="P1" s="225"/>
      <c r="Q1" s="225"/>
      <c r="R1" s="225"/>
      <c r="S1" s="66"/>
      <c r="T1" s="66"/>
      <c r="U1" s="66"/>
    </row>
    <row r="2" spans="2:21" s="223" customFormat="1" ht="24" customHeight="1">
      <c r="B2" s="226" t="str">
        <f>dms_TradingName</f>
        <v>AusNet (Gas)</v>
      </c>
      <c r="C2" s="225"/>
      <c r="D2" s="225"/>
      <c r="E2" s="225"/>
      <c r="F2" s="225"/>
      <c r="G2" s="225"/>
      <c r="H2" s="225"/>
      <c r="I2" s="225"/>
      <c r="J2" s="225"/>
      <c r="K2" s="225"/>
      <c r="L2" s="225"/>
      <c r="M2" s="225"/>
      <c r="N2" s="225"/>
      <c r="O2" s="225"/>
      <c r="P2" s="225"/>
      <c r="Q2" s="225"/>
      <c r="R2" s="225"/>
      <c r="S2" s="66"/>
      <c r="T2" s="66"/>
      <c r="U2" s="66"/>
    </row>
    <row r="3" spans="2:21" s="223" customFormat="1" ht="24" customHeight="1">
      <c r="B3" s="227" t="str">
        <f>CONCATENATE(FRCP_y1," to ",FRCP_y5)</f>
        <v>2018 to 2022</v>
      </c>
      <c r="C3" s="228" t="str">
        <f>CONCATENATE(LEFT(FRCP_y1,4),"-",LEFT(FRCP_y5,2),RIGHT(FRCP_y5,2))</f>
        <v>2018-2022</v>
      </c>
      <c r="D3" s="227"/>
      <c r="E3" s="227"/>
      <c r="F3" s="227"/>
      <c r="G3" s="227"/>
      <c r="H3" s="227"/>
      <c r="I3" s="227"/>
      <c r="J3" s="227"/>
      <c r="K3" s="227"/>
      <c r="L3" s="227"/>
      <c r="M3" s="227"/>
      <c r="N3" s="227"/>
      <c r="O3" s="227"/>
      <c r="P3" s="227"/>
      <c r="Q3" s="227"/>
      <c r="R3" s="227"/>
      <c r="S3" s="66"/>
      <c r="T3" s="66"/>
      <c r="U3" s="66"/>
    </row>
    <row r="4" spans="2:21" s="223" customFormat="1" ht="24" customHeight="1">
      <c r="B4" s="169" t="s">
        <v>375</v>
      </c>
      <c r="C4" s="169"/>
      <c r="D4" s="169"/>
      <c r="E4" s="169"/>
      <c r="F4" s="169"/>
      <c r="G4" s="169"/>
      <c r="H4" s="169"/>
      <c r="I4" s="169"/>
      <c r="J4" s="169"/>
      <c r="K4" s="169"/>
      <c r="L4" s="169"/>
      <c r="M4" s="169"/>
      <c r="N4" s="169"/>
      <c r="O4" s="169"/>
      <c r="P4" s="169"/>
      <c r="Q4" s="169"/>
      <c r="R4" s="169"/>
      <c r="S4" s="66"/>
      <c r="T4" s="66"/>
      <c r="U4" s="66"/>
    </row>
    <row r="5" spans="2:21" s="229" customFormat="1" ht="20.25">
      <c r="B5" s="230"/>
      <c r="C5" s="231"/>
      <c r="D5" s="231"/>
      <c r="E5" s="231"/>
      <c r="F5" s="231"/>
      <c r="G5" s="231"/>
      <c r="H5" s="231"/>
      <c r="I5" s="231"/>
      <c r="J5" s="231"/>
      <c r="K5" s="231"/>
      <c r="L5" s="231"/>
      <c r="M5" s="231"/>
      <c r="N5" s="231"/>
      <c r="O5" s="231"/>
      <c r="P5" s="231"/>
      <c r="Q5" s="231"/>
      <c r="R5" s="231"/>
      <c r="S5" s="66"/>
      <c r="T5" s="66"/>
      <c r="U5" s="66"/>
    </row>
    <row r="6" spans="2:21" s="229" customFormat="1" ht="67.5" customHeight="1">
      <c r="B6" s="3535" t="s">
        <v>414</v>
      </c>
      <c r="C6" s="3535"/>
      <c r="D6" s="3535"/>
      <c r="E6" s="3535"/>
      <c r="F6" s="3535"/>
      <c r="G6" s="3535"/>
      <c r="H6" s="232"/>
      <c r="I6" s="231"/>
      <c r="S6" s="66"/>
      <c r="T6" s="66"/>
      <c r="U6" s="66"/>
    </row>
    <row r="7" spans="2:21" s="229" customFormat="1" ht="33" customHeight="1">
      <c r="B7" s="230"/>
      <c r="C7" s="231"/>
      <c r="D7" s="231"/>
      <c r="E7" s="231"/>
      <c r="F7" s="231"/>
      <c r="G7" s="231"/>
      <c r="H7" s="231"/>
      <c r="I7" s="231"/>
      <c r="J7" s="231"/>
      <c r="K7" s="231"/>
      <c r="L7" s="231"/>
      <c r="M7" s="231"/>
      <c r="N7" s="231"/>
      <c r="O7" s="231"/>
      <c r="P7" s="231"/>
      <c r="Q7" s="231"/>
      <c r="R7" s="231"/>
      <c r="S7" s="66"/>
      <c r="T7" s="66"/>
      <c r="U7" s="66"/>
    </row>
    <row r="8" spans="2:21" s="229" customFormat="1" ht="24" customHeight="1" thickBot="1">
      <c r="B8" s="230"/>
      <c r="C8" s="231"/>
      <c r="D8" s="231"/>
      <c r="E8" s="231"/>
      <c r="F8" s="231"/>
      <c r="G8" s="231"/>
      <c r="H8" s="231"/>
      <c r="I8" s="231"/>
      <c r="J8" s="231"/>
      <c r="K8" s="231"/>
      <c r="L8" s="231"/>
      <c r="M8" s="231"/>
      <c r="N8" s="231"/>
      <c r="O8" s="231"/>
      <c r="P8" s="231"/>
      <c r="Q8" s="231"/>
      <c r="R8" s="231"/>
      <c r="S8" s="66"/>
      <c r="T8" s="66"/>
      <c r="U8" s="66"/>
    </row>
    <row r="9" spans="2:21" s="233" customFormat="1" ht="36.75" customHeight="1" thickBot="1">
      <c r="B9" s="856" t="s">
        <v>354</v>
      </c>
      <c r="C9" s="856"/>
      <c r="D9" s="856"/>
      <c r="E9" s="856"/>
      <c r="F9" s="856"/>
      <c r="G9" s="856"/>
      <c r="H9" s="856"/>
      <c r="I9" s="856"/>
      <c r="J9" s="856"/>
      <c r="K9" s="856"/>
      <c r="L9" s="856"/>
      <c r="M9" s="856"/>
      <c r="N9" s="856"/>
      <c r="O9" s="856"/>
      <c r="P9" s="856"/>
      <c r="Q9" s="856"/>
      <c r="R9" s="856"/>
      <c r="S9" s="66"/>
      <c r="T9" s="66"/>
      <c r="U9" s="66"/>
    </row>
    <row r="10" spans="2:21" s="234" customFormat="1" ht="25.5" customHeight="1">
      <c r="B10" s="3528"/>
      <c r="C10" s="3531" t="s">
        <v>36</v>
      </c>
      <c r="D10" s="3532"/>
      <c r="E10" s="3532"/>
      <c r="F10" s="3532"/>
      <c r="G10" s="3532"/>
      <c r="H10" s="3533" t="s">
        <v>37</v>
      </c>
      <c r="I10" s="3533"/>
      <c r="J10" s="3533"/>
      <c r="K10" s="3533"/>
      <c r="L10" s="3533"/>
      <c r="M10" s="3533"/>
      <c r="N10" s="3543" t="s">
        <v>73</v>
      </c>
      <c r="O10" s="3544"/>
      <c r="P10" s="3544"/>
      <c r="Q10" s="3544"/>
      <c r="R10" s="3545"/>
      <c r="S10" s="66"/>
      <c r="T10" s="66"/>
      <c r="U10" s="66"/>
    </row>
    <row r="11" spans="2:21" s="234" customFormat="1" ht="12.75" customHeight="1">
      <c r="B11" s="3529"/>
      <c r="C11" s="3536" t="s">
        <v>392</v>
      </c>
      <c r="D11" s="3537"/>
      <c r="E11" s="3537"/>
      <c r="F11" s="3537"/>
      <c r="G11" s="3537"/>
      <c r="H11" s="3537"/>
      <c r="I11" s="3537"/>
      <c r="J11" s="3537"/>
      <c r="K11" s="3537"/>
      <c r="L11" s="3546" t="str">
        <f>CONCATENATE("$0's, Real ",dms_DollarReal)</f>
        <v>$0's, Real December 2017</v>
      </c>
      <c r="M11" s="3546"/>
      <c r="N11" s="3546" t="str">
        <f>CONCATENATE("Real, $ ",dms_DollarReal)</f>
        <v>Real, $ December 2017</v>
      </c>
      <c r="O11" s="3546"/>
      <c r="P11" s="3546"/>
      <c r="Q11" s="3546"/>
      <c r="R11" s="3547"/>
      <c r="S11" s="66"/>
      <c r="T11" s="66"/>
      <c r="U11" s="66"/>
    </row>
    <row r="12" spans="2:21" s="234" customFormat="1" ht="15" customHeight="1">
      <c r="B12" s="1112"/>
      <c r="C12" s="3536" t="s">
        <v>54</v>
      </c>
      <c r="D12" s="3537"/>
      <c r="E12" s="3537"/>
      <c r="F12" s="3537"/>
      <c r="G12" s="3537"/>
      <c r="H12" s="3537"/>
      <c r="I12" s="3537"/>
      <c r="J12" s="3537"/>
      <c r="K12" s="3537"/>
      <c r="L12" s="3546" t="s">
        <v>55</v>
      </c>
      <c r="M12" s="3546"/>
      <c r="N12" s="3546"/>
      <c r="O12" s="3546"/>
      <c r="P12" s="3546"/>
      <c r="Q12" s="3546"/>
      <c r="R12" s="3547"/>
      <c r="S12" s="66"/>
      <c r="T12" s="66"/>
      <c r="U12" s="66"/>
    </row>
    <row r="13" spans="2:21" s="234" customFormat="1" ht="21" thickBot="1">
      <c r="B13" s="235"/>
      <c r="C13" s="279">
        <f>PRCP_y1</f>
        <v>2008</v>
      </c>
      <c r="D13" s="280">
        <f>PRCP_y2</f>
        <v>2009</v>
      </c>
      <c r="E13" s="280">
        <f>PRCP_y3</f>
        <v>2010</v>
      </c>
      <c r="F13" s="280">
        <f>PRCP_y4</f>
        <v>2011</v>
      </c>
      <c r="G13" s="280">
        <f>PRCP_y5</f>
        <v>2012</v>
      </c>
      <c r="H13" s="863">
        <f>CRCP_y1</f>
        <v>2013</v>
      </c>
      <c r="I13" s="863">
        <f>CRCP_y2</f>
        <v>2014</v>
      </c>
      <c r="J13" s="863">
        <f>CRCP_y3</f>
        <v>2015</v>
      </c>
      <c r="K13" s="863">
        <f>CRCP_y4</f>
        <v>2016</v>
      </c>
      <c r="L13" s="863">
        <f>CRCP_y5</f>
        <v>2017</v>
      </c>
      <c r="M13" s="863">
        <f>CRCP_y6</f>
        <v>2018</v>
      </c>
      <c r="N13" s="280" t="str">
        <f t="array" ref="N13:R13">FRCP</f>
        <v>2018</v>
      </c>
      <c r="O13" s="280">
        <v>2019</v>
      </c>
      <c r="P13" s="280">
        <v>2020</v>
      </c>
      <c r="Q13" s="280">
        <v>2021</v>
      </c>
      <c r="R13" s="869">
        <v>2022</v>
      </c>
      <c r="S13" s="66"/>
      <c r="T13" s="66"/>
      <c r="U13" s="66"/>
    </row>
    <row r="14" spans="2:21">
      <c r="B14" s="236" t="s">
        <v>154</v>
      </c>
      <c r="C14" s="864"/>
      <c r="D14" s="865"/>
      <c r="E14" s="865"/>
      <c r="F14" s="865"/>
      <c r="G14" s="866"/>
      <c r="H14" s="864"/>
      <c r="I14" s="865"/>
      <c r="J14" s="865"/>
      <c r="K14" s="865"/>
      <c r="L14" s="865"/>
      <c r="M14" s="867"/>
      <c r="N14" s="868"/>
      <c r="O14" s="865"/>
      <c r="P14" s="865"/>
      <c r="Q14" s="865"/>
      <c r="R14" s="867"/>
    </row>
    <row r="15" spans="2:21" outlineLevel="1">
      <c r="B15" s="237" t="s">
        <v>138</v>
      </c>
      <c r="C15" s="238" t="e">
        <f>#REF!</f>
        <v>#REF!</v>
      </c>
      <c r="D15" s="239" t="e">
        <f>#REF!</f>
        <v>#REF!</v>
      </c>
      <c r="E15" s="239" t="e">
        <f>#REF!</f>
        <v>#REF!</v>
      </c>
      <c r="F15" s="239" t="e">
        <f>#REF!</f>
        <v>#REF!</v>
      </c>
      <c r="G15" s="258" t="e">
        <f>#REF!</f>
        <v>#REF!</v>
      </c>
      <c r="H15" s="238" t="e">
        <f>#REF!</f>
        <v>#REF!</v>
      </c>
      <c r="I15" s="239" t="e">
        <f>#REF!</f>
        <v>#REF!</v>
      </c>
      <c r="J15" s="239" t="e">
        <f>#REF!</f>
        <v>#REF!</v>
      </c>
      <c r="K15" s="239" t="e">
        <f>#REF!</f>
        <v>#REF!</v>
      </c>
      <c r="L15" s="239"/>
      <c r="M15" s="272" t="e">
        <f>#REF!</f>
        <v>#REF!</v>
      </c>
      <c r="N15" s="265" t="e">
        <f>#REF!</f>
        <v>#REF!</v>
      </c>
      <c r="O15" s="239" t="e">
        <f>#REF!</f>
        <v>#REF!</v>
      </c>
      <c r="P15" s="239" t="e">
        <f>#REF!</f>
        <v>#REF!</v>
      </c>
      <c r="Q15" s="239" t="e">
        <f>#REF!</f>
        <v>#REF!</v>
      </c>
      <c r="R15" s="272" t="e">
        <f>#REF!</f>
        <v>#REF!</v>
      </c>
    </row>
    <row r="16" spans="2:21" outlineLevel="1">
      <c r="B16" s="237" t="s">
        <v>139</v>
      </c>
      <c r="C16" s="238" t="e">
        <f>#REF!</f>
        <v>#REF!</v>
      </c>
      <c r="D16" s="239" t="e">
        <f>#REF!</f>
        <v>#REF!</v>
      </c>
      <c r="E16" s="239" t="e">
        <f>#REF!</f>
        <v>#REF!</v>
      </c>
      <c r="F16" s="239" t="e">
        <f>#REF!</f>
        <v>#REF!</v>
      </c>
      <c r="G16" s="258" t="e">
        <f>#REF!</f>
        <v>#REF!</v>
      </c>
      <c r="H16" s="238" t="e">
        <f>#REF!</f>
        <v>#REF!</v>
      </c>
      <c r="I16" s="239" t="e">
        <f>#REF!</f>
        <v>#REF!</v>
      </c>
      <c r="J16" s="239" t="e">
        <f>#REF!</f>
        <v>#REF!</v>
      </c>
      <c r="K16" s="239" t="e">
        <f>#REF!</f>
        <v>#REF!</v>
      </c>
      <c r="L16" s="239"/>
      <c r="M16" s="272" t="e">
        <f>#REF!</f>
        <v>#REF!</v>
      </c>
      <c r="N16" s="265" t="e">
        <f>#REF!</f>
        <v>#REF!</v>
      </c>
      <c r="O16" s="239" t="e">
        <f>#REF!</f>
        <v>#REF!</v>
      </c>
      <c r="P16" s="239" t="e">
        <f>#REF!</f>
        <v>#REF!</v>
      </c>
      <c r="Q16" s="239" t="e">
        <f>#REF!</f>
        <v>#REF!</v>
      </c>
      <c r="R16" s="272" t="e">
        <f>#REF!</f>
        <v>#REF!</v>
      </c>
    </row>
    <row r="17" spans="2:18">
      <c r="B17" s="237" t="s">
        <v>140</v>
      </c>
      <c r="C17" s="238" t="e">
        <f>#REF!</f>
        <v>#REF!</v>
      </c>
      <c r="D17" s="239" t="e">
        <f>#REF!</f>
        <v>#REF!</v>
      </c>
      <c r="E17" s="239" t="e">
        <f>#REF!</f>
        <v>#REF!</v>
      </c>
      <c r="F17" s="239" t="e">
        <f>#REF!</f>
        <v>#REF!</v>
      </c>
      <c r="G17" s="258" t="e">
        <f>#REF!</f>
        <v>#REF!</v>
      </c>
      <c r="H17" s="238" t="e">
        <f>#REF!</f>
        <v>#REF!</v>
      </c>
      <c r="I17" s="239" t="e">
        <f>#REF!</f>
        <v>#REF!</v>
      </c>
      <c r="J17" s="239" t="e">
        <f>#REF!</f>
        <v>#REF!</v>
      </c>
      <c r="K17" s="239" t="e">
        <f>#REF!</f>
        <v>#REF!</v>
      </c>
      <c r="L17" s="239"/>
      <c r="M17" s="272" t="e">
        <f>#REF!</f>
        <v>#REF!</v>
      </c>
      <c r="N17" s="265" t="e">
        <f>#REF!</f>
        <v>#REF!</v>
      </c>
      <c r="O17" s="239" t="e">
        <f>#REF!</f>
        <v>#REF!</v>
      </c>
      <c r="P17" s="239" t="e">
        <f>#REF!</f>
        <v>#REF!</v>
      </c>
      <c r="Q17" s="239" t="e">
        <f>#REF!</f>
        <v>#REF!</v>
      </c>
      <c r="R17" s="272" t="e">
        <f>#REF!</f>
        <v>#REF!</v>
      </c>
    </row>
    <row r="18" spans="2:18">
      <c r="B18" s="240" t="s">
        <v>155</v>
      </c>
      <c r="C18" s="241"/>
      <c r="D18" s="242"/>
      <c r="E18" s="242"/>
      <c r="F18" s="242"/>
      <c r="G18" s="259"/>
      <c r="H18" s="241"/>
      <c r="I18" s="242"/>
      <c r="J18" s="242"/>
      <c r="K18" s="242"/>
      <c r="L18" s="242"/>
      <c r="M18" s="273"/>
      <c r="N18" s="266"/>
      <c r="O18" s="242"/>
      <c r="P18" s="242"/>
      <c r="Q18" s="242"/>
      <c r="R18" s="273"/>
    </row>
    <row r="19" spans="2:18" outlineLevel="1">
      <c r="B19" s="237" t="s">
        <v>138</v>
      </c>
      <c r="C19" s="238">
        <f>'5. Mains augmentation'!G57</f>
        <v>0</v>
      </c>
      <c r="D19" s="239">
        <f>'5. Mains augmentation'!H57</f>
        <v>0</v>
      </c>
      <c r="E19" s="239">
        <f>'5. Mains augmentation'!I57</f>
        <v>0</v>
      </c>
      <c r="F19" s="239">
        <f>'5. Mains augmentation'!J57</f>
        <v>0</v>
      </c>
      <c r="G19" s="258">
        <f>'5. Mains augmentation'!K57</f>
        <v>0</v>
      </c>
      <c r="H19" s="238">
        <f>'5. Mains augmentation'!L57</f>
        <v>0</v>
      </c>
      <c r="I19" s="239">
        <f>'5. Mains augmentation'!M57</f>
        <v>0</v>
      </c>
      <c r="J19" s="239">
        <f>'5. Mains augmentation'!O57</f>
        <v>0</v>
      </c>
      <c r="K19" s="239">
        <f>'5. Mains augmentation'!P57</f>
        <v>0</v>
      </c>
      <c r="L19" s="239"/>
      <c r="M19" s="272">
        <f ca="1">'5. Mains augmentation'!R57</f>
        <v>0</v>
      </c>
      <c r="N19" s="265">
        <f ca="1">'5. Mains augmentation'!S57</f>
        <v>0</v>
      </c>
      <c r="O19" s="239">
        <f ca="1">'5. Mains augmentation'!T57</f>
        <v>0</v>
      </c>
      <c r="P19" s="239">
        <f ca="1">'5. Mains augmentation'!U57</f>
        <v>0</v>
      </c>
      <c r="Q19" s="239">
        <f ca="1">'5. Mains augmentation'!V57</f>
        <v>0</v>
      </c>
      <c r="R19" s="272">
        <f>'5. Mains augmentation'!W57</f>
        <v>0</v>
      </c>
    </row>
    <row r="20" spans="2:18" outlineLevel="1">
      <c r="B20" s="237" t="s">
        <v>139</v>
      </c>
      <c r="C20" s="238" t="e">
        <f>'5. Mains augmentation'!#REF!</f>
        <v>#REF!</v>
      </c>
      <c r="D20" s="239" t="e">
        <f>'5. Mains augmentation'!#REF!</f>
        <v>#REF!</v>
      </c>
      <c r="E20" s="239" t="e">
        <f>'5. Mains augmentation'!#REF!</f>
        <v>#REF!</v>
      </c>
      <c r="F20" s="239" t="e">
        <f>'5. Mains augmentation'!#REF!</f>
        <v>#REF!</v>
      </c>
      <c r="G20" s="258" t="e">
        <f>'5. Mains augmentation'!#REF!</f>
        <v>#REF!</v>
      </c>
      <c r="H20" s="238" t="e">
        <f>'5. Mains augmentation'!#REF!</f>
        <v>#REF!</v>
      </c>
      <c r="I20" s="239" t="e">
        <f>'5. Mains augmentation'!#REF!</f>
        <v>#REF!</v>
      </c>
      <c r="J20" s="239" t="e">
        <f>'5. Mains augmentation'!#REF!</f>
        <v>#REF!</v>
      </c>
      <c r="K20" s="239" t="e">
        <f>'5. Mains augmentation'!#REF!</f>
        <v>#REF!</v>
      </c>
      <c r="L20" s="239"/>
      <c r="M20" s="272" t="e">
        <f>'5. Mains augmentation'!#REF!</f>
        <v>#REF!</v>
      </c>
      <c r="N20" s="265" t="e">
        <f>'5. Mains augmentation'!#REF!</f>
        <v>#REF!</v>
      </c>
      <c r="O20" s="239" t="e">
        <f>'5. Mains augmentation'!#REF!</f>
        <v>#REF!</v>
      </c>
      <c r="P20" s="239" t="e">
        <f>'5. Mains augmentation'!#REF!</f>
        <v>#REF!</v>
      </c>
      <c r="Q20" s="239" t="e">
        <f>'5. Mains augmentation'!#REF!</f>
        <v>#REF!</v>
      </c>
      <c r="R20" s="272" t="e">
        <f>'5. Mains augmentation'!#REF!</f>
        <v>#REF!</v>
      </c>
    </row>
    <row r="21" spans="2:18">
      <c r="B21" s="237" t="s">
        <v>140</v>
      </c>
      <c r="C21" s="238" t="e">
        <f>'5. Mains augmentation'!#REF!</f>
        <v>#REF!</v>
      </c>
      <c r="D21" s="239" t="e">
        <f>'5. Mains augmentation'!#REF!</f>
        <v>#REF!</v>
      </c>
      <c r="E21" s="239" t="e">
        <f>'5. Mains augmentation'!#REF!</f>
        <v>#REF!</v>
      </c>
      <c r="F21" s="239" t="e">
        <f>'5. Mains augmentation'!#REF!</f>
        <v>#REF!</v>
      </c>
      <c r="G21" s="258" t="e">
        <f>'5. Mains augmentation'!#REF!</f>
        <v>#REF!</v>
      </c>
      <c r="H21" s="238" t="e">
        <f>'5. Mains augmentation'!#REF!</f>
        <v>#REF!</v>
      </c>
      <c r="I21" s="239" t="e">
        <f>'5. Mains augmentation'!#REF!</f>
        <v>#REF!</v>
      </c>
      <c r="J21" s="239" t="e">
        <f>'5. Mains augmentation'!#REF!</f>
        <v>#REF!</v>
      </c>
      <c r="K21" s="239" t="e">
        <f>'5. Mains augmentation'!#REF!</f>
        <v>#REF!</v>
      </c>
      <c r="L21" s="239"/>
      <c r="M21" s="272" t="e">
        <f>'5. Mains augmentation'!#REF!</f>
        <v>#REF!</v>
      </c>
      <c r="N21" s="265" t="e">
        <f>'5. Mains augmentation'!#REF!</f>
        <v>#REF!</v>
      </c>
      <c r="O21" s="239" t="e">
        <f>'5. Mains augmentation'!#REF!</f>
        <v>#REF!</v>
      </c>
      <c r="P21" s="239" t="e">
        <f>'5. Mains augmentation'!#REF!</f>
        <v>#REF!</v>
      </c>
      <c r="Q21" s="239" t="e">
        <f>'5. Mains augmentation'!#REF!</f>
        <v>#REF!</v>
      </c>
      <c r="R21" s="272" t="e">
        <f>'5. Mains augmentation'!#REF!</f>
        <v>#REF!</v>
      </c>
    </row>
    <row r="22" spans="2:18">
      <c r="B22" s="240" t="s">
        <v>156</v>
      </c>
      <c r="C22" s="241"/>
      <c r="D22" s="242"/>
      <c r="E22" s="242"/>
      <c r="F22" s="242"/>
      <c r="G22" s="259"/>
      <c r="H22" s="241"/>
      <c r="I22" s="242"/>
      <c r="J22" s="242"/>
      <c r="K22" s="242"/>
      <c r="L22" s="242"/>
      <c r="M22" s="273"/>
      <c r="N22" s="266"/>
      <c r="O22" s="242"/>
      <c r="P22" s="242"/>
      <c r="Q22" s="242"/>
      <c r="R22" s="273"/>
    </row>
    <row r="23" spans="2:18" outlineLevel="1">
      <c r="B23" s="237" t="s">
        <v>138</v>
      </c>
      <c r="C23" s="238">
        <f>'6. Mains replacement'!G144</f>
        <v>0</v>
      </c>
      <c r="D23" s="239">
        <f>'6. Mains replacement'!H144</f>
        <v>0</v>
      </c>
      <c r="E23" s="239">
        <f>'6. Mains replacement'!I144</f>
        <v>0</v>
      </c>
      <c r="F23" s="239">
        <f>'6. Mains replacement'!J144</f>
        <v>0</v>
      </c>
      <c r="G23" s="258">
        <f>'6. Mains replacement'!K144</f>
        <v>0</v>
      </c>
      <c r="H23" s="238">
        <f ca="1">'6. Mains replacement'!L144</f>
        <v>0</v>
      </c>
      <c r="I23" s="239">
        <f ca="1">'6. Mains replacement'!M144</f>
        <v>0</v>
      </c>
      <c r="J23" s="239">
        <f ca="1">'6. Mains replacement'!O144</f>
        <v>0</v>
      </c>
      <c r="K23" s="239">
        <f ca="1">'6. Mains replacement'!P144</f>
        <v>0</v>
      </c>
      <c r="L23" s="239"/>
      <c r="M23" s="272">
        <f ca="1">'6. Mains replacement'!Q144</f>
        <v>0</v>
      </c>
      <c r="N23" s="265">
        <f ca="1">'6. Mains replacement'!R144</f>
        <v>0</v>
      </c>
      <c r="O23" s="239">
        <f ca="1">'6. Mains replacement'!S144</f>
        <v>0</v>
      </c>
      <c r="P23" s="239">
        <f ca="1">'6. Mains replacement'!T144</f>
        <v>0</v>
      </c>
      <c r="Q23" s="239">
        <f ca="1">'6. Mains replacement'!U144</f>
        <v>0</v>
      </c>
      <c r="R23" s="272">
        <f ca="1">'6. Mains replacement'!W144</f>
        <v>0</v>
      </c>
    </row>
    <row r="24" spans="2:18" outlineLevel="1">
      <c r="B24" s="237" t="s">
        <v>139</v>
      </c>
      <c r="C24" s="238" t="e">
        <f>'6. Mains replacement'!#REF!</f>
        <v>#REF!</v>
      </c>
      <c r="D24" s="239" t="e">
        <f>'6. Mains replacement'!#REF!</f>
        <v>#REF!</v>
      </c>
      <c r="E24" s="239" t="e">
        <f>'6. Mains replacement'!#REF!</f>
        <v>#REF!</v>
      </c>
      <c r="F24" s="239" t="e">
        <f>'6. Mains replacement'!#REF!</f>
        <v>#REF!</v>
      </c>
      <c r="G24" s="258" t="e">
        <f>'6. Mains replacement'!#REF!</f>
        <v>#REF!</v>
      </c>
      <c r="H24" s="238" t="e">
        <f>'6. Mains replacement'!#REF!</f>
        <v>#REF!</v>
      </c>
      <c r="I24" s="239" t="e">
        <f>'6. Mains replacement'!#REF!</f>
        <v>#REF!</v>
      </c>
      <c r="J24" s="239" t="e">
        <f>'6. Mains replacement'!#REF!</f>
        <v>#REF!</v>
      </c>
      <c r="K24" s="239" t="e">
        <f>'6. Mains replacement'!#REF!</f>
        <v>#REF!</v>
      </c>
      <c r="L24" s="239"/>
      <c r="M24" s="272" t="e">
        <f>'6. Mains replacement'!#REF!</f>
        <v>#REF!</v>
      </c>
      <c r="N24" s="265" t="e">
        <f>'6. Mains replacement'!#REF!</f>
        <v>#REF!</v>
      </c>
      <c r="O24" s="239" t="e">
        <f>'6. Mains replacement'!#REF!</f>
        <v>#REF!</v>
      </c>
      <c r="P24" s="239" t="e">
        <f>'6. Mains replacement'!#REF!</f>
        <v>#REF!</v>
      </c>
      <c r="Q24" s="239" t="e">
        <f>'6. Mains replacement'!#REF!</f>
        <v>#REF!</v>
      </c>
      <c r="R24" s="272" t="e">
        <f>'6. Mains replacement'!#REF!</f>
        <v>#REF!</v>
      </c>
    </row>
    <row r="25" spans="2:18">
      <c r="B25" s="237" t="s">
        <v>140</v>
      </c>
      <c r="C25" s="238">
        <f ca="1">'6. Mains replacement'!G146</f>
        <v>0</v>
      </c>
      <c r="D25" s="239">
        <f ca="1">'6. Mains replacement'!H146</f>
        <v>0</v>
      </c>
      <c r="E25" s="239">
        <f ca="1">'6. Mains replacement'!I146</f>
        <v>0</v>
      </c>
      <c r="F25" s="239">
        <f ca="1">'6. Mains replacement'!J146</f>
        <v>0</v>
      </c>
      <c r="G25" s="258">
        <f ca="1">'6. Mains replacement'!K146</f>
        <v>0</v>
      </c>
      <c r="H25" s="238">
        <f ca="1">'6. Mains replacement'!L146</f>
        <v>0</v>
      </c>
      <c r="I25" s="239">
        <f ca="1">'6. Mains replacement'!M146</f>
        <v>0</v>
      </c>
      <c r="J25" s="239">
        <f ca="1">'6. Mains replacement'!O146</f>
        <v>0</v>
      </c>
      <c r="K25" s="239">
        <f ca="1">'6. Mains replacement'!P146</f>
        <v>0</v>
      </c>
      <c r="L25" s="239"/>
      <c r="M25" s="272"/>
      <c r="N25" s="265">
        <f ca="1">'6. Mains replacement'!R146</f>
        <v>0</v>
      </c>
      <c r="O25" s="239">
        <f ca="1">'6. Mains replacement'!S146</f>
        <v>0</v>
      </c>
      <c r="P25" s="239">
        <f ca="1">'6. Mains replacement'!T146</f>
        <v>0</v>
      </c>
      <c r="Q25" s="239">
        <f ca="1">'6. Mains replacement'!U146</f>
        <v>0</v>
      </c>
      <c r="R25" s="272">
        <f ca="1">'6. Mains replacement'!W146</f>
        <v>0</v>
      </c>
    </row>
    <row r="26" spans="2:18">
      <c r="B26" s="240" t="s">
        <v>157</v>
      </c>
      <c r="C26" s="241"/>
      <c r="D26" s="242"/>
      <c r="E26" s="242"/>
      <c r="F26" s="242"/>
      <c r="G26" s="259"/>
      <c r="H26" s="241"/>
      <c r="I26" s="242"/>
      <c r="J26" s="242"/>
      <c r="K26" s="242"/>
      <c r="L26" s="242"/>
      <c r="M26" s="273"/>
      <c r="N26" s="266"/>
      <c r="O26" s="242"/>
      <c r="P26" s="242"/>
      <c r="Q26" s="242"/>
      <c r="R26" s="273"/>
    </row>
    <row r="27" spans="2:18" outlineLevel="1">
      <c r="B27" s="237" t="s">
        <v>138</v>
      </c>
      <c r="C27" s="238"/>
      <c r="D27" s="239"/>
      <c r="E27" s="239"/>
      <c r="F27" s="239"/>
      <c r="G27" s="258"/>
      <c r="H27" s="238"/>
      <c r="I27" s="239"/>
      <c r="J27" s="239"/>
      <c r="K27" s="239"/>
      <c r="L27" s="239"/>
      <c r="M27" s="272"/>
      <c r="N27" s="265"/>
      <c r="O27" s="239"/>
      <c r="P27" s="239"/>
      <c r="Q27" s="239"/>
      <c r="R27" s="272"/>
    </row>
    <row r="28" spans="2:18" outlineLevel="1">
      <c r="B28" s="237" t="s">
        <v>139</v>
      </c>
      <c r="C28" s="238"/>
      <c r="D28" s="239"/>
      <c r="E28" s="239"/>
      <c r="F28" s="239"/>
      <c r="G28" s="258"/>
      <c r="H28" s="238"/>
      <c r="I28" s="239"/>
      <c r="J28" s="239"/>
      <c r="K28" s="239"/>
      <c r="L28" s="239"/>
      <c r="M28" s="272"/>
      <c r="N28" s="265"/>
      <c r="O28" s="239"/>
      <c r="P28" s="239"/>
      <c r="Q28" s="239"/>
      <c r="R28" s="272"/>
    </row>
    <row r="29" spans="2:18">
      <c r="B29" s="237" t="s">
        <v>140</v>
      </c>
      <c r="C29" s="238"/>
      <c r="D29" s="239"/>
      <c r="E29" s="239"/>
      <c r="F29" s="239"/>
      <c r="G29" s="258"/>
      <c r="H29" s="238"/>
      <c r="I29" s="239"/>
      <c r="J29" s="239"/>
      <c r="K29" s="239"/>
      <c r="L29" s="239"/>
      <c r="M29" s="272"/>
      <c r="N29" s="265"/>
      <c r="O29" s="239"/>
      <c r="P29" s="239"/>
      <c r="Q29" s="239"/>
      <c r="R29" s="272"/>
    </row>
    <row r="30" spans="2:18">
      <c r="B30" s="240" t="s">
        <v>158</v>
      </c>
      <c r="C30" s="241"/>
      <c r="D30" s="242"/>
      <c r="E30" s="242"/>
      <c r="F30" s="242"/>
      <c r="G30" s="259"/>
      <c r="H30" s="241"/>
      <c r="I30" s="242"/>
      <c r="J30" s="242"/>
      <c r="K30" s="242"/>
      <c r="L30" s="242"/>
      <c r="M30" s="273"/>
      <c r="N30" s="266"/>
      <c r="O30" s="242"/>
      <c r="P30" s="242"/>
      <c r="Q30" s="242"/>
      <c r="R30" s="273"/>
    </row>
    <row r="31" spans="2:18" outlineLevel="1">
      <c r="B31" s="237" t="s">
        <v>138</v>
      </c>
      <c r="C31" s="238">
        <f>'8. Meter replacement'!D55</f>
        <v>0</v>
      </c>
      <c r="D31" s="239">
        <f>'8. Meter replacement'!E55</f>
        <v>0</v>
      </c>
      <c r="E31" s="239">
        <f>'8. Meter replacement'!F55</f>
        <v>0</v>
      </c>
      <c r="F31" s="239">
        <f>'8. Meter replacement'!G55</f>
        <v>0</v>
      </c>
      <c r="G31" s="258">
        <f>'8. Meter replacement'!H55</f>
        <v>0</v>
      </c>
      <c r="H31" s="238">
        <f>'8. Meter replacement'!I55</f>
        <v>0</v>
      </c>
      <c r="I31" s="239">
        <f>'8. Meter replacement'!K55</f>
        <v>0</v>
      </c>
      <c r="J31" s="239">
        <f>'8. Meter replacement'!L55</f>
        <v>0</v>
      </c>
      <c r="K31" s="239">
        <f>'8. Meter replacement'!M55</f>
        <v>0</v>
      </c>
      <c r="L31" s="239"/>
      <c r="M31" s="272">
        <f>'8. Meter replacement'!N55</f>
        <v>0</v>
      </c>
      <c r="N31" s="265">
        <f>'8. Meter replacement'!O55</f>
        <v>0</v>
      </c>
      <c r="O31" s="239">
        <f>'8. Meter replacement'!P55</f>
        <v>0</v>
      </c>
      <c r="P31" s="239">
        <f>'8. Meter replacement'!Q55</f>
        <v>0</v>
      </c>
      <c r="Q31" s="239">
        <f>'8. Meter replacement'!R55</f>
        <v>0</v>
      </c>
      <c r="R31" s="272"/>
    </row>
    <row r="32" spans="2:18" outlineLevel="1">
      <c r="B32" s="237" t="s">
        <v>139</v>
      </c>
      <c r="C32" s="238" t="e">
        <f>'8. Meter replacement'!#REF!</f>
        <v>#REF!</v>
      </c>
      <c r="D32" s="239" t="e">
        <f>'8. Meter replacement'!#REF!</f>
        <v>#REF!</v>
      </c>
      <c r="E32" s="239" t="e">
        <f>'8. Meter replacement'!#REF!</f>
        <v>#REF!</v>
      </c>
      <c r="F32" s="239" t="e">
        <f>'8. Meter replacement'!#REF!</f>
        <v>#REF!</v>
      </c>
      <c r="G32" s="258" t="e">
        <f>'8. Meter replacement'!#REF!</f>
        <v>#REF!</v>
      </c>
      <c r="H32" s="238" t="e">
        <f>'8. Meter replacement'!#REF!</f>
        <v>#REF!</v>
      </c>
      <c r="I32" s="239" t="e">
        <f>'8. Meter replacement'!#REF!</f>
        <v>#REF!</v>
      </c>
      <c r="J32" s="239" t="e">
        <f>'8. Meter replacement'!#REF!</f>
        <v>#REF!</v>
      </c>
      <c r="K32" s="239" t="e">
        <f>'8. Meter replacement'!#REF!</f>
        <v>#REF!</v>
      </c>
      <c r="L32" s="239"/>
      <c r="M32" s="272" t="e">
        <f>'8. Meter replacement'!#REF!</f>
        <v>#REF!</v>
      </c>
      <c r="N32" s="265" t="e">
        <f>'8. Meter replacement'!#REF!</f>
        <v>#REF!</v>
      </c>
      <c r="O32" s="239" t="e">
        <f>'8. Meter replacement'!#REF!</f>
        <v>#REF!</v>
      </c>
      <c r="P32" s="239" t="e">
        <f>'8. Meter replacement'!#REF!</f>
        <v>#REF!</v>
      </c>
      <c r="Q32" s="239" t="e">
        <f>'8. Meter replacement'!#REF!</f>
        <v>#REF!</v>
      </c>
      <c r="R32" s="272"/>
    </row>
    <row r="33" spans="2:18">
      <c r="B33" s="237" t="s">
        <v>140</v>
      </c>
      <c r="C33" s="238" t="e">
        <f>'8. Meter replacement'!#REF!</f>
        <v>#REF!</v>
      </c>
      <c r="D33" s="239" t="e">
        <f>'8. Meter replacement'!#REF!</f>
        <v>#REF!</v>
      </c>
      <c r="E33" s="239" t="e">
        <f>'8. Meter replacement'!#REF!</f>
        <v>#REF!</v>
      </c>
      <c r="F33" s="239" t="e">
        <f>'8. Meter replacement'!#REF!</f>
        <v>#REF!</v>
      </c>
      <c r="G33" s="258" t="e">
        <f>'8. Meter replacement'!#REF!</f>
        <v>#REF!</v>
      </c>
      <c r="H33" s="238" t="e">
        <f>'8. Meter replacement'!#REF!</f>
        <v>#REF!</v>
      </c>
      <c r="I33" s="239" t="e">
        <f>'8. Meter replacement'!#REF!</f>
        <v>#REF!</v>
      </c>
      <c r="J33" s="239" t="e">
        <f>'8. Meter replacement'!#REF!</f>
        <v>#REF!</v>
      </c>
      <c r="K33" s="239" t="e">
        <f>'8. Meter replacement'!#REF!</f>
        <v>#REF!</v>
      </c>
      <c r="L33" s="239"/>
      <c r="M33" s="272" t="e">
        <f>'8. Meter replacement'!#REF!</f>
        <v>#REF!</v>
      </c>
      <c r="N33" s="265" t="e">
        <f>'8. Meter replacement'!#REF!</f>
        <v>#REF!</v>
      </c>
      <c r="O33" s="239" t="e">
        <f>'8. Meter replacement'!#REF!</f>
        <v>#REF!</v>
      </c>
      <c r="P33" s="239" t="e">
        <f>'8. Meter replacement'!#REF!</f>
        <v>#REF!</v>
      </c>
      <c r="Q33" s="239" t="e">
        <f>'8. Meter replacement'!#REF!</f>
        <v>#REF!</v>
      </c>
      <c r="R33" s="272"/>
    </row>
    <row r="34" spans="2:18">
      <c r="B34" s="240" t="s">
        <v>281</v>
      </c>
      <c r="C34" s="241"/>
      <c r="D34" s="242"/>
      <c r="E34" s="242"/>
      <c r="F34" s="242"/>
      <c r="G34" s="259"/>
      <c r="H34" s="241"/>
      <c r="I34" s="242"/>
      <c r="J34" s="242"/>
      <c r="K34" s="242"/>
      <c r="L34" s="242"/>
      <c r="M34" s="273"/>
      <c r="N34" s="266"/>
      <c r="O34" s="242"/>
      <c r="P34" s="242"/>
      <c r="Q34" s="242"/>
      <c r="R34" s="273"/>
    </row>
    <row r="35" spans="2:18" outlineLevel="1">
      <c r="B35" s="237" t="s">
        <v>138</v>
      </c>
      <c r="C35" s="238"/>
      <c r="D35" s="239"/>
      <c r="E35" s="239"/>
      <c r="F35" s="239"/>
      <c r="G35" s="258"/>
      <c r="H35" s="238"/>
      <c r="I35" s="239"/>
      <c r="J35" s="239"/>
      <c r="K35" s="239"/>
      <c r="L35" s="239"/>
      <c r="M35" s="272"/>
      <c r="N35" s="265"/>
      <c r="O35" s="239"/>
      <c r="P35" s="239"/>
      <c r="Q35" s="239"/>
      <c r="R35" s="272"/>
    </row>
    <row r="36" spans="2:18" outlineLevel="1">
      <c r="B36" s="237" t="s">
        <v>139</v>
      </c>
      <c r="C36" s="238"/>
      <c r="D36" s="239"/>
      <c r="E36" s="239"/>
      <c r="F36" s="239"/>
      <c r="G36" s="258"/>
      <c r="H36" s="238"/>
      <c r="I36" s="239"/>
      <c r="J36" s="239"/>
      <c r="K36" s="239"/>
      <c r="L36" s="239"/>
      <c r="M36" s="272"/>
      <c r="N36" s="265"/>
      <c r="O36" s="239"/>
      <c r="P36" s="239"/>
      <c r="Q36" s="239"/>
      <c r="R36" s="272"/>
    </row>
    <row r="37" spans="2:18">
      <c r="B37" s="237" t="s">
        <v>140</v>
      </c>
      <c r="C37" s="238"/>
      <c r="D37" s="239"/>
      <c r="E37" s="239"/>
      <c r="F37" s="239"/>
      <c r="G37" s="258"/>
      <c r="H37" s="238"/>
      <c r="I37" s="239"/>
      <c r="J37" s="239"/>
      <c r="K37" s="239"/>
      <c r="L37" s="239"/>
      <c r="M37" s="272"/>
      <c r="N37" s="265"/>
      <c r="O37" s="239"/>
      <c r="P37" s="239"/>
      <c r="Q37" s="239"/>
      <c r="R37" s="272"/>
    </row>
    <row r="38" spans="2:18">
      <c r="B38" s="240" t="s">
        <v>282</v>
      </c>
      <c r="C38" s="241"/>
      <c r="D38" s="242"/>
      <c r="E38" s="242"/>
      <c r="F38" s="242"/>
      <c r="G38" s="259"/>
      <c r="H38" s="241"/>
      <c r="I38" s="242"/>
      <c r="J38" s="242"/>
      <c r="K38" s="242"/>
      <c r="L38" s="242"/>
      <c r="M38" s="273"/>
      <c r="N38" s="266"/>
      <c r="O38" s="242"/>
      <c r="P38" s="242"/>
      <c r="Q38" s="242"/>
      <c r="R38" s="273"/>
    </row>
    <row r="39" spans="2:18" outlineLevel="1">
      <c r="B39" s="237" t="s">
        <v>138</v>
      </c>
      <c r="C39" s="238">
        <f>'9. Other capex'!G51</f>
        <v>0</v>
      </c>
      <c r="D39" s="239">
        <f>'9. Other capex'!H51</f>
        <v>0</v>
      </c>
      <c r="E39" s="239">
        <f>'9. Other capex'!I51</f>
        <v>0</v>
      </c>
      <c r="F39" s="239">
        <f>'9. Other capex'!J51</f>
        <v>0</v>
      </c>
      <c r="G39" s="258">
        <f>'9. Other capex'!K51</f>
        <v>0</v>
      </c>
      <c r="H39" s="238">
        <f>'9. Other capex'!M51</f>
        <v>0</v>
      </c>
      <c r="I39" s="239">
        <f>'9. Other capex'!N51</f>
        <v>0</v>
      </c>
      <c r="J39" s="239">
        <f>'9. Other capex'!O51</f>
        <v>0</v>
      </c>
      <c r="K39" s="239">
        <f>'9. Other capex'!P51</f>
        <v>0</v>
      </c>
      <c r="L39" s="239"/>
      <c r="M39" s="272">
        <f>'9. Other capex'!Q51</f>
        <v>0</v>
      </c>
      <c r="N39" s="265">
        <f>'9. Other capex'!R51</f>
        <v>0</v>
      </c>
      <c r="O39" s="239">
        <f>'9. Other capex'!S51</f>
        <v>0</v>
      </c>
      <c r="P39" s="239">
        <f>'9. Other capex'!T51</f>
        <v>0</v>
      </c>
      <c r="Q39" s="239">
        <f>'9. Other capex'!U51</f>
        <v>0</v>
      </c>
      <c r="R39" s="272">
        <f>'9. Other capex'!V51</f>
        <v>0</v>
      </c>
    </row>
    <row r="40" spans="2:18" outlineLevel="1">
      <c r="B40" s="237" t="s">
        <v>139</v>
      </c>
      <c r="C40" s="238" t="e">
        <f>'9. Other capex'!#REF!</f>
        <v>#REF!</v>
      </c>
      <c r="D40" s="239" t="e">
        <f>'9. Other capex'!#REF!</f>
        <v>#REF!</v>
      </c>
      <c r="E40" s="239" t="e">
        <f>'9. Other capex'!#REF!</f>
        <v>#REF!</v>
      </c>
      <c r="F40" s="239" t="e">
        <f>'9. Other capex'!#REF!</f>
        <v>#REF!</v>
      </c>
      <c r="G40" s="258" t="e">
        <f>'9. Other capex'!#REF!</f>
        <v>#REF!</v>
      </c>
      <c r="H40" s="238" t="e">
        <f>'9. Other capex'!#REF!</f>
        <v>#REF!</v>
      </c>
      <c r="I40" s="239" t="e">
        <f>'9. Other capex'!#REF!</f>
        <v>#REF!</v>
      </c>
      <c r="J40" s="239" t="e">
        <f>'9. Other capex'!#REF!</f>
        <v>#REF!</v>
      </c>
      <c r="K40" s="239" t="e">
        <f>'9. Other capex'!#REF!</f>
        <v>#REF!</v>
      </c>
      <c r="L40" s="239"/>
      <c r="M40" s="272" t="e">
        <f>'9. Other capex'!#REF!</f>
        <v>#REF!</v>
      </c>
      <c r="N40" s="265" t="e">
        <f>'9. Other capex'!#REF!</f>
        <v>#REF!</v>
      </c>
      <c r="O40" s="239" t="e">
        <f>'9. Other capex'!#REF!</f>
        <v>#REF!</v>
      </c>
      <c r="P40" s="239" t="e">
        <f>'9. Other capex'!#REF!</f>
        <v>#REF!</v>
      </c>
      <c r="Q40" s="239" t="e">
        <f>'9. Other capex'!#REF!</f>
        <v>#REF!</v>
      </c>
      <c r="R40" s="272" t="e">
        <f>'9. Other capex'!#REF!</f>
        <v>#REF!</v>
      </c>
    </row>
    <row r="41" spans="2:18">
      <c r="B41" s="237" t="s">
        <v>140</v>
      </c>
      <c r="C41" s="238" t="e">
        <f>'9. Other capex'!#REF!</f>
        <v>#REF!</v>
      </c>
      <c r="D41" s="239" t="e">
        <f>'9. Other capex'!#REF!</f>
        <v>#REF!</v>
      </c>
      <c r="E41" s="239" t="e">
        <f>'9. Other capex'!#REF!</f>
        <v>#REF!</v>
      </c>
      <c r="F41" s="239" t="e">
        <f>'9. Other capex'!#REF!</f>
        <v>#REF!</v>
      </c>
      <c r="G41" s="258" t="e">
        <f>'9. Other capex'!#REF!</f>
        <v>#REF!</v>
      </c>
      <c r="H41" s="238" t="e">
        <f>'9. Other capex'!#REF!</f>
        <v>#REF!</v>
      </c>
      <c r="I41" s="239" t="e">
        <f>'9. Other capex'!#REF!</f>
        <v>#REF!</v>
      </c>
      <c r="J41" s="239" t="e">
        <f>'9. Other capex'!#REF!</f>
        <v>#REF!</v>
      </c>
      <c r="K41" s="239" t="e">
        <f>'9. Other capex'!#REF!</f>
        <v>#REF!</v>
      </c>
      <c r="L41" s="239"/>
      <c r="M41" s="272" t="e">
        <f>'9. Other capex'!#REF!</f>
        <v>#REF!</v>
      </c>
      <c r="N41" s="265" t="e">
        <f>'9. Other capex'!#REF!</f>
        <v>#REF!</v>
      </c>
      <c r="O41" s="239" t="e">
        <f>'9. Other capex'!#REF!</f>
        <v>#REF!</v>
      </c>
      <c r="P41" s="239" t="e">
        <f>'9. Other capex'!#REF!</f>
        <v>#REF!</v>
      </c>
      <c r="Q41" s="239" t="e">
        <f>'9. Other capex'!#REF!</f>
        <v>#REF!</v>
      </c>
      <c r="R41" s="272" t="e">
        <f>'9. Other capex'!#REF!</f>
        <v>#REF!</v>
      </c>
    </row>
    <row r="42" spans="2:18">
      <c r="B42" s="240" t="s">
        <v>62</v>
      </c>
      <c r="C42" s="241"/>
      <c r="D42" s="242"/>
      <c r="E42" s="242"/>
      <c r="F42" s="242"/>
      <c r="G42" s="259"/>
      <c r="H42" s="241"/>
      <c r="I42" s="242"/>
      <c r="J42" s="242"/>
      <c r="K42" s="242"/>
      <c r="L42" s="242"/>
      <c r="M42" s="273"/>
      <c r="N42" s="266"/>
      <c r="O42" s="242"/>
      <c r="P42" s="242"/>
      <c r="Q42" s="242"/>
      <c r="R42" s="273"/>
    </row>
    <row r="43" spans="2:18" outlineLevel="1">
      <c r="B43" s="237" t="s">
        <v>138</v>
      </c>
      <c r="C43" s="238" t="e">
        <f>#REF!</f>
        <v>#REF!</v>
      </c>
      <c r="D43" s="239" t="e">
        <f>#REF!</f>
        <v>#REF!</v>
      </c>
      <c r="E43" s="239" t="e">
        <f>#REF!</f>
        <v>#REF!</v>
      </c>
      <c r="F43" s="239" t="e">
        <f>#REF!</f>
        <v>#REF!</v>
      </c>
      <c r="G43" s="258" t="e">
        <f>#REF!</f>
        <v>#REF!</v>
      </c>
      <c r="H43" s="238" t="e">
        <f>#REF!</f>
        <v>#REF!</v>
      </c>
      <c r="I43" s="239" t="e">
        <f>#REF!</f>
        <v>#REF!</v>
      </c>
      <c r="J43" s="239" t="e">
        <f>#REF!</f>
        <v>#REF!</v>
      </c>
      <c r="K43" s="239" t="e">
        <f>#REF!</f>
        <v>#REF!</v>
      </c>
      <c r="L43" s="239"/>
      <c r="M43" s="272" t="e">
        <f>#REF!</f>
        <v>#REF!</v>
      </c>
      <c r="N43" s="265" t="e">
        <f>#REF!</f>
        <v>#REF!</v>
      </c>
      <c r="O43" s="239" t="e">
        <f>#REF!</f>
        <v>#REF!</v>
      </c>
      <c r="P43" s="239" t="e">
        <f>#REF!</f>
        <v>#REF!</v>
      </c>
      <c r="Q43" s="239" t="e">
        <f>#REF!</f>
        <v>#REF!</v>
      </c>
      <c r="R43" s="272" t="e">
        <f>#REF!</f>
        <v>#REF!</v>
      </c>
    </row>
    <row r="44" spans="2:18" outlineLevel="1">
      <c r="B44" s="237" t="s">
        <v>139</v>
      </c>
      <c r="C44" s="238" t="e">
        <f>#REF!</f>
        <v>#REF!</v>
      </c>
      <c r="D44" s="239" t="e">
        <f>#REF!</f>
        <v>#REF!</v>
      </c>
      <c r="E44" s="239" t="e">
        <f>#REF!</f>
        <v>#REF!</v>
      </c>
      <c r="F44" s="239" t="e">
        <f>#REF!</f>
        <v>#REF!</v>
      </c>
      <c r="G44" s="258" t="e">
        <f>#REF!</f>
        <v>#REF!</v>
      </c>
      <c r="H44" s="238" t="e">
        <f>#REF!</f>
        <v>#REF!</v>
      </c>
      <c r="I44" s="239" t="e">
        <f>#REF!</f>
        <v>#REF!</v>
      </c>
      <c r="J44" s="239" t="e">
        <f>#REF!</f>
        <v>#REF!</v>
      </c>
      <c r="K44" s="239" t="e">
        <f>#REF!</f>
        <v>#REF!</v>
      </c>
      <c r="L44" s="239"/>
      <c r="M44" s="272" t="e">
        <f>#REF!</f>
        <v>#REF!</v>
      </c>
      <c r="N44" s="265" t="e">
        <f>#REF!</f>
        <v>#REF!</v>
      </c>
      <c r="O44" s="239" t="e">
        <f>#REF!</f>
        <v>#REF!</v>
      </c>
      <c r="P44" s="239" t="e">
        <f>#REF!</f>
        <v>#REF!</v>
      </c>
      <c r="Q44" s="239" t="e">
        <f>#REF!</f>
        <v>#REF!</v>
      </c>
      <c r="R44" s="272" t="e">
        <f>#REF!</f>
        <v>#REF!</v>
      </c>
    </row>
    <row r="45" spans="2:18">
      <c r="B45" s="237" t="s">
        <v>140</v>
      </c>
      <c r="C45" s="238" t="e">
        <f>#REF!</f>
        <v>#REF!</v>
      </c>
      <c r="D45" s="239" t="e">
        <f>#REF!</f>
        <v>#REF!</v>
      </c>
      <c r="E45" s="239" t="e">
        <f>#REF!</f>
        <v>#REF!</v>
      </c>
      <c r="F45" s="239" t="e">
        <f>#REF!</f>
        <v>#REF!</v>
      </c>
      <c r="G45" s="258" t="e">
        <f>#REF!</f>
        <v>#REF!</v>
      </c>
      <c r="H45" s="238" t="e">
        <f>#REF!</f>
        <v>#REF!</v>
      </c>
      <c r="I45" s="239" t="e">
        <f>#REF!</f>
        <v>#REF!</v>
      </c>
      <c r="J45" s="239" t="e">
        <f>#REF!</f>
        <v>#REF!</v>
      </c>
      <c r="K45" s="239" t="e">
        <f>#REF!</f>
        <v>#REF!</v>
      </c>
      <c r="L45" s="239"/>
      <c r="M45" s="272" t="e">
        <f>#REF!</f>
        <v>#REF!</v>
      </c>
      <c r="N45" s="265" t="e">
        <f>#REF!</f>
        <v>#REF!</v>
      </c>
      <c r="O45" s="239" t="e">
        <f>#REF!</f>
        <v>#REF!</v>
      </c>
      <c r="P45" s="239" t="e">
        <f>#REF!</f>
        <v>#REF!</v>
      </c>
      <c r="Q45" s="239" t="e">
        <f>#REF!</f>
        <v>#REF!</v>
      </c>
      <c r="R45" s="272" t="e">
        <f>#REF!</f>
        <v>#REF!</v>
      </c>
    </row>
    <row r="46" spans="2:18">
      <c r="B46" s="240" t="s">
        <v>87</v>
      </c>
      <c r="C46" s="241"/>
      <c r="D46" s="242"/>
      <c r="E46" s="242"/>
      <c r="F46" s="242"/>
      <c r="G46" s="259"/>
      <c r="H46" s="241"/>
      <c r="I46" s="242"/>
      <c r="J46" s="242"/>
      <c r="K46" s="242"/>
      <c r="L46" s="242"/>
      <c r="M46" s="273"/>
      <c r="N46" s="266"/>
      <c r="O46" s="242"/>
      <c r="P46" s="242"/>
      <c r="Q46" s="242"/>
      <c r="R46" s="273"/>
    </row>
    <row r="47" spans="2:18">
      <c r="B47" s="237" t="s">
        <v>134</v>
      </c>
      <c r="C47" s="238">
        <f>'14. Overheads'!C63</f>
        <v>0</v>
      </c>
      <c r="D47" s="239">
        <f>'14. Overheads'!D63</f>
        <v>0</v>
      </c>
      <c r="E47" s="239">
        <f>'14. Overheads'!E63</f>
        <v>0</v>
      </c>
      <c r="F47" s="239">
        <f>'14. Overheads'!F63</f>
        <v>0</v>
      </c>
      <c r="G47" s="258">
        <f>'14. Overheads'!G63</f>
        <v>0</v>
      </c>
      <c r="H47" s="238">
        <f>'14. Overheads'!I63</f>
        <v>0</v>
      </c>
      <c r="I47" s="239">
        <f>'14. Overheads'!J63</f>
        <v>0</v>
      </c>
      <c r="J47" s="239">
        <f>'14. Overheads'!K63</f>
        <v>0</v>
      </c>
      <c r="K47" s="239">
        <f>'14. Overheads'!L63</f>
        <v>0</v>
      </c>
      <c r="L47" s="239"/>
      <c r="M47" s="272">
        <f>'14. Overheads'!M63</f>
        <v>0</v>
      </c>
      <c r="N47" s="265">
        <f>'14. Overheads'!N63</f>
        <v>0</v>
      </c>
      <c r="O47" s="239">
        <f>'14. Overheads'!O63</f>
        <v>0</v>
      </c>
      <c r="P47" s="239">
        <f>'14. Overheads'!P63</f>
        <v>0</v>
      </c>
      <c r="Q47" s="239">
        <f>'14. Overheads'!Q63</f>
        <v>0</v>
      </c>
      <c r="R47" s="272"/>
    </row>
    <row r="48" spans="2:18">
      <c r="B48" s="240" t="s">
        <v>159</v>
      </c>
      <c r="C48" s="241"/>
      <c r="D48" s="242"/>
      <c r="E48" s="242"/>
      <c r="F48" s="242"/>
      <c r="G48" s="259"/>
      <c r="H48" s="241"/>
      <c r="I48" s="242"/>
      <c r="J48" s="242"/>
      <c r="K48" s="242"/>
      <c r="L48" s="242"/>
      <c r="M48" s="273"/>
      <c r="N48" s="266"/>
      <c r="O48" s="242"/>
      <c r="P48" s="242"/>
      <c r="Q48" s="242"/>
      <c r="R48" s="273"/>
    </row>
    <row r="49" spans="2:21" ht="13.5" thickBot="1">
      <c r="B49" s="243" t="s">
        <v>19</v>
      </c>
      <c r="C49" s="244">
        <f>'15. Related party transactions'!I122</f>
        <v>0</v>
      </c>
      <c r="D49" s="245">
        <f>'15. Related party transactions'!J122</f>
        <v>0</v>
      </c>
      <c r="E49" s="245">
        <f>'15. Related party transactions'!K122</f>
        <v>0</v>
      </c>
      <c r="F49" s="245">
        <f>'15. Related party transactions'!L122</f>
        <v>0</v>
      </c>
      <c r="G49" s="260">
        <f>'15. Related party transactions'!M122</f>
        <v>0</v>
      </c>
      <c r="H49" s="244">
        <f>'15. Related party transactions'!N122</f>
        <v>0</v>
      </c>
      <c r="I49" s="245">
        <f>'15. Related party transactions'!O122</f>
        <v>0</v>
      </c>
      <c r="J49" s="245">
        <f>'15. Related party transactions'!Q122</f>
        <v>0</v>
      </c>
      <c r="K49" s="245">
        <f>'15. Related party transactions'!R122</f>
        <v>0</v>
      </c>
      <c r="L49" s="245"/>
      <c r="M49" s="274">
        <f>'15. Related party transactions'!S122</f>
        <v>0</v>
      </c>
      <c r="N49" s="267">
        <f>'15. Related party transactions'!T122</f>
        <v>0</v>
      </c>
      <c r="O49" s="245">
        <f>'15. Related party transactions'!U122</f>
        <v>0</v>
      </c>
      <c r="P49" s="245">
        <f>'15. Related party transactions'!V122</f>
        <v>0</v>
      </c>
      <c r="Q49" s="245">
        <f>'15. Related party transactions'!W122</f>
        <v>0</v>
      </c>
      <c r="R49" s="274">
        <f>'15. Related party transactions'!X122</f>
        <v>0</v>
      </c>
    </row>
    <row r="50" spans="2:21">
      <c r="B50" s="246" t="s">
        <v>145</v>
      </c>
      <c r="C50" s="247" t="e">
        <f>SUM(C15,C19,C23,C27,C39,C31,C35,C43,C47,C49)</f>
        <v>#REF!</v>
      </c>
      <c r="D50" s="248" t="e">
        <f t="shared" ref="D50:Q50" si="0">SUM(D15,D19,D23,D27,D39,D31,D35,D43,D47,D49)</f>
        <v>#REF!</v>
      </c>
      <c r="E50" s="248" t="e">
        <f t="shared" si="0"/>
        <v>#REF!</v>
      </c>
      <c r="F50" s="248" t="e">
        <f t="shared" si="0"/>
        <v>#REF!</v>
      </c>
      <c r="G50" s="261" t="e">
        <f t="shared" si="0"/>
        <v>#REF!</v>
      </c>
      <c r="H50" s="247" t="e">
        <f t="shared" si="0"/>
        <v>#REF!</v>
      </c>
      <c r="I50" s="248" t="e">
        <f t="shared" si="0"/>
        <v>#REF!</v>
      </c>
      <c r="J50" s="248" t="e">
        <f t="shared" si="0"/>
        <v>#REF!</v>
      </c>
      <c r="K50" s="248" t="e">
        <f t="shared" si="0"/>
        <v>#REF!</v>
      </c>
      <c r="L50" s="248"/>
      <c r="M50" s="275" t="e">
        <f t="shared" si="0"/>
        <v>#REF!</v>
      </c>
      <c r="N50" s="268" t="e">
        <f t="shared" si="0"/>
        <v>#REF!</v>
      </c>
      <c r="O50" s="248" t="e">
        <f t="shared" si="0"/>
        <v>#REF!</v>
      </c>
      <c r="P50" s="248" t="e">
        <f t="shared" si="0"/>
        <v>#REF!</v>
      </c>
      <c r="Q50" s="248" t="e">
        <f t="shared" si="0"/>
        <v>#REF!</v>
      </c>
      <c r="R50" s="275" t="e">
        <f t="shared" ref="R50" si="1">SUM(R15,R19,R23,R27,R39,R31,R35,R43,R47,R49)</f>
        <v>#REF!</v>
      </c>
    </row>
    <row r="51" spans="2:21">
      <c r="B51" s="249" t="s">
        <v>144</v>
      </c>
      <c r="C51" s="250" t="e">
        <f>SUM(C16,C20,C24,C28,C40,C32,C36,C44)</f>
        <v>#REF!</v>
      </c>
      <c r="D51" s="251" t="e">
        <f t="shared" ref="D51:Q51" si="2">SUM(D16,D20,D24,D28,D40,D32,D36,D44)</f>
        <v>#REF!</v>
      </c>
      <c r="E51" s="251" t="e">
        <f t="shared" si="2"/>
        <v>#REF!</v>
      </c>
      <c r="F51" s="251" t="e">
        <f t="shared" si="2"/>
        <v>#REF!</v>
      </c>
      <c r="G51" s="262" t="e">
        <f t="shared" si="2"/>
        <v>#REF!</v>
      </c>
      <c r="H51" s="250" t="e">
        <f t="shared" si="2"/>
        <v>#REF!</v>
      </c>
      <c r="I51" s="251" t="e">
        <f t="shared" si="2"/>
        <v>#REF!</v>
      </c>
      <c r="J51" s="251" t="e">
        <f t="shared" si="2"/>
        <v>#REF!</v>
      </c>
      <c r="K51" s="251" t="e">
        <f t="shared" si="2"/>
        <v>#REF!</v>
      </c>
      <c r="L51" s="251"/>
      <c r="M51" s="276" t="e">
        <f t="shared" si="2"/>
        <v>#REF!</v>
      </c>
      <c r="N51" s="269" t="e">
        <f t="shared" si="2"/>
        <v>#REF!</v>
      </c>
      <c r="O51" s="251" t="e">
        <f t="shared" si="2"/>
        <v>#REF!</v>
      </c>
      <c r="P51" s="251" t="e">
        <f t="shared" si="2"/>
        <v>#REF!</v>
      </c>
      <c r="Q51" s="251" t="e">
        <f t="shared" si="2"/>
        <v>#REF!</v>
      </c>
      <c r="R51" s="276" t="e">
        <f t="shared" ref="R51" si="3">SUM(R16,R20,R24,R28,R40,R32,R36,R44)</f>
        <v>#REF!</v>
      </c>
    </row>
    <row r="52" spans="2:21">
      <c r="B52" s="249" t="s">
        <v>143</v>
      </c>
      <c r="C52" s="250" t="e">
        <f>SUM(C17,C21,C25,C29,C41,C33,C37,C45,C47,C49)</f>
        <v>#REF!</v>
      </c>
      <c r="D52" s="251" t="e">
        <f t="shared" ref="D52:Q52" si="4">SUM(D17,D21,D25,D29,D41,D33,D37,D45,D47,D49)</f>
        <v>#REF!</v>
      </c>
      <c r="E52" s="251" t="e">
        <f t="shared" si="4"/>
        <v>#REF!</v>
      </c>
      <c r="F52" s="251" t="e">
        <f t="shared" si="4"/>
        <v>#REF!</v>
      </c>
      <c r="G52" s="262" t="e">
        <f t="shared" si="4"/>
        <v>#REF!</v>
      </c>
      <c r="H52" s="250" t="e">
        <f t="shared" si="4"/>
        <v>#REF!</v>
      </c>
      <c r="I52" s="251" t="e">
        <f t="shared" si="4"/>
        <v>#REF!</v>
      </c>
      <c r="J52" s="251" t="e">
        <f t="shared" si="4"/>
        <v>#REF!</v>
      </c>
      <c r="K52" s="251" t="e">
        <f t="shared" si="4"/>
        <v>#REF!</v>
      </c>
      <c r="L52" s="251"/>
      <c r="M52" s="276" t="e">
        <f t="shared" si="4"/>
        <v>#REF!</v>
      </c>
      <c r="N52" s="269" t="e">
        <f t="shared" si="4"/>
        <v>#REF!</v>
      </c>
      <c r="O52" s="251" t="e">
        <f t="shared" si="4"/>
        <v>#REF!</v>
      </c>
      <c r="P52" s="251" t="e">
        <f t="shared" si="4"/>
        <v>#REF!</v>
      </c>
      <c r="Q52" s="251" t="e">
        <f t="shared" si="4"/>
        <v>#REF!</v>
      </c>
      <c r="R52" s="276" t="e">
        <f t="shared" ref="R52" si="5">SUM(R17,R21,R25,R29,R41,R33,R37,R45,R47,R49)</f>
        <v>#REF!</v>
      </c>
    </row>
    <row r="53" spans="2:21">
      <c r="B53" s="252" t="s">
        <v>141</v>
      </c>
      <c r="C53" s="253"/>
      <c r="D53" s="254"/>
      <c r="E53" s="254"/>
      <c r="F53" s="254"/>
      <c r="G53" s="263"/>
      <c r="H53" s="253"/>
      <c r="I53" s="254"/>
      <c r="J53" s="254"/>
      <c r="K53" s="254"/>
      <c r="L53" s="254"/>
      <c r="M53" s="277"/>
      <c r="N53" s="270"/>
      <c r="O53" s="254"/>
      <c r="P53" s="254"/>
      <c r="Q53" s="254"/>
      <c r="R53" s="277"/>
    </row>
    <row r="54" spans="2:21">
      <c r="B54" s="249" t="s">
        <v>146</v>
      </c>
      <c r="C54" s="250" t="e">
        <f>C50-C53</f>
        <v>#REF!</v>
      </c>
      <c r="D54" s="251" t="e">
        <f t="shared" ref="D54:K54" si="6">D50-D53</f>
        <v>#REF!</v>
      </c>
      <c r="E54" s="251" t="e">
        <f t="shared" si="6"/>
        <v>#REF!</v>
      </c>
      <c r="F54" s="251" t="e">
        <f t="shared" si="6"/>
        <v>#REF!</v>
      </c>
      <c r="G54" s="262" t="e">
        <f t="shared" si="6"/>
        <v>#REF!</v>
      </c>
      <c r="H54" s="250" t="e">
        <f t="shared" si="6"/>
        <v>#REF!</v>
      </c>
      <c r="I54" s="251" t="e">
        <f t="shared" si="6"/>
        <v>#REF!</v>
      </c>
      <c r="J54" s="251" t="e">
        <f t="shared" si="6"/>
        <v>#REF!</v>
      </c>
      <c r="K54" s="251" t="e">
        <f t="shared" si="6"/>
        <v>#REF!</v>
      </c>
      <c r="L54" s="251"/>
      <c r="M54" s="276" t="e">
        <f t="shared" ref="M54:R54" si="7">M50-M53</f>
        <v>#REF!</v>
      </c>
      <c r="N54" s="269" t="e">
        <f t="shared" si="7"/>
        <v>#REF!</v>
      </c>
      <c r="O54" s="251" t="e">
        <f t="shared" si="7"/>
        <v>#REF!</v>
      </c>
      <c r="P54" s="251" t="e">
        <f t="shared" si="7"/>
        <v>#REF!</v>
      </c>
      <c r="Q54" s="251" t="e">
        <f t="shared" si="7"/>
        <v>#REF!</v>
      </c>
      <c r="R54" s="276" t="e">
        <f t="shared" si="7"/>
        <v>#REF!</v>
      </c>
    </row>
    <row r="55" spans="2:21" ht="13.5" thickBot="1">
      <c r="B55" s="255" t="s">
        <v>147</v>
      </c>
      <c r="C55" s="256" t="e">
        <f>C52-C53</f>
        <v>#REF!</v>
      </c>
      <c r="D55" s="257" t="e">
        <f t="shared" ref="D55:Q55" si="8">D52-D53</f>
        <v>#REF!</v>
      </c>
      <c r="E55" s="257" t="e">
        <f t="shared" si="8"/>
        <v>#REF!</v>
      </c>
      <c r="F55" s="257" t="e">
        <f t="shared" si="8"/>
        <v>#REF!</v>
      </c>
      <c r="G55" s="264" t="e">
        <f t="shared" si="8"/>
        <v>#REF!</v>
      </c>
      <c r="H55" s="256" t="e">
        <f t="shared" si="8"/>
        <v>#REF!</v>
      </c>
      <c r="I55" s="257" t="e">
        <f t="shared" si="8"/>
        <v>#REF!</v>
      </c>
      <c r="J55" s="257" t="e">
        <f t="shared" si="8"/>
        <v>#REF!</v>
      </c>
      <c r="K55" s="257" t="e">
        <f t="shared" si="8"/>
        <v>#REF!</v>
      </c>
      <c r="L55" s="257"/>
      <c r="M55" s="278" t="e">
        <f>M52-M53</f>
        <v>#REF!</v>
      </c>
      <c r="N55" s="271" t="e">
        <f t="shared" si="8"/>
        <v>#REF!</v>
      </c>
      <c r="O55" s="257" t="e">
        <f t="shared" si="8"/>
        <v>#REF!</v>
      </c>
      <c r="P55" s="257" t="e">
        <f t="shared" si="8"/>
        <v>#REF!</v>
      </c>
      <c r="Q55" s="257" t="e">
        <f t="shared" si="8"/>
        <v>#REF!</v>
      </c>
      <c r="R55" s="278" t="e">
        <f t="shared" ref="R55" si="9">R52-R53</f>
        <v>#REF!</v>
      </c>
    </row>
    <row r="56" spans="2:21" s="79" customFormat="1" ht="12.75" customHeight="1">
      <c r="B56" s="82"/>
      <c r="C56" s="81"/>
      <c r="D56" s="81"/>
      <c r="E56" s="81"/>
      <c r="F56" s="81"/>
      <c r="G56" s="81"/>
      <c r="H56" s="81"/>
      <c r="I56" s="81"/>
      <c r="J56" s="81"/>
      <c r="K56" s="81"/>
      <c r="L56" s="81"/>
      <c r="M56" s="81"/>
      <c r="N56" s="81"/>
      <c r="O56" s="81"/>
      <c r="P56" s="81"/>
      <c r="Q56" s="81"/>
    </row>
    <row r="57" spans="2:21" s="79" customFormat="1" ht="47.25" customHeight="1" thickBot="1">
      <c r="B57" s="101"/>
      <c r="C57" s="24"/>
      <c r="D57" s="24"/>
      <c r="E57" s="24"/>
      <c r="F57" s="24"/>
      <c r="G57" s="24"/>
      <c r="H57" s="24"/>
      <c r="I57" s="24"/>
      <c r="J57" s="24"/>
      <c r="K57" s="24"/>
      <c r="L57" s="24"/>
      <c r="M57" s="24"/>
      <c r="N57" s="24"/>
      <c r="O57" s="24"/>
      <c r="P57" s="24"/>
      <c r="Q57" s="24"/>
    </row>
    <row r="58" spans="2:21" s="233" customFormat="1" ht="36.75" customHeight="1" thickBot="1">
      <c r="B58" s="856" t="s">
        <v>355</v>
      </c>
      <c r="C58" s="972"/>
      <c r="D58" s="972"/>
      <c r="E58" s="972"/>
      <c r="F58" s="972"/>
      <c r="G58" s="972"/>
      <c r="H58" s="972"/>
      <c r="I58" s="972"/>
      <c r="J58" s="972"/>
      <c r="K58" s="972"/>
      <c r="L58" s="972"/>
      <c r="M58" s="972"/>
      <c r="N58" s="66"/>
      <c r="O58" s="66"/>
      <c r="P58" s="66"/>
      <c r="Q58" s="66"/>
      <c r="R58" s="66"/>
      <c r="S58" s="66"/>
      <c r="T58" s="66"/>
      <c r="U58" s="66"/>
    </row>
    <row r="59" spans="2:21" s="234" customFormat="1" ht="15.75" customHeight="1">
      <c r="B59" s="3528"/>
      <c r="C59" s="3531" t="s">
        <v>36</v>
      </c>
      <c r="D59" s="3532"/>
      <c r="E59" s="3532"/>
      <c r="F59" s="3532"/>
      <c r="G59" s="3532"/>
      <c r="H59" s="3533" t="s">
        <v>37</v>
      </c>
      <c r="I59" s="3533"/>
      <c r="J59" s="3533"/>
      <c r="K59" s="3533"/>
      <c r="L59" s="3533"/>
      <c r="M59" s="3534"/>
      <c r="N59" s="66"/>
      <c r="O59" s="66"/>
      <c r="P59" s="66"/>
      <c r="Q59" s="66"/>
      <c r="R59" s="66"/>
      <c r="S59" s="66"/>
      <c r="T59" s="66"/>
      <c r="U59" s="66"/>
    </row>
    <row r="60" spans="2:21" s="234" customFormat="1" ht="15.75" customHeight="1">
      <c r="B60" s="3529"/>
      <c r="C60" s="3541" t="s">
        <v>392</v>
      </c>
      <c r="D60" s="3542"/>
      <c r="E60" s="3542"/>
      <c r="F60" s="3542"/>
      <c r="G60" s="3542"/>
      <c r="H60" s="3539" t="str">
        <f>CONCATENATE("$0's, Real ",dms_DollarReal)</f>
        <v>$0's, Real December 2017</v>
      </c>
      <c r="I60" s="3539"/>
      <c r="J60" s="3539"/>
      <c r="K60" s="3539"/>
      <c r="L60" s="3539"/>
      <c r="M60" s="3540"/>
      <c r="N60" s="66"/>
      <c r="O60" s="66"/>
      <c r="P60" s="66"/>
      <c r="Q60" s="66"/>
      <c r="R60" s="66"/>
      <c r="S60" s="66"/>
      <c r="T60" s="66"/>
      <c r="U60" s="66"/>
    </row>
    <row r="61" spans="2:21" s="234" customFormat="1" ht="15" customHeight="1">
      <c r="B61" s="3529"/>
      <c r="C61" s="3536" t="s">
        <v>74</v>
      </c>
      <c r="D61" s="3537"/>
      <c r="E61" s="3537"/>
      <c r="F61" s="3537"/>
      <c r="G61" s="3537"/>
      <c r="H61" s="3537"/>
      <c r="I61" s="3537"/>
      <c r="J61" s="3537"/>
      <c r="K61" s="3537"/>
      <c r="L61" s="3537"/>
      <c r="M61" s="3538"/>
      <c r="N61" s="66"/>
      <c r="O61" s="66"/>
      <c r="P61" s="66"/>
      <c r="Q61" s="66"/>
      <c r="R61" s="66"/>
      <c r="S61" s="66"/>
      <c r="T61" s="66"/>
      <c r="U61" s="66"/>
    </row>
    <row r="62" spans="2:21" s="234" customFormat="1" ht="16.5" thickBot="1">
      <c r="B62" s="3530"/>
      <c r="C62" s="279">
        <f>PRCP_y1</f>
        <v>2008</v>
      </c>
      <c r="D62" s="280">
        <f>PRCP_y2</f>
        <v>2009</v>
      </c>
      <c r="E62" s="280">
        <f>PRCP_y3</f>
        <v>2010</v>
      </c>
      <c r="F62" s="280">
        <f>PRCP_y4</f>
        <v>2011</v>
      </c>
      <c r="G62" s="280">
        <f>PRCP_y5</f>
        <v>2012</v>
      </c>
      <c r="H62" s="863">
        <f>CRCP_y1</f>
        <v>2013</v>
      </c>
      <c r="I62" s="863">
        <f>CRCP_y2</f>
        <v>2014</v>
      </c>
      <c r="J62" s="863">
        <f>CRCP_y3</f>
        <v>2015</v>
      </c>
      <c r="K62" s="863">
        <f>CRCP_y4</f>
        <v>2016</v>
      </c>
      <c r="L62" s="863">
        <f>CRCP_y5</f>
        <v>2017</v>
      </c>
      <c r="M62" s="870">
        <f>CRCP_y6</f>
        <v>2018</v>
      </c>
      <c r="N62" s="66"/>
      <c r="O62" s="66"/>
      <c r="P62" s="66"/>
      <c r="Q62" s="66"/>
      <c r="R62" s="66"/>
      <c r="S62" s="66"/>
      <c r="T62" s="66"/>
      <c r="U62" s="66"/>
    </row>
    <row r="63" spans="2:21" ht="12.75" customHeight="1">
      <c r="B63" s="236" t="s">
        <v>154</v>
      </c>
      <c r="C63" s="864"/>
      <c r="D63" s="865"/>
      <c r="E63" s="865"/>
      <c r="F63" s="865"/>
      <c r="G63" s="866"/>
      <c r="H63" s="1249"/>
      <c r="I63" s="1250"/>
      <c r="J63" s="1250"/>
      <c r="K63" s="1250"/>
      <c r="L63" s="1250"/>
      <c r="M63" s="1251"/>
    </row>
    <row r="64" spans="2:21" ht="12.75" customHeight="1" outlineLevel="1">
      <c r="B64" s="237" t="s">
        <v>138</v>
      </c>
      <c r="C64" s="238" t="e">
        <f>#REF!</f>
        <v>#REF!</v>
      </c>
      <c r="D64" s="239" t="e">
        <f>#REF!</f>
        <v>#REF!</v>
      </c>
      <c r="E64" s="239" t="e">
        <f>#REF!</f>
        <v>#REF!</v>
      </c>
      <c r="F64" s="239" t="e">
        <f>#REF!</f>
        <v>#REF!</v>
      </c>
      <c r="G64" s="258" t="e">
        <f>#REF!</f>
        <v>#REF!</v>
      </c>
      <c r="H64" s="238" t="e">
        <f>#REF!</f>
        <v>#REF!</v>
      </c>
      <c r="I64" s="239" t="e">
        <f>#REF!</f>
        <v>#REF!</v>
      </c>
      <c r="J64" s="239" t="e">
        <f>#REF!</f>
        <v>#REF!</v>
      </c>
      <c r="K64" s="239" t="e">
        <f>#REF!</f>
        <v>#REF!</v>
      </c>
      <c r="L64" s="239" t="e">
        <f>#REF!</f>
        <v>#REF!</v>
      </c>
      <c r="M64" s="272"/>
      <c r="N64" s="134"/>
      <c r="O64" s="134"/>
      <c r="P64" s="134"/>
      <c r="Q64" s="134"/>
    </row>
    <row r="65" spans="1:17" outlineLevel="1">
      <c r="B65" s="237" t="s">
        <v>139</v>
      </c>
      <c r="C65" s="238" t="e">
        <f>#REF!</f>
        <v>#REF!</v>
      </c>
      <c r="D65" s="281" t="e">
        <f>#REF!</f>
        <v>#REF!</v>
      </c>
      <c r="E65" s="281" t="e">
        <f>#REF!</f>
        <v>#REF!</v>
      </c>
      <c r="F65" s="281" t="e">
        <f>#REF!</f>
        <v>#REF!</v>
      </c>
      <c r="G65" s="282" t="e">
        <f>#REF!</f>
        <v>#REF!</v>
      </c>
      <c r="H65" s="283" t="e">
        <f>#REF!</f>
        <v>#REF!</v>
      </c>
      <c r="I65" s="281" t="e">
        <f>#REF!</f>
        <v>#REF!</v>
      </c>
      <c r="J65" s="281" t="e">
        <f>#REF!</f>
        <v>#REF!</v>
      </c>
      <c r="K65" s="281" t="e">
        <f>#REF!</f>
        <v>#REF!</v>
      </c>
      <c r="L65" s="281" t="e">
        <f>#REF!</f>
        <v>#REF!</v>
      </c>
      <c r="M65" s="1252"/>
      <c r="N65" s="134"/>
      <c r="O65" s="134"/>
      <c r="P65" s="134"/>
      <c r="Q65" s="134"/>
    </row>
    <row r="66" spans="1:17">
      <c r="B66" s="237" t="s">
        <v>140</v>
      </c>
      <c r="C66" s="238" t="e">
        <f>#REF!</f>
        <v>#REF!</v>
      </c>
      <c r="D66" s="245" t="e">
        <f>#REF!</f>
        <v>#REF!</v>
      </c>
      <c r="E66" s="245" t="e">
        <f>#REF!</f>
        <v>#REF!</v>
      </c>
      <c r="F66" s="245" t="e">
        <f>#REF!</f>
        <v>#REF!</v>
      </c>
      <c r="G66" s="260" t="e">
        <f>#REF!</f>
        <v>#REF!</v>
      </c>
      <c r="H66" s="238" t="e">
        <f>#REF!</f>
        <v>#REF!</v>
      </c>
      <c r="I66" s="239" t="e">
        <f>#REF!</f>
        <v>#REF!</v>
      </c>
      <c r="J66" s="239" t="e">
        <f>#REF!</f>
        <v>#REF!</v>
      </c>
      <c r="K66" s="239" t="e">
        <f>#REF!</f>
        <v>#REF!</v>
      </c>
      <c r="L66" s="239" t="e">
        <f>#REF!</f>
        <v>#REF!</v>
      </c>
      <c r="M66" s="272"/>
      <c r="N66" s="134"/>
      <c r="O66" s="134"/>
      <c r="P66" s="134"/>
      <c r="Q66" s="134"/>
    </row>
    <row r="67" spans="1:17">
      <c r="B67" s="240" t="s">
        <v>155</v>
      </c>
      <c r="C67" s="241"/>
      <c r="D67" s="242"/>
      <c r="E67" s="242"/>
      <c r="F67" s="242"/>
      <c r="G67" s="259"/>
      <c r="H67" s="241"/>
      <c r="I67" s="242"/>
      <c r="J67" s="242"/>
      <c r="K67" s="242"/>
      <c r="L67" s="242"/>
      <c r="M67" s="273"/>
    </row>
    <row r="68" spans="1:17" s="70" customFormat="1" ht="15" customHeight="1" outlineLevel="1">
      <c r="A68" s="76"/>
      <c r="B68" s="237" t="s">
        <v>138</v>
      </c>
      <c r="C68" s="238">
        <f ca="1">'5. Mains augmentation'!G94</f>
        <v>0</v>
      </c>
      <c r="D68" s="239">
        <f ca="1">'5. Mains augmentation'!H94</f>
        <v>0</v>
      </c>
      <c r="E68" s="239">
        <f ca="1">'5. Mains augmentation'!I94</f>
        <v>0</v>
      </c>
      <c r="F68" s="239">
        <f ca="1">'5. Mains augmentation'!J94</f>
        <v>0</v>
      </c>
      <c r="G68" s="258">
        <f ca="1">'5. Mains augmentation'!K94</f>
        <v>0</v>
      </c>
      <c r="H68" s="238">
        <f ca="1">'5. Mains augmentation'!L94</f>
        <v>0</v>
      </c>
      <c r="I68" s="239">
        <f ca="1">'5. Mains augmentation'!M94</f>
        <v>0</v>
      </c>
      <c r="J68" s="239">
        <f ca="1">'5. Mains augmentation'!O94</f>
        <v>0</v>
      </c>
      <c r="K68" s="239">
        <f ca="1">'5. Mains augmentation'!P94</f>
        <v>0</v>
      </c>
      <c r="L68" s="239" t="e">
        <f>'5. Mains augmentation'!#REF!</f>
        <v>#REF!</v>
      </c>
      <c r="M68" s="272">
        <f>'5. Mains augmentation'!Q94</f>
        <v>0</v>
      </c>
      <c r="N68" s="134"/>
      <c r="O68" s="134"/>
      <c r="P68" s="134"/>
      <c r="Q68" s="134"/>
    </row>
    <row r="69" spans="1:17" s="70" customFormat="1" ht="15" customHeight="1" outlineLevel="1">
      <c r="A69" s="76"/>
      <c r="B69" s="237" t="s">
        <v>139</v>
      </c>
      <c r="C69" s="238" t="e">
        <f>'5. Mains augmentation'!#REF!</f>
        <v>#REF!</v>
      </c>
      <c r="D69" s="281" t="e">
        <f>'5. Mains augmentation'!#REF!</f>
        <v>#REF!</v>
      </c>
      <c r="E69" s="281" t="e">
        <f>'5. Mains augmentation'!#REF!</f>
        <v>#REF!</v>
      </c>
      <c r="F69" s="281" t="e">
        <f>'5. Mains augmentation'!#REF!</f>
        <v>#REF!</v>
      </c>
      <c r="G69" s="282" t="e">
        <f>'5. Mains augmentation'!#REF!</f>
        <v>#REF!</v>
      </c>
      <c r="H69" s="283" t="e">
        <f>'5. Mains augmentation'!#REF!</f>
        <v>#REF!</v>
      </c>
      <c r="I69" s="281" t="e">
        <f>'5. Mains augmentation'!#REF!</f>
        <v>#REF!</v>
      </c>
      <c r="J69" s="281" t="e">
        <f>'5. Mains augmentation'!#REF!</f>
        <v>#REF!</v>
      </c>
      <c r="K69" s="281" t="e">
        <f>'5. Mains augmentation'!#REF!</f>
        <v>#REF!</v>
      </c>
      <c r="L69" s="281" t="e">
        <f>'5. Mains augmentation'!#REF!</f>
        <v>#REF!</v>
      </c>
      <c r="M69" s="1252" t="e">
        <f>'5. Mains augmentation'!#REF!</f>
        <v>#REF!</v>
      </c>
      <c r="N69" s="134"/>
      <c r="O69" s="134"/>
      <c r="P69" s="134"/>
      <c r="Q69" s="134"/>
    </row>
    <row r="70" spans="1:17" s="70" customFormat="1" ht="15" customHeight="1">
      <c r="A70" s="76"/>
      <c r="B70" s="237" t="s">
        <v>140</v>
      </c>
      <c r="C70" s="238" t="e">
        <f>'5. Mains augmentation'!#REF!</f>
        <v>#REF!</v>
      </c>
      <c r="D70" s="245" t="e">
        <f>'5. Mains augmentation'!#REF!</f>
        <v>#REF!</v>
      </c>
      <c r="E70" s="245" t="e">
        <f>'5. Mains augmentation'!#REF!</f>
        <v>#REF!</v>
      </c>
      <c r="F70" s="245" t="e">
        <f>'5. Mains augmentation'!#REF!</f>
        <v>#REF!</v>
      </c>
      <c r="G70" s="260" t="e">
        <f>'5. Mains augmentation'!#REF!</f>
        <v>#REF!</v>
      </c>
      <c r="H70" s="238" t="e">
        <f>'5. Mains augmentation'!#REF!</f>
        <v>#REF!</v>
      </c>
      <c r="I70" s="239" t="e">
        <f>'5. Mains augmentation'!#REF!</f>
        <v>#REF!</v>
      </c>
      <c r="J70" s="239" t="e">
        <f>'5. Mains augmentation'!#REF!</f>
        <v>#REF!</v>
      </c>
      <c r="K70" s="239" t="e">
        <f>'5. Mains augmentation'!#REF!</f>
        <v>#REF!</v>
      </c>
      <c r="L70" s="239" t="e">
        <f>'5. Mains augmentation'!#REF!</f>
        <v>#REF!</v>
      </c>
      <c r="M70" s="272" t="e">
        <f>'5. Mains augmentation'!#REF!</f>
        <v>#REF!</v>
      </c>
      <c r="N70" s="134"/>
      <c r="O70" s="134"/>
      <c r="P70" s="134"/>
      <c r="Q70" s="134"/>
    </row>
    <row r="71" spans="1:17" ht="12.75" customHeight="1">
      <c r="B71" s="240" t="s">
        <v>156</v>
      </c>
      <c r="C71" s="241"/>
      <c r="D71" s="242"/>
      <c r="E71" s="242"/>
      <c r="F71" s="242"/>
      <c r="G71" s="259"/>
      <c r="H71" s="241"/>
      <c r="I71" s="242"/>
      <c r="J71" s="242"/>
      <c r="K71" s="242"/>
      <c r="L71" s="242"/>
      <c r="M71" s="273"/>
    </row>
    <row r="72" spans="1:17" ht="15" customHeight="1" outlineLevel="2">
      <c r="B72" s="237" t="s">
        <v>138</v>
      </c>
      <c r="C72" s="238">
        <f ca="1">'6. Mains replacement'!W144</f>
        <v>0</v>
      </c>
      <c r="D72" s="239">
        <f ca="1">'6. Mains replacement'!X144</f>
        <v>0</v>
      </c>
      <c r="E72" s="239">
        <f ca="1">'6. Mains replacement'!Y144</f>
        <v>0</v>
      </c>
      <c r="F72" s="239">
        <f ca="1">'6. Mains replacement'!Z144</f>
        <v>0</v>
      </c>
      <c r="G72" s="258">
        <f ca="1">'6. Mains replacement'!AA144</f>
        <v>0</v>
      </c>
      <c r="H72" s="238">
        <f ca="1">'6. Mains replacement'!AC144</f>
        <v>0</v>
      </c>
      <c r="I72" s="239">
        <f ca="1">'6. Mains replacement'!AD144</f>
        <v>0</v>
      </c>
      <c r="J72" s="239">
        <f ca="1">'6. Mains replacement'!AE144</f>
        <v>0</v>
      </c>
      <c r="K72" s="239">
        <f ca="1">'6. Mains replacement'!AG144</f>
        <v>0</v>
      </c>
      <c r="L72" s="239" t="e">
        <f>'6. Mains replacement'!#REF!</f>
        <v>#REF!</v>
      </c>
      <c r="M72" s="272"/>
      <c r="N72" s="134"/>
      <c r="O72" s="134"/>
      <c r="P72" s="134"/>
      <c r="Q72" s="134"/>
    </row>
    <row r="73" spans="1:17" ht="15" customHeight="1" outlineLevel="2">
      <c r="B73" s="237" t="s">
        <v>139</v>
      </c>
      <c r="C73" s="238" t="e">
        <f>'6. Mains replacement'!#REF!</f>
        <v>#REF!</v>
      </c>
      <c r="D73" s="281" t="e">
        <f>'6. Mains replacement'!#REF!</f>
        <v>#REF!</v>
      </c>
      <c r="E73" s="281" t="e">
        <f>'6. Mains replacement'!#REF!</f>
        <v>#REF!</v>
      </c>
      <c r="F73" s="281" t="e">
        <f>'6. Mains replacement'!#REF!</f>
        <v>#REF!</v>
      </c>
      <c r="G73" s="282" t="e">
        <f>'6. Mains replacement'!#REF!</f>
        <v>#REF!</v>
      </c>
      <c r="H73" s="283" t="e">
        <f>'6. Mains replacement'!#REF!</f>
        <v>#REF!</v>
      </c>
      <c r="I73" s="281" t="e">
        <f>'6. Mains replacement'!#REF!</f>
        <v>#REF!</v>
      </c>
      <c r="J73" s="281" t="e">
        <f>'6. Mains replacement'!#REF!</f>
        <v>#REF!</v>
      </c>
      <c r="K73" s="281" t="e">
        <f>'6. Mains replacement'!#REF!</f>
        <v>#REF!</v>
      </c>
      <c r="L73" s="281" t="e">
        <f>'6. Mains replacement'!#REF!</f>
        <v>#REF!</v>
      </c>
      <c r="M73" s="1252"/>
      <c r="N73" s="134"/>
      <c r="O73" s="134"/>
      <c r="P73" s="134"/>
      <c r="Q73" s="134"/>
    </row>
    <row r="74" spans="1:17" ht="12.75" customHeight="1">
      <c r="B74" s="237" t="s">
        <v>140</v>
      </c>
      <c r="C74" s="238">
        <f ca="1">'6. Mains replacement'!W146</f>
        <v>0</v>
      </c>
      <c r="D74" s="245">
        <f ca="1">'6. Mains replacement'!X146</f>
        <v>0</v>
      </c>
      <c r="E74" s="245">
        <f ca="1">'6. Mains replacement'!Y146</f>
        <v>0</v>
      </c>
      <c r="F74" s="245">
        <f ca="1">'6. Mains replacement'!Z146</f>
        <v>0</v>
      </c>
      <c r="G74" s="260">
        <f ca="1">'6. Mains replacement'!AA146</f>
        <v>0</v>
      </c>
      <c r="H74" s="238">
        <f ca="1">'6. Mains replacement'!AC146</f>
        <v>0</v>
      </c>
      <c r="I74" s="239">
        <f ca="1">'6. Mains replacement'!AD146</f>
        <v>0</v>
      </c>
      <c r="J74" s="239">
        <f ca="1">'6. Mains replacement'!AE146</f>
        <v>0</v>
      </c>
      <c r="K74" s="239">
        <f ca="1">'6. Mains replacement'!AG146</f>
        <v>0</v>
      </c>
      <c r="L74" s="239" t="e">
        <f>'6. Mains replacement'!#REF!</f>
        <v>#REF!</v>
      </c>
      <c r="M74" s="272"/>
      <c r="N74" s="134"/>
      <c r="O74" s="134"/>
      <c r="P74" s="134"/>
      <c r="Q74" s="134"/>
    </row>
    <row r="75" spans="1:17">
      <c r="B75" s="240" t="s">
        <v>157</v>
      </c>
      <c r="C75" s="241"/>
      <c r="D75" s="242"/>
      <c r="E75" s="242"/>
      <c r="F75" s="242"/>
      <c r="G75" s="259"/>
      <c r="H75" s="241"/>
      <c r="I75" s="242"/>
      <c r="J75" s="242"/>
      <c r="K75" s="242"/>
      <c r="L75" s="242"/>
      <c r="M75" s="273"/>
    </row>
    <row r="76" spans="1:17">
      <c r="B76" s="237" t="s">
        <v>138</v>
      </c>
      <c r="C76" s="238"/>
      <c r="D76" s="239"/>
      <c r="E76" s="239"/>
      <c r="F76" s="239"/>
      <c r="G76" s="258"/>
      <c r="H76" s="238"/>
      <c r="I76" s="239"/>
      <c r="J76" s="239"/>
      <c r="K76" s="239"/>
      <c r="L76" s="239"/>
      <c r="M76" s="272"/>
      <c r="N76" s="134"/>
      <c r="O76" s="134"/>
      <c r="P76" s="134"/>
      <c r="Q76" s="134"/>
    </row>
    <row r="77" spans="1:17">
      <c r="B77" s="237" t="s">
        <v>139</v>
      </c>
      <c r="C77" s="238"/>
      <c r="D77" s="281"/>
      <c r="E77" s="281"/>
      <c r="F77" s="281"/>
      <c r="G77" s="282"/>
      <c r="H77" s="283"/>
      <c r="I77" s="281"/>
      <c r="J77" s="281"/>
      <c r="K77" s="281"/>
      <c r="L77" s="281"/>
      <c r="M77" s="1252"/>
      <c r="N77" s="134"/>
      <c r="O77" s="134"/>
      <c r="P77" s="134"/>
      <c r="Q77" s="134"/>
    </row>
    <row r="78" spans="1:17">
      <c r="B78" s="237" t="s">
        <v>140</v>
      </c>
      <c r="C78" s="238"/>
      <c r="D78" s="245"/>
      <c r="E78" s="245"/>
      <c r="F78" s="245"/>
      <c r="G78" s="260"/>
      <c r="H78" s="238"/>
      <c r="I78" s="239"/>
      <c r="J78" s="239"/>
      <c r="K78" s="239"/>
      <c r="L78" s="239"/>
      <c r="M78" s="272"/>
      <c r="N78" s="134"/>
      <c r="O78" s="134"/>
      <c r="P78" s="134"/>
      <c r="Q78" s="134"/>
    </row>
    <row r="79" spans="1:17">
      <c r="B79" s="240" t="s">
        <v>158</v>
      </c>
      <c r="C79" s="241"/>
      <c r="D79" s="242"/>
      <c r="E79" s="242"/>
      <c r="F79" s="242"/>
      <c r="G79" s="259"/>
      <c r="H79" s="241"/>
      <c r="I79" s="242"/>
      <c r="J79" s="242"/>
      <c r="K79" s="242"/>
      <c r="L79" s="242"/>
      <c r="M79" s="273"/>
    </row>
    <row r="80" spans="1:17">
      <c r="B80" s="237" t="s">
        <v>138</v>
      </c>
      <c r="C80" s="238">
        <f ca="1">'8. Meter replacement'!D158</f>
        <v>0</v>
      </c>
      <c r="D80" s="239">
        <f ca="1">'8. Meter replacement'!E158</f>
        <v>0</v>
      </c>
      <c r="E80" s="239">
        <f ca="1">'8. Meter replacement'!F158</f>
        <v>0</v>
      </c>
      <c r="F80" s="239">
        <f ca="1">'8. Meter replacement'!G158</f>
        <v>0</v>
      </c>
      <c r="G80" s="258">
        <f ca="1">'8. Meter replacement'!H158</f>
        <v>0</v>
      </c>
      <c r="H80" s="238">
        <f ca="1">'8. Meter replacement'!I158</f>
        <v>0</v>
      </c>
      <c r="I80" s="239">
        <f ca="1">'8. Meter replacement'!K158</f>
        <v>0</v>
      </c>
      <c r="J80" s="239">
        <f ca="1">'8. Meter replacement'!L158</f>
        <v>0</v>
      </c>
      <c r="K80" s="239">
        <f ca="1">'8. Meter replacement'!M158</f>
        <v>0</v>
      </c>
      <c r="L80" s="239" t="e">
        <f>'8. Meter replacement'!#REF!</f>
        <v>#REF!</v>
      </c>
      <c r="M80" s="272">
        <f>'8. Meter replacement'!N158</f>
        <v>0</v>
      </c>
      <c r="N80" s="134"/>
      <c r="O80" s="134"/>
      <c r="P80" s="134"/>
      <c r="Q80" s="134"/>
    </row>
    <row r="81" spans="1:17">
      <c r="B81" s="237" t="s">
        <v>139</v>
      </c>
      <c r="C81" s="238" t="e">
        <f>'8. Meter replacement'!#REF!</f>
        <v>#REF!</v>
      </c>
      <c r="D81" s="281" t="e">
        <f>'8. Meter replacement'!#REF!</f>
        <v>#REF!</v>
      </c>
      <c r="E81" s="281" t="e">
        <f>'8. Meter replacement'!#REF!</f>
        <v>#REF!</v>
      </c>
      <c r="F81" s="281" t="e">
        <f>'8. Meter replacement'!#REF!</f>
        <v>#REF!</v>
      </c>
      <c r="G81" s="282" t="e">
        <f>'8. Meter replacement'!#REF!</f>
        <v>#REF!</v>
      </c>
      <c r="H81" s="283" t="e">
        <f>'8. Meter replacement'!#REF!</f>
        <v>#REF!</v>
      </c>
      <c r="I81" s="281" t="e">
        <f>'8. Meter replacement'!#REF!</f>
        <v>#REF!</v>
      </c>
      <c r="J81" s="281" t="e">
        <f>'8. Meter replacement'!#REF!</f>
        <v>#REF!</v>
      </c>
      <c r="K81" s="281" t="e">
        <f>'8. Meter replacement'!#REF!</f>
        <v>#REF!</v>
      </c>
      <c r="L81" s="281" t="e">
        <f>'8. Meter replacement'!#REF!</f>
        <v>#REF!</v>
      </c>
      <c r="M81" s="1252" t="e">
        <f>'8. Meter replacement'!#REF!</f>
        <v>#REF!</v>
      </c>
      <c r="N81" s="134"/>
      <c r="O81" s="134"/>
      <c r="P81" s="134"/>
      <c r="Q81" s="134"/>
    </row>
    <row r="82" spans="1:17">
      <c r="B82" s="237" t="s">
        <v>140</v>
      </c>
      <c r="C82" s="238" t="e">
        <f>'8. Meter replacement'!#REF!</f>
        <v>#REF!</v>
      </c>
      <c r="D82" s="245" t="e">
        <f>'8. Meter replacement'!#REF!</f>
        <v>#REF!</v>
      </c>
      <c r="E82" s="245" t="e">
        <f>'8. Meter replacement'!#REF!</f>
        <v>#REF!</v>
      </c>
      <c r="F82" s="245" t="e">
        <f>'8. Meter replacement'!#REF!</f>
        <v>#REF!</v>
      </c>
      <c r="G82" s="260" t="e">
        <f>'8. Meter replacement'!#REF!</f>
        <v>#REF!</v>
      </c>
      <c r="H82" s="238" t="e">
        <f>'8. Meter replacement'!#REF!</f>
        <v>#REF!</v>
      </c>
      <c r="I82" s="239" t="e">
        <f>'8. Meter replacement'!#REF!</f>
        <v>#REF!</v>
      </c>
      <c r="J82" s="239" t="e">
        <f>'8. Meter replacement'!#REF!</f>
        <v>#REF!</v>
      </c>
      <c r="K82" s="239" t="e">
        <f>'8. Meter replacement'!#REF!</f>
        <v>#REF!</v>
      </c>
      <c r="L82" s="239" t="e">
        <f>'8. Meter replacement'!#REF!</f>
        <v>#REF!</v>
      </c>
      <c r="M82" s="272" t="e">
        <f>'8. Meter replacement'!#REF!</f>
        <v>#REF!</v>
      </c>
      <c r="N82" s="134"/>
      <c r="O82" s="134"/>
      <c r="P82" s="134"/>
      <c r="Q82" s="134"/>
    </row>
    <row r="83" spans="1:17">
      <c r="B83" s="240" t="s">
        <v>56</v>
      </c>
      <c r="C83" s="241"/>
      <c r="D83" s="242"/>
      <c r="E83" s="242"/>
      <c r="F83" s="242"/>
      <c r="G83" s="259"/>
      <c r="H83" s="241"/>
      <c r="I83" s="242"/>
      <c r="J83" s="242"/>
      <c r="K83" s="242"/>
      <c r="L83" s="242"/>
      <c r="M83" s="273"/>
    </row>
    <row r="84" spans="1:17">
      <c r="B84" s="237" t="s">
        <v>138</v>
      </c>
      <c r="C84" s="284"/>
      <c r="D84" s="239"/>
      <c r="E84" s="239"/>
      <c r="F84" s="239"/>
      <c r="G84" s="258"/>
      <c r="H84" s="238"/>
      <c r="I84" s="239"/>
      <c r="J84" s="239"/>
      <c r="K84" s="239"/>
      <c r="L84" s="239"/>
      <c r="M84" s="272"/>
      <c r="N84" s="134"/>
      <c r="O84" s="134"/>
      <c r="P84" s="134"/>
      <c r="Q84" s="134"/>
    </row>
    <row r="85" spans="1:17" s="79" customFormat="1">
      <c r="B85" s="237" t="s">
        <v>139</v>
      </c>
      <c r="C85" s="284"/>
      <c r="D85" s="281"/>
      <c r="E85" s="281"/>
      <c r="F85" s="281"/>
      <c r="G85" s="282"/>
      <c r="H85" s="283"/>
      <c r="I85" s="281"/>
      <c r="J85" s="281"/>
      <c r="K85" s="281"/>
      <c r="L85" s="281"/>
      <c r="M85" s="1252"/>
      <c r="N85" s="134"/>
      <c r="O85" s="134"/>
      <c r="P85" s="134"/>
      <c r="Q85" s="134"/>
    </row>
    <row r="86" spans="1:17" ht="15" customHeight="1">
      <c r="A86" s="79"/>
      <c r="B86" s="237" t="s">
        <v>140</v>
      </c>
      <c r="C86" s="284"/>
      <c r="D86" s="245"/>
      <c r="E86" s="245"/>
      <c r="F86" s="245"/>
      <c r="G86" s="260"/>
      <c r="H86" s="238"/>
      <c r="I86" s="239"/>
      <c r="J86" s="239"/>
      <c r="K86" s="239"/>
      <c r="L86" s="239"/>
      <c r="M86" s="272"/>
      <c r="N86" s="133"/>
      <c r="O86" s="133"/>
      <c r="P86" s="133"/>
      <c r="Q86" s="133"/>
    </row>
    <row r="87" spans="1:17">
      <c r="B87" s="240" t="s">
        <v>282</v>
      </c>
      <c r="C87" s="241"/>
      <c r="D87" s="242"/>
      <c r="E87" s="242"/>
      <c r="F87" s="242"/>
      <c r="G87" s="259"/>
      <c r="H87" s="241"/>
      <c r="I87" s="242"/>
      <c r="J87" s="242"/>
      <c r="K87" s="242"/>
      <c r="L87" s="242"/>
      <c r="M87" s="273"/>
      <c r="N87" s="134"/>
      <c r="O87" s="134"/>
      <c r="P87" s="134"/>
      <c r="Q87" s="134"/>
    </row>
    <row r="88" spans="1:17" ht="12.75" customHeight="1">
      <c r="B88" s="237" t="s">
        <v>138</v>
      </c>
      <c r="C88" s="238">
        <f>'9. Other capex'!G94</f>
        <v>0</v>
      </c>
      <c r="D88" s="239">
        <f>'9. Other capex'!H94</f>
        <v>0</v>
      </c>
      <c r="E88" s="239">
        <f>'9. Other capex'!I94</f>
        <v>0</v>
      </c>
      <c r="F88" s="239">
        <f>'9. Other capex'!J94</f>
        <v>0</v>
      </c>
      <c r="G88" s="258">
        <f>'9. Other capex'!K94</f>
        <v>0</v>
      </c>
      <c r="H88" s="238">
        <f>'9. Other capex'!M94</f>
        <v>0</v>
      </c>
      <c r="I88" s="239">
        <f>'9. Other capex'!N94</f>
        <v>0</v>
      </c>
      <c r="J88" s="239">
        <f>'9. Other capex'!O94</f>
        <v>0</v>
      </c>
      <c r="K88" s="239">
        <f>'9. Other capex'!P94</f>
        <v>0</v>
      </c>
      <c r="L88" s="239" t="e">
        <f>'9. Other capex'!#REF!</f>
        <v>#REF!</v>
      </c>
      <c r="M88" s="272">
        <f>'9. Other capex'!Q94</f>
        <v>0</v>
      </c>
      <c r="N88" s="134"/>
      <c r="O88" s="134"/>
      <c r="P88" s="134"/>
      <c r="Q88" s="134"/>
    </row>
    <row r="89" spans="1:17">
      <c r="B89" s="237" t="s">
        <v>139</v>
      </c>
      <c r="C89" s="238" t="e">
        <f>'9. Other capex'!#REF!</f>
        <v>#REF!</v>
      </c>
      <c r="D89" s="281" t="e">
        <f>'9. Other capex'!#REF!</f>
        <v>#REF!</v>
      </c>
      <c r="E89" s="281" t="e">
        <f>'9. Other capex'!#REF!</f>
        <v>#REF!</v>
      </c>
      <c r="F89" s="281" t="e">
        <f>'9. Other capex'!#REF!</f>
        <v>#REF!</v>
      </c>
      <c r="G89" s="282" t="e">
        <f>'9. Other capex'!#REF!</f>
        <v>#REF!</v>
      </c>
      <c r="H89" s="283" t="e">
        <f>'9. Other capex'!#REF!</f>
        <v>#REF!</v>
      </c>
      <c r="I89" s="281" t="e">
        <f>'9. Other capex'!#REF!</f>
        <v>#REF!</v>
      </c>
      <c r="J89" s="281" t="e">
        <f>'9. Other capex'!#REF!</f>
        <v>#REF!</v>
      </c>
      <c r="K89" s="281" t="e">
        <f>'9. Other capex'!#REF!</f>
        <v>#REF!</v>
      </c>
      <c r="L89" s="281" t="e">
        <f>'9. Other capex'!#REF!</f>
        <v>#REF!</v>
      </c>
      <c r="M89" s="1252" t="e">
        <f>'9. Other capex'!#REF!</f>
        <v>#REF!</v>
      </c>
      <c r="N89" s="134"/>
      <c r="O89" s="134"/>
      <c r="P89" s="134"/>
      <c r="Q89" s="134"/>
    </row>
    <row r="90" spans="1:17" ht="15.75" customHeight="1">
      <c r="A90" s="79"/>
      <c r="B90" s="237" t="s">
        <v>140</v>
      </c>
      <c r="C90" s="238" t="e">
        <f>'9. Other capex'!#REF!</f>
        <v>#REF!</v>
      </c>
      <c r="D90" s="245" t="e">
        <f>'9. Other capex'!#REF!</f>
        <v>#REF!</v>
      </c>
      <c r="E90" s="245" t="e">
        <f>'9. Other capex'!#REF!</f>
        <v>#REF!</v>
      </c>
      <c r="F90" s="245" t="e">
        <f>'9. Other capex'!#REF!</f>
        <v>#REF!</v>
      </c>
      <c r="G90" s="260" t="e">
        <f>'9. Other capex'!#REF!</f>
        <v>#REF!</v>
      </c>
      <c r="H90" s="238" t="e">
        <f>'9. Other capex'!#REF!</f>
        <v>#REF!</v>
      </c>
      <c r="I90" s="239" t="e">
        <f>'9. Other capex'!#REF!</f>
        <v>#REF!</v>
      </c>
      <c r="J90" s="239" t="e">
        <f>'9. Other capex'!#REF!</f>
        <v>#REF!</v>
      </c>
      <c r="K90" s="239" t="e">
        <f>'9. Other capex'!#REF!</f>
        <v>#REF!</v>
      </c>
      <c r="L90" s="239" t="e">
        <f>'9. Other capex'!#REF!</f>
        <v>#REF!</v>
      </c>
      <c r="M90" s="272" t="e">
        <f>'9. Other capex'!#REF!</f>
        <v>#REF!</v>
      </c>
      <c r="N90" s="134"/>
      <c r="O90" s="134"/>
      <c r="P90" s="134"/>
      <c r="Q90" s="134"/>
    </row>
    <row r="91" spans="1:17">
      <c r="B91" s="240" t="s">
        <v>62</v>
      </c>
      <c r="C91" s="241"/>
      <c r="D91" s="242"/>
      <c r="E91" s="242"/>
      <c r="F91" s="242"/>
      <c r="G91" s="259"/>
      <c r="H91" s="241"/>
      <c r="I91" s="242"/>
      <c r="J91" s="242"/>
      <c r="K91" s="242"/>
      <c r="L91" s="242"/>
      <c r="M91" s="273"/>
      <c r="N91" s="134"/>
      <c r="O91" s="134"/>
      <c r="P91" s="134"/>
      <c r="Q91" s="134"/>
    </row>
    <row r="92" spans="1:17">
      <c r="B92" s="237" t="s">
        <v>138</v>
      </c>
      <c r="C92" s="238" t="e">
        <f>#REF!</f>
        <v>#REF!</v>
      </c>
      <c r="D92" s="239" t="e">
        <f>#REF!</f>
        <v>#REF!</v>
      </c>
      <c r="E92" s="239" t="e">
        <f>#REF!</f>
        <v>#REF!</v>
      </c>
      <c r="F92" s="239" t="e">
        <f>#REF!</f>
        <v>#REF!</v>
      </c>
      <c r="G92" s="258" t="e">
        <f>#REF!</f>
        <v>#REF!</v>
      </c>
      <c r="H92" s="238" t="e">
        <f>#REF!</f>
        <v>#REF!</v>
      </c>
      <c r="I92" s="239" t="e">
        <f>#REF!</f>
        <v>#REF!</v>
      </c>
      <c r="J92" s="239" t="e">
        <f>#REF!</f>
        <v>#REF!</v>
      </c>
      <c r="K92" s="239" t="e">
        <f>#REF!</f>
        <v>#REF!</v>
      </c>
      <c r="L92" s="239" t="e">
        <f>#REF!</f>
        <v>#REF!</v>
      </c>
      <c r="M92" s="272" t="e">
        <f>#REF!</f>
        <v>#REF!</v>
      </c>
      <c r="N92" s="134"/>
      <c r="O92" s="134"/>
      <c r="P92" s="134"/>
      <c r="Q92" s="134"/>
    </row>
    <row r="93" spans="1:17">
      <c r="B93" s="237" t="s">
        <v>139</v>
      </c>
      <c r="C93" s="238" t="e">
        <f>#REF!</f>
        <v>#REF!</v>
      </c>
      <c r="D93" s="281" t="e">
        <f>#REF!</f>
        <v>#REF!</v>
      </c>
      <c r="E93" s="281" t="e">
        <f>#REF!</f>
        <v>#REF!</v>
      </c>
      <c r="F93" s="281" t="e">
        <f>#REF!</f>
        <v>#REF!</v>
      </c>
      <c r="G93" s="282" t="e">
        <f>#REF!</f>
        <v>#REF!</v>
      </c>
      <c r="H93" s="283" t="e">
        <f>#REF!</f>
        <v>#REF!</v>
      </c>
      <c r="I93" s="281" t="e">
        <f>#REF!</f>
        <v>#REF!</v>
      </c>
      <c r="J93" s="281" t="e">
        <f>#REF!</f>
        <v>#REF!</v>
      </c>
      <c r="K93" s="281" t="e">
        <f>#REF!</f>
        <v>#REF!</v>
      </c>
      <c r="L93" s="281" t="e">
        <f>#REF!</f>
        <v>#REF!</v>
      </c>
      <c r="M93" s="1252" t="e">
        <f>#REF!</f>
        <v>#REF!</v>
      </c>
      <c r="N93" s="134"/>
      <c r="O93" s="134"/>
      <c r="P93" s="134"/>
      <c r="Q93" s="134"/>
    </row>
    <row r="94" spans="1:17">
      <c r="B94" s="237" t="s">
        <v>140</v>
      </c>
      <c r="C94" s="238" t="e">
        <f>#REF!</f>
        <v>#REF!</v>
      </c>
      <c r="D94" s="245" t="e">
        <f>#REF!</f>
        <v>#REF!</v>
      </c>
      <c r="E94" s="245" t="e">
        <f>#REF!</f>
        <v>#REF!</v>
      </c>
      <c r="F94" s="245" t="e">
        <f>#REF!</f>
        <v>#REF!</v>
      </c>
      <c r="G94" s="260" t="e">
        <f>#REF!</f>
        <v>#REF!</v>
      </c>
      <c r="H94" s="238" t="e">
        <f>#REF!</f>
        <v>#REF!</v>
      </c>
      <c r="I94" s="239" t="e">
        <f>#REF!</f>
        <v>#REF!</v>
      </c>
      <c r="J94" s="239" t="e">
        <f>#REF!</f>
        <v>#REF!</v>
      </c>
      <c r="K94" s="239" t="e">
        <f>#REF!</f>
        <v>#REF!</v>
      </c>
      <c r="L94" s="239" t="e">
        <f>#REF!</f>
        <v>#REF!</v>
      </c>
      <c r="M94" s="272" t="e">
        <f>#REF!</f>
        <v>#REF!</v>
      </c>
      <c r="N94" s="134"/>
      <c r="O94" s="134"/>
      <c r="P94" s="134"/>
      <c r="Q94" s="134"/>
    </row>
    <row r="95" spans="1:17">
      <c r="B95" s="240" t="s">
        <v>87</v>
      </c>
      <c r="C95" s="241"/>
      <c r="D95" s="242"/>
      <c r="E95" s="242"/>
      <c r="F95" s="242"/>
      <c r="G95" s="259"/>
      <c r="H95" s="241"/>
      <c r="I95" s="242"/>
      <c r="J95" s="242"/>
      <c r="K95" s="242"/>
      <c r="L95" s="242"/>
      <c r="M95" s="273"/>
      <c r="N95" s="134"/>
      <c r="O95" s="134"/>
      <c r="P95" s="134"/>
      <c r="Q95" s="134"/>
    </row>
    <row r="96" spans="1:17">
      <c r="B96" s="237" t="s">
        <v>134</v>
      </c>
      <c r="C96" s="238">
        <f>'14. Overheads'!C83</f>
        <v>0</v>
      </c>
      <c r="D96" s="239">
        <f>'14. Overheads'!D83</f>
        <v>0</v>
      </c>
      <c r="E96" s="239">
        <f>'14. Overheads'!E83</f>
        <v>0</v>
      </c>
      <c r="F96" s="239">
        <f>'14. Overheads'!F83</f>
        <v>0</v>
      </c>
      <c r="G96" s="258">
        <f>'14. Overheads'!G83</f>
        <v>0</v>
      </c>
      <c r="H96" s="238">
        <f>'14. Overheads'!I83</f>
        <v>0</v>
      </c>
      <c r="I96" s="239">
        <f>'14. Overheads'!J83</f>
        <v>0</v>
      </c>
      <c r="J96" s="239">
        <f>'14. Overheads'!K83</f>
        <v>0</v>
      </c>
      <c r="K96" s="239">
        <f>'14. Overheads'!L83</f>
        <v>0</v>
      </c>
      <c r="L96" s="239" t="e">
        <f>'14. Overheads'!#REF!</f>
        <v>#REF!</v>
      </c>
      <c r="M96" s="272"/>
      <c r="N96" s="134"/>
      <c r="O96" s="134"/>
      <c r="P96" s="134"/>
      <c r="Q96" s="134"/>
    </row>
    <row r="97" spans="2:19">
      <c r="B97" s="240" t="s">
        <v>159</v>
      </c>
      <c r="C97" s="283"/>
      <c r="D97" s="281"/>
      <c r="E97" s="281"/>
      <c r="F97" s="281"/>
      <c r="G97" s="282"/>
      <c r="H97" s="283"/>
      <c r="I97" s="281"/>
      <c r="J97" s="281"/>
      <c r="K97" s="281"/>
      <c r="L97" s="281"/>
      <c r="M97" s="1252"/>
      <c r="N97" s="134"/>
      <c r="O97" s="134"/>
      <c r="P97" s="134"/>
      <c r="Q97" s="134"/>
    </row>
    <row r="98" spans="2:19" ht="13.5" thickBot="1">
      <c r="B98" s="243" t="s">
        <v>19</v>
      </c>
      <c r="C98" s="244">
        <f>'15. Related party transactions'!I141</f>
        <v>0</v>
      </c>
      <c r="D98" s="245">
        <f>'15. Related party transactions'!J141</f>
        <v>0</v>
      </c>
      <c r="E98" s="245">
        <f>'15. Related party transactions'!K141</f>
        <v>0</v>
      </c>
      <c r="F98" s="245">
        <f>'15. Related party transactions'!L141</f>
        <v>0</v>
      </c>
      <c r="G98" s="260">
        <f>'15. Related party transactions'!M141</f>
        <v>0</v>
      </c>
      <c r="H98" s="238">
        <f>'15. Related party transactions'!N141</f>
        <v>0</v>
      </c>
      <c r="I98" s="239">
        <f>'15. Related party transactions'!O141</f>
        <v>0</v>
      </c>
      <c r="J98" s="239">
        <f>'15. Related party transactions'!Q141</f>
        <v>0</v>
      </c>
      <c r="K98" s="239">
        <f>'15. Related party transactions'!R141</f>
        <v>0</v>
      </c>
      <c r="L98" s="239" t="e">
        <f>'15. Related party transactions'!#REF!</f>
        <v>#REF!</v>
      </c>
      <c r="M98" s="272">
        <f>'15. Related party transactions'!S141</f>
        <v>0</v>
      </c>
      <c r="N98" s="134"/>
      <c r="O98" s="134"/>
      <c r="P98" s="134"/>
      <c r="Q98" s="134"/>
    </row>
    <row r="99" spans="2:19">
      <c r="B99" s="285" t="s">
        <v>209</v>
      </c>
      <c r="C99" s="247" t="e">
        <f>SUM(C64,C68,C72,C76,C87,C80,C84,C92)</f>
        <v>#REF!</v>
      </c>
      <c r="D99" s="248" t="e">
        <f t="shared" ref="D99:L99" si="10">SUM(D64,D68,D72,D76,D87,D80,D84,D92)</f>
        <v>#REF!</v>
      </c>
      <c r="E99" s="248" t="e">
        <f t="shared" si="10"/>
        <v>#REF!</v>
      </c>
      <c r="F99" s="248" t="e">
        <f t="shared" si="10"/>
        <v>#REF!</v>
      </c>
      <c r="G99" s="261" t="e">
        <f t="shared" si="10"/>
        <v>#REF!</v>
      </c>
      <c r="H99" s="247" t="e">
        <f t="shared" si="10"/>
        <v>#REF!</v>
      </c>
      <c r="I99" s="248" t="e">
        <f t="shared" si="10"/>
        <v>#REF!</v>
      </c>
      <c r="J99" s="248" t="e">
        <f t="shared" si="10"/>
        <v>#REF!</v>
      </c>
      <c r="K99" s="248" t="e">
        <f t="shared" si="10"/>
        <v>#REF!</v>
      </c>
      <c r="L99" s="248" t="e">
        <f t="shared" si="10"/>
        <v>#REF!</v>
      </c>
      <c r="M99" s="275" t="e">
        <f t="shared" ref="M99" si="11">SUM(M64,M68,M72,M76,M87,M80,M84,M92)</f>
        <v>#REF!</v>
      </c>
      <c r="N99" s="134"/>
      <c r="O99" s="134"/>
      <c r="P99" s="134"/>
      <c r="Q99" s="134"/>
      <c r="R99" s="134"/>
      <c r="S99" s="134"/>
    </row>
    <row r="100" spans="2:19">
      <c r="B100" s="286" t="s">
        <v>144</v>
      </c>
      <c r="C100" s="250" t="e">
        <f>SUM(C65,C69,C73,C77,C88,C81,C85,C93)</f>
        <v>#REF!</v>
      </c>
      <c r="D100" s="251" t="e">
        <f t="shared" ref="D100:L100" si="12">SUM(D65,D69,D73,D77,D88,D81,D85,D93)</f>
        <v>#REF!</v>
      </c>
      <c r="E100" s="251" t="e">
        <f t="shared" si="12"/>
        <v>#REF!</v>
      </c>
      <c r="F100" s="251" t="e">
        <f t="shared" si="12"/>
        <v>#REF!</v>
      </c>
      <c r="G100" s="262" t="e">
        <f t="shared" si="12"/>
        <v>#REF!</v>
      </c>
      <c r="H100" s="250" t="e">
        <f t="shared" si="12"/>
        <v>#REF!</v>
      </c>
      <c r="I100" s="251" t="e">
        <f t="shared" si="12"/>
        <v>#REF!</v>
      </c>
      <c r="J100" s="251" t="e">
        <f t="shared" si="12"/>
        <v>#REF!</v>
      </c>
      <c r="K100" s="251" t="e">
        <f t="shared" si="12"/>
        <v>#REF!</v>
      </c>
      <c r="L100" s="251" t="e">
        <f t="shared" si="12"/>
        <v>#REF!</v>
      </c>
      <c r="M100" s="276" t="e">
        <f t="shared" ref="M100" si="13">SUM(M65,M69,M73,M77,M88,M81,M85,M93)</f>
        <v>#REF!</v>
      </c>
      <c r="N100" s="134"/>
      <c r="O100" s="134"/>
      <c r="P100" s="134"/>
      <c r="Q100" s="134"/>
    </row>
    <row r="101" spans="2:19">
      <c r="B101" s="286" t="s">
        <v>210</v>
      </c>
      <c r="C101" s="250" t="e">
        <f>SUM(C66,C70,C74,C78,C89,C82,C90,C94)</f>
        <v>#REF!</v>
      </c>
      <c r="D101" s="251" t="e">
        <f t="shared" ref="D101:L101" si="14">SUM(D66,D70,D74,D78,D89,D82,D90,D94)</f>
        <v>#REF!</v>
      </c>
      <c r="E101" s="251" t="e">
        <f t="shared" si="14"/>
        <v>#REF!</v>
      </c>
      <c r="F101" s="251" t="e">
        <f t="shared" si="14"/>
        <v>#REF!</v>
      </c>
      <c r="G101" s="262" t="e">
        <f t="shared" si="14"/>
        <v>#REF!</v>
      </c>
      <c r="H101" s="250" t="e">
        <f t="shared" si="14"/>
        <v>#REF!</v>
      </c>
      <c r="I101" s="251" t="e">
        <f t="shared" si="14"/>
        <v>#REF!</v>
      </c>
      <c r="J101" s="251" t="e">
        <f t="shared" si="14"/>
        <v>#REF!</v>
      </c>
      <c r="K101" s="251" t="e">
        <f t="shared" si="14"/>
        <v>#REF!</v>
      </c>
      <c r="L101" s="251" t="e">
        <f t="shared" si="14"/>
        <v>#REF!</v>
      </c>
      <c r="M101" s="276" t="e">
        <f t="shared" ref="M101" si="15">SUM(M66,M70,M74,M78,M89,M82,M90,M94)</f>
        <v>#REF!</v>
      </c>
      <c r="N101" s="134"/>
      <c r="O101" s="134"/>
      <c r="P101" s="134"/>
      <c r="Q101" s="134"/>
    </row>
    <row r="102" spans="2:19">
      <c r="B102" s="286" t="s">
        <v>211</v>
      </c>
      <c r="C102" s="250" t="e">
        <f t="shared" ref="C102" si="16">C101+C96</f>
        <v>#REF!</v>
      </c>
      <c r="D102" s="251" t="e">
        <f t="shared" ref="D102" si="17">D101+D96</f>
        <v>#REF!</v>
      </c>
      <c r="E102" s="251" t="e">
        <f t="shared" ref="E102" si="18">E101+E96</f>
        <v>#REF!</v>
      </c>
      <c r="F102" s="251" t="e">
        <f t="shared" ref="F102" si="19">F101+F96</f>
        <v>#REF!</v>
      </c>
      <c r="G102" s="262" t="e">
        <f t="shared" ref="G102" si="20">G101+G96</f>
        <v>#REF!</v>
      </c>
      <c r="H102" s="250" t="e">
        <f t="shared" ref="H102" si="21">H101+H96</f>
        <v>#REF!</v>
      </c>
      <c r="I102" s="251" t="e">
        <f t="shared" ref="I102" si="22">I101+I96</f>
        <v>#REF!</v>
      </c>
      <c r="J102" s="251" t="e">
        <f t="shared" ref="J102" si="23">J101+J96</f>
        <v>#REF!</v>
      </c>
      <c r="K102" s="251" t="e">
        <f t="shared" ref="K102" si="24">K101+K96</f>
        <v>#REF!</v>
      </c>
      <c r="L102" s="251" t="e">
        <f t="shared" ref="L102:M102" si="25">L101+L96</f>
        <v>#REF!</v>
      </c>
      <c r="M102" s="276" t="e">
        <f t="shared" si="25"/>
        <v>#REF!</v>
      </c>
      <c r="N102" s="134"/>
      <c r="O102" s="134"/>
      <c r="P102" s="134"/>
      <c r="Q102" s="134"/>
    </row>
    <row r="103" spans="2:19">
      <c r="B103" s="286" t="s">
        <v>212</v>
      </c>
      <c r="C103" s="250" t="e">
        <f t="shared" ref="C103" si="26">C102+C98</f>
        <v>#REF!</v>
      </c>
      <c r="D103" s="251" t="e">
        <f t="shared" ref="D103" si="27">D102+D98</f>
        <v>#REF!</v>
      </c>
      <c r="E103" s="251" t="e">
        <f t="shared" ref="E103" si="28">E102+E98</f>
        <v>#REF!</v>
      </c>
      <c r="F103" s="251" t="e">
        <f t="shared" ref="F103" si="29">F102+F98</f>
        <v>#REF!</v>
      </c>
      <c r="G103" s="262" t="e">
        <f t="shared" ref="G103" si="30">G102+G98</f>
        <v>#REF!</v>
      </c>
      <c r="H103" s="250" t="e">
        <f t="shared" ref="H103" si="31">H102+H98</f>
        <v>#REF!</v>
      </c>
      <c r="I103" s="251" t="e">
        <f t="shared" ref="I103" si="32">I102+I98</f>
        <v>#REF!</v>
      </c>
      <c r="J103" s="251" t="e">
        <f t="shared" ref="J103" si="33">J102+J98</f>
        <v>#REF!</v>
      </c>
      <c r="K103" s="251" t="e">
        <f t="shared" ref="K103" si="34">K102+K98</f>
        <v>#REF!</v>
      </c>
      <c r="L103" s="251" t="e">
        <f t="shared" ref="L103:M103" si="35">L102+L98</f>
        <v>#REF!</v>
      </c>
      <c r="M103" s="276" t="e">
        <f t="shared" si="35"/>
        <v>#REF!</v>
      </c>
      <c r="N103" s="134"/>
      <c r="O103" s="134"/>
      <c r="P103" s="134"/>
      <c r="Q103" s="134"/>
    </row>
    <row r="104" spans="2:19">
      <c r="B104" s="252" t="s">
        <v>141</v>
      </c>
      <c r="C104" s="253"/>
      <c r="D104" s="254"/>
      <c r="E104" s="254"/>
      <c r="F104" s="254"/>
      <c r="G104" s="263"/>
      <c r="H104" s="253"/>
      <c r="I104" s="511"/>
      <c r="J104" s="511"/>
      <c r="K104" s="511"/>
      <c r="L104" s="511"/>
      <c r="M104" s="512"/>
      <c r="N104" s="134"/>
      <c r="O104" s="134"/>
      <c r="P104" s="134"/>
      <c r="Q104" s="134"/>
    </row>
    <row r="105" spans="2:19" ht="13.5" thickBot="1">
      <c r="B105" s="287" t="s">
        <v>213</v>
      </c>
      <c r="C105" s="256" t="e">
        <f t="shared" ref="C105:L105" si="36">C103-C104</f>
        <v>#REF!</v>
      </c>
      <c r="D105" s="257" t="e">
        <f t="shared" si="36"/>
        <v>#REF!</v>
      </c>
      <c r="E105" s="257" t="e">
        <f t="shared" si="36"/>
        <v>#REF!</v>
      </c>
      <c r="F105" s="257" t="e">
        <f t="shared" si="36"/>
        <v>#REF!</v>
      </c>
      <c r="G105" s="264" t="e">
        <f t="shared" si="36"/>
        <v>#REF!</v>
      </c>
      <c r="H105" s="256" t="e">
        <f t="shared" si="36"/>
        <v>#REF!</v>
      </c>
      <c r="I105" s="257" t="e">
        <f t="shared" si="36"/>
        <v>#REF!</v>
      </c>
      <c r="J105" s="257" t="e">
        <f t="shared" si="36"/>
        <v>#REF!</v>
      </c>
      <c r="K105" s="257" t="e">
        <f t="shared" si="36"/>
        <v>#REF!</v>
      </c>
      <c r="L105" s="257" t="e">
        <f t="shared" si="36"/>
        <v>#REF!</v>
      </c>
      <c r="M105" s="278" t="e">
        <f t="shared" ref="M105" si="37">M103-M104</f>
        <v>#REF!</v>
      </c>
      <c r="N105" s="134"/>
      <c r="O105" s="134"/>
      <c r="P105" s="134"/>
      <c r="Q105" s="134"/>
    </row>
    <row r="106" spans="2:19">
      <c r="H106" s="148"/>
      <c r="I106" s="148"/>
      <c r="J106" s="148"/>
      <c r="K106" s="148"/>
      <c r="L106" s="148"/>
      <c r="M106" s="93"/>
      <c r="N106" s="93"/>
      <c r="O106" s="93"/>
      <c r="P106" s="93"/>
      <c r="Q106" s="93"/>
    </row>
  </sheetData>
  <mergeCells count="15">
    <mergeCell ref="N10:R10"/>
    <mergeCell ref="C11:K11"/>
    <mergeCell ref="L11:R11"/>
    <mergeCell ref="C12:K12"/>
    <mergeCell ref="L12:R12"/>
    <mergeCell ref="B59:B62"/>
    <mergeCell ref="C59:G59"/>
    <mergeCell ref="H59:M59"/>
    <mergeCell ref="B6:G6"/>
    <mergeCell ref="B10:B11"/>
    <mergeCell ref="C10:G10"/>
    <mergeCell ref="H10:M10"/>
    <mergeCell ref="C61:M61"/>
    <mergeCell ref="H60:M60"/>
    <mergeCell ref="C60:G60"/>
  </mergeCells>
  <pageMargins left="0.75" right="0.75" top="1" bottom="1" header="0.5" footer="0.5"/>
  <pageSetup paperSize="9" orientation="portrait" horizontalDpi="4294967293" r:id="rId1"/>
  <headerFooter alignWithMargins="0"/>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AR271"/>
  <sheetViews>
    <sheetView showGridLines="0" zoomScaleNormal="100" workbookViewId="0"/>
  </sheetViews>
  <sheetFormatPr defaultRowHeight="12.75"/>
  <cols>
    <col min="1" max="1" width="16.28515625" customWidth="1"/>
    <col min="2" max="2" width="85.42578125" customWidth="1"/>
    <col min="3" max="17" width="13.7109375" customWidth="1"/>
    <col min="18" max="18" width="4.7109375" customWidth="1"/>
    <col min="19" max="23" width="13.7109375" customWidth="1"/>
    <col min="24" max="24" width="17" customWidth="1"/>
    <col min="25" max="29" width="13.7109375" customWidth="1"/>
    <col min="30" max="30" width="13.85546875" customWidth="1"/>
    <col min="34" max="41" width="13.7109375" style="1427" customWidth="1"/>
  </cols>
  <sheetData>
    <row r="1" spans="1:43" ht="20.25">
      <c r="A1" s="165"/>
      <c r="B1" s="3050" t="str">
        <f>IF(dms_DataQuality="backcast",INDEX(dms_Worksheet_List,MATCH(dms_Model,dms_Model_List))&amp;" BACKCAST",INDEX(dms_Worksheet_List,MATCH(dms_Model,dms_Model_List)))</f>
        <v>REGULATORY REPORTING STATEMENT</v>
      </c>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225"/>
      <c r="AF1" s="225"/>
      <c r="AG1" s="225"/>
      <c r="AH1" s="225"/>
      <c r="AI1" s="225"/>
      <c r="AJ1" s="225"/>
      <c r="AK1" s="225"/>
      <c r="AL1" s="225"/>
      <c r="AM1" s="225"/>
      <c r="AN1" s="225"/>
      <c r="AO1" s="225"/>
    </row>
    <row r="2" spans="1:43" ht="20.25">
      <c r="A2" s="165"/>
      <c r="B2" s="3054" t="str">
        <f>INDEX(dms_TradingNameFull_List,MATCH(dms_TradingName,dms_TradingName_List))</f>
        <v>AusNet Gas Services</v>
      </c>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225"/>
      <c r="AF2" s="225"/>
      <c r="AG2" s="225"/>
      <c r="AH2" s="225"/>
      <c r="AI2" s="225"/>
      <c r="AJ2" s="225"/>
      <c r="AK2" s="225"/>
      <c r="AL2" s="225"/>
      <c r="AM2" s="225"/>
      <c r="AN2" s="225"/>
      <c r="AO2" s="225"/>
    </row>
    <row r="3" spans="1:43" ht="20.25">
      <c r="A3" s="165"/>
      <c r="B3" s="3054" t="str">
        <f ca="1">IF(SUM(dms_SingleYear_Model)&gt;0,CRY,CONCATENATE(FRCP_y1," to ",dms_MultiYear_FinalYear_Result))</f>
        <v>2018 to 2022</v>
      </c>
      <c r="C3" s="168" t="str">
        <f>CONCATENATE(LEFT(FRCP_y1,4),"-",LEFT(FRCP_y5,2),RIGHT(FRCP_y5,2))</f>
        <v>2018-2022</v>
      </c>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426"/>
      <c r="AF3" s="1426"/>
      <c r="AG3" s="1426"/>
      <c r="AH3" s="1426"/>
      <c r="AI3" s="1426"/>
      <c r="AJ3" s="1426"/>
      <c r="AK3" s="1426"/>
      <c r="AL3" s="1426"/>
      <c r="AM3" s="1426"/>
      <c r="AN3" s="1426"/>
      <c r="AO3" s="1426"/>
    </row>
    <row r="4" spans="1:43" ht="20.25">
      <c r="A4" s="165"/>
      <c r="B4" s="10" t="s">
        <v>461</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row>
    <row r="5" spans="1:43">
      <c r="A5" s="1429"/>
      <c r="B5" s="1429"/>
      <c r="C5" s="1429"/>
      <c r="D5" s="1429"/>
      <c r="E5" s="1429"/>
      <c r="F5" s="1429"/>
      <c r="G5" s="1429"/>
      <c r="H5" s="1429"/>
      <c r="I5" s="1429"/>
      <c r="J5" s="1429"/>
      <c r="K5" s="1429"/>
      <c r="L5" s="1429"/>
      <c r="M5" s="1429"/>
      <c r="N5" s="1429"/>
      <c r="O5" s="1429"/>
      <c r="P5" s="1429"/>
      <c r="Q5" s="1429"/>
      <c r="R5" s="1429"/>
      <c r="S5" s="1429"/>
      <c r="T5" s="1429"/>
      <c r="U5" s="1429"/>
      <c r="V5" s="1429"/>
      <c r="W5" s="1429"/>
      <c r="X5" s="1429"/>
      <c r="Y5" s="1429"/>
      <c r="Z5" s="1429"/>
      <c r="AA5" s="1429"/>
      <c r="AB5" s="1429"/>
      <c r="AC5" s="1429"/>
      <c r="AH5"/>
      <c r="AI5"/>
      <c r="AJ5"/>
      <c r="AK5"/>
      <c r="AL5"/>
      <c r="AM5"/>
      <c r="AN5"/>
      <c r="AO5"/>
    </row>
    <row r="6" spans="1:43">
      <c r="A6" s="1429"/>
      <c r="B6" s="1429"/>
      <c r="C6" s="1429"/>
      <c r="D6" s="1429"/>
      <c r="E6" s="1429"/>
      <c r="F6" s="1429"/>
      <c r="G6" s="1429"/>
      <c r="H6" s="1429"/>
      <c r="I6" s="1429"/>
      <c r="J6" s="1429"/>
      <c r="K6" s="1429"/>
      <c r="L6" s="1429"/>
      <c r="M6" s="1429"/>
      <c r="N6" s="1429"/>
      <c r="O6" s="1429"/>
      <c r="P6" s="1429"/>
      <c r="Q6" s="1429"/>
      <c r="R6" s="1429"/>
      <c r="S6" s="1429"/>
      <c r="T6" s="1429"/>
      <c r="U6" s="1429"/>
      <c r="V6" s="1429"/>
      <c r="W6" s="1429"/>
      <c r="X6" s="1429"/>
      <c r="Y6" s="1429"/>
      <c r="Z6" s="1429"/>
      <c r="AA6" s="1429"/>
      <c r="AB6" s="1429"/>
      <c r="AC6" s="1429"/>
      <c r="AH6"/>
      <c r="AI6"/>
      <c r="AJ6"/>
      <c r="AK6"/>
      <c r="AL6"/>
      <c r="AM6"/>
      <c r="AN6"/>
      <c r="AO6"/>
    </row>
    <row r="7" spans="1:43" ht="50.25" customHeight="1">
      <c r="A7" s="308"/>
      <c r="B7" s="3563" t="s">
        <v>469</v>
      </c>
      <c r="C7" s="3563"/>
      <c r="D7" s="3563"/>
      <c r="E7" s="3563"/>
      <c r="F7" s="3563"/>
      <c r="G7" s="308"/>
      <c r="H7" s="308"/>
      <c r="I7" s="308"/>
      <c r="J7" s="308"/>
      <c r="K7" s="308"/>
      <c r="L7" s="308"/>
      <c r="M7" s="308"/>
      <c r="N7" s="308"/>
      <c r="O7" s="308"/>
      <c r="P7" s="308"/>
      <c r="Q7" s="308"/>
      <c r="R7" s="1429"/>
      <c r="S7" s="308"/>
      <c r="T7" s="308"/>
      <c r="U7" s="308"/>
      <c r="V7" s="308"/>
      <c r="W7" s="308"/>
      <c r="X7" s="308"/>
      <c r="Y7" s="308"/>
      <c r="Z7" s="308"/>
      <c r="AA7" s="308"/>
      <c r="AB7" s="308"/>
      <c r="AC7" s="308"/>
      <c r="AD7" s="308"/>
      <c r="AH7"/>
      <c r="AI7"/>
      <c r="AJ7"/>
      <c r="AK7"/>
      <c r="AL7" s="308"/>
      <c r="AM7" s="308"/>
      <c r="AN7" s="308"/>
      <c r="AO7" s="308"/>
    </row>
    <row r="8" spans="1:43" ht="20.25" customHeight="1">
      <c r="A8" s="308"/>
      <c r="B8" s="3563" t="s">
        <v>470</v>
      </c>
      <c r="C8" s="3563"/>
      <c r="D8" s="3563"/>
      <c r="E8" s="3563"/>
      <c r="F8" s="3563"/>
      <c r="G8" s="308"/>
      <c r="H8" s="308"/>
      <c r="I8" s="308"/>
      <c r="J8" s="308"/>
      <c r="K8" s="308"/>
      <c r="L8" s="308"/>
      <c r="M8" s="308"/>
      <c r="N8" s="308"/>
      <c r="O8" s="308"/>
      <c r="P8" s="308"/>
      <c r="Q8" s="308"/>
      <c r="R8" s="1429"/>
      <c r="S8" s="308"/>
      <c r="T8" s="308"/>
      <c r="U8" s="308"/>
      <c r="V8" s="308"/>
      <c r="W8" s="308"/>
      <c r="X8" s="308"/>
      <c r="Y8" s="308"/>
      <c r="Z8" s="308"/>
      <c r="AA8" s="308"/>
      <c r="AB8" s="308"/>
      <c r="AC8" s="308"/>
      <c r="AD8" s="308"/>
      <c r="AH8"/>
      <c r="AI8"/>
      <c r="AJ8"/>
      <c r="AK8"/>
      <c r="AL8" s="308"/>
      <c r="AM8" s="308"/>
      <c r="AN8" s="308"/>
      <c r="AO8" s="308"/>
    </row>
    <row r="9" spans="1:43" ht="42" customHeight="1">
      <c r="A9" s="308"/>
      <c r="B9" s="3563" t="str">
        <f>CONCATENATE("As set out in cl.6.1 of the ",dms_TradingName," RIN, for tables 4.1 to 4.3, where the requested data is captured in the ", dms_TradingName," capex model it is not required to be reentered in the RIN template tables.  If the requested data has not been provided in the  ",dms_TradingName,"  RIN please enter into the tables. This may require the insertion of new lines in each table.")</f>
        <v>As set out in cl.6.1 of the AusNet (Gas) RIN, for tables 4.1 to 4.3,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C9" s="3563"/>
      <c r="D9" s="3563"/>
      <c r="E9" s="3563"/>
      <c r="F9" s="3563"/>
      <c r="G9" s="308"/>
      <c r="H9" s="308"/>
      <c r="I9" s="308"/>
      <c r="J9" s="308"/>
      <c r="K9" s="308"/>
      <c r="L9" s="308"/>
      <c r="M9" s="308"/>
      <c r="N9" s="308"/>
      <c r="O9" s="308"/>
      <c r="P9" s="308"/>
      <c r="Q9" s="308"/>
      <c r="R9" s="1429"/>
      <c r="S9" s="308"/>
      <c r="T9" s="308"/>
      <c r="U9" s="308"/>
      <c r="V9" s="308"/>
      <c r="W9" s="308"/>
      <c r="X9" s="308"/>
      <c r="Y9" s="308"/>
      <c r="Z9" s="308"/>
      <c r="AA9" s="308"/>
      <c r="AB9" s="308"/>
      <c r="AC9" s="308"/>
      <c r="AD9" s="308"/>
      <c r="AH9"/>
      <c r="AI9"/>
      <c r="AJ9"/>
      <c r="AK9"/>
      <c r="AL9" s="308"/>
      <c r="AM9" s="308"/>
      <c r="AN9" s="308"/>
      <c r="AO9" s="308"/>
    </row>
    <row r="10" spans="1:43" ht="42" customHeight="1">
      <c r="A10" s="308"/>
      <c r="B10" s="3563" t="s">
        <v>459</v>
      </c>
      <c r="C10" s="3563"/>
      <c r="D10" s="3563"/>
      <c r="E10" s="3563"/>
      <c r="F10" s="3563"/>
      <c r="G10" s="308"/>
      <c r="H10" s="308"/>
      <c r="I10" s="308"/>
      <c r="J10" s="308"/>
      <c r="K10" s="308"/>
      <c r="L10" s="308"/>
      <c r="M10" s="308"/>
      <c r="N10" s="308"/>
      <c r="O10" s="308"/>
      <c r="P10" s="308"/>
      <c r="Q10" s="308"/>
      <c r="R10" s="1429"/>
      <c r="S10" s="308"/>
      <c r="T10" s="308"/>
      <c r="U10" s="308"/>
      <c r="V10" s="308"/>
      <c r="W10" s="308"/>
      <c r="X10" s="308"/>
      <c r="Y10" s="308"/>
      <c r="Z10" s="308"/>
      <c r="AA10" s="308"/>
      <c r="AB10" s="308"/>
      <c r="AC10" s="308"/>
      <c r="AD10" s="308"/>
      <c r="AH10"/>
      <c r="AI10"/>
      <c r="AJ10"/>
      <c r="AK10"/>
      <c r="AL10" s="308"/>
      <c r="AM10" s="308"/>
      <c r="AN10" s="308"/>
      <c r="AO10" s="308"/>
    </row>
    <row r="11" spans="1:43" ht="42" customHeight="1">
      <c r="A11" s="308"/>
      <c r="B11" s="3563"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C11" s="3563"/>
      <c r="D11" s="3563"/>
      <c r="E11" s="3563"/>
      <c r="F11" s="3563"/>
      <c r="G11" s="308"/>
      <c r="H11" s="308"/>
      <c r="I11" s="308"/>
      <c r="J11" s="308"/>
      <c r="K11" s="308"/>
      <c r="L11" s="308"/>
      <c r="M11" s="308"/>
      <c r="N11" s="308"/>
      <c r="O11" s="308"/>
      <c r="P11" s="308"/>
      <c r="Q11" s="308"/>
      <c r="R11" s="1429"/>
      <c r="S11" s="308"/>
      <c r="T11" s="308"/>
      <c r="U11" s="308"/>
      <c r="V11" s="308"/>
      <c r="W11" s="308"/>
      <c r="X11" s="308"/>
      <c r="Y11" s="308"/>
      <c r="Z11" s="308"/>
      <c r="AA11" s="308"/>
      <c r="AB11" s="308"/>
      <c r="AC11" s="308"/>
      <c r="AD11" s="308"/>
      <c r="AH11"/>
      <c r="AI11"/>
      <c r="AJ11"/>
      <c r="AK11"/>
      <c r="AL11" s="308"/>
      <c r="AM11" s="308"/>
      <c r="AN11" s="308"/>
      <c r="AO11" s="308"/>
    </row>
    <row r="12" spans="1:43" ht="42" customHeight="1">
      <c r="A12" s="308"/>
      <c r="B12" s="3563" t="s">
        <v>161</v>
      </c>
      <c r="C12" s="3563"/>
      <c r="D12" s="3563"/>
      <c r="E12" s="3563"/>
      <c r="F12" s="3563"/>
      <c r="G12" s="308"/>
      <c r="H12" s="308"/>
      <c r="I12" s="308"/>
      <c r="J12" s="308"/>
      <c r="K12" s="308"/>
      <c r="L12" s="308"/>
      <c r="M12" s="308"/>
      <c r="N12" s="308"/>
      <c r="O12" s="308"/>
      <c r="P12" s="308"/>
      <c r="Q12" s="308"/>
      <c r="R12" s="1429"/>
      <c r="S12" s="308"/>
      <c r="T12" s="308"/>
      <c r="U12" s="308"/>
      <c r="V12" s="308"/>
      <c r="W12" s="308"/>
      <c r="X12" s="308"/>
      <c r="Y12" s="308"/>
      <c r="Z12" s="308"/>
      <c r="AA12" s="308"/>
      <c r="AB12" s="308"/>
      <c r="AC12" s="308"/>
      <c r="AD12" s="308"/>
      <c r="AH12"/>
      <c r="AI12"/>
      <c r="AJ12"/>
      <c r="AK12"/>
      <c r="AL12" s="308"/>
      <c r="AM12" s="308"/>
      <c r="AN12" s="308"/>
      <c r="AO12" s="308"/>
    </row>
    <row r="13" spans="1:43" ht="33.75" customHeight="1">
      <c r="A13" s="308"/>
      <c r="B13" s="3563" t="s">
        <v>612</v>
      </c>
      <c r="C13" s="3563"/>
      <c r="D13" s="3563"/>
      <c r="E13" s="3563"/>
      <c r="F13" s="3563"/>
      <c r="G13" s="308"/>
      <c r="H13" s="308"/>
      <c r="I13" s="308"/>
      <c r="J13" s="308"/>
      <c r="K13" s="308"/>
      <c r="L13" s="308"/>
      <c r="M13" s="308"/>
      <c r="N13" s="308"/>
      <c r="O13" s="308"/>
      <c r="P13" s="308"/>
      <c r="Q13" s="308"/>
      <c r="R13" s="1429"/>
      <c r="S13" s="308"/>
      <c r="T13" s="308"/>
      <c r="U13" s="308"/>
      <c r="V13" s="308"/>
      <c r="W13" s="308"/>
      <c r="X13" s="308"/>
      <c r="Y13" s="308"/>
      <c r="Z13" s="308"/>
      <c r="AA13" s="308"/>
      <c r="AB13" s="308"/>
      <c r="AC13" s="308"/>
      <c r="AD13" s="308"/>
      <c r="AH13"/>
      <c r="AI13"/>
      <c r="AJ13"/>
      <c r="AK13"/>
      <c r="AL13" s="308"/>
      <c r="AM13" s="308"/>
      <c r="AN13" s="308"/>
      <c r="AO13" s="308"/>
    </row>
    <row r="14" spans="1:43">
      <c r="A14" s="1429"/>
      <c r="B14" s="1429"/>
      <c r="C14" s="1429"/>
      <c r="D14" s="1429"/>
      <c r="E14" s="1429"/>
      <c r="F14" s="1429"/>
      <c r="G14" s="1429"/>
      <c r="H14" s="1429"/>
      <c r="I14" s="1429"/>
      <c r="J14" s="1429"/>
      <c r="K14" s="1429"/>
      <c r="L14" s="1429"/>
      <c r="M14" s="1429"/>
      <c r="N14" s="1429"/>
      <c r="O14" s="1429"/>
      <c r="P14" s="1429"/>
      <c r="Q14" s="1429"/>
      <c r="R14" s="1429"/>
      <c r="S14" s="1429"/>
      <c r="T14" s="1429"/>
      <c r="U14" s="1429"/>
      <c r="V14" s="1429"/>
      <c r="W14" s="1429"/>
      <c r="X14" s="1429"/>
      <c r="Y14" s="1429"/>
      <c r="Z14" s="1429"/>
      <c r="AA14" s="1429"/>
      <c r="AB14" s="1429"/>
      <c r="AC14" s="1429"/>
      <c r="AD14" s="1429"/>
      <c r="AH14" s="1429"/>
      <c r="AI14" s="1429"/>
      <c r="AJ14" s="1429"/>
      <c r="AK14" s="1429"/>
      <c r="AL14" s="1429"/>
      <c r="AM14" s="1429"/>
      <c r="AN14" s="1429"/>
      <c r="AO14" s="1429"/>
    </row>
    <row r="15" spans="1:43" ht="13.5" thickBot="1">
      <c r="A15" s="1429"/>
      <c r="B15" s="1429"/>
      <c r="C15" s="1429"/>
      <c r="D15" s="1429"/>
      <c r="E15" s="1429"/>
      <c r="F15" s="1429"/>
      <c r="G15" s="1429"/>
      <c r="H15" s="1429"/>
      <c r="I15" s="1429"/>
      <c r="J15" s="1429"/>
      <c r="K15" s="1429"/>
      <c r="L15" s="1429"/>
      <c r="M15" s="1429"/>
      <c r="N15" s="1429"/>
      <c r="O15" s="1429"/>
      <c r="P15" s="1429"/>
      <c r="Q15" s="1429"/>
      <c r="R15" s="1429"/>
      <c r="S15" s="1429"/>
      <c r="T15" s="1429"/>
      <c r="U15" s="1429"/>
      <c r="V15" s="1429"/>
      <c r="W15" s="1429"/>
      <c r="X15" s="1429"/>
      <c r="Y15" s="1429"/>
      <c r="Z15" s="1429"/>
      <c r="AA15" s="1429"/>
      <c r="AB15" s="1429"/>
      <c r="AC15" s="1429"/>
      <c r="AD15" s="1429"/>
      <c r="AH15" s="1429"/>
      <c r="AI15" s="1429"/>
      <c r="AJ15" s="1429"/>
      <c r="AK15" s="1429"/>
      <c r="AL15" s="1429"/>
      <c r="AM15" s="1429"/>
      <c r="AN15" s="1429"/>
      <c r="AO15" s="1429"/>
    </row>
    <row r="16" spans="1:43" s="233" customFormat="1" ht="36.75" customHeight="1" thickBot="1">
      <c r="A16" s="992"/>
      <c r="B16" s="856" t="s">
        <v>517</v>
      </c>
      <c r="C16" s="856"/>
      <c r="D16" s="856"/>
      <c r="E16" s="856"/>
      <c r="F16" s="856"/>
      <c r="G16" s="856"/>
      <c r="H16" s="856"/>
      <c r="I16" s="856"/>
      <c r="J16" s="856"/>
      <c r="K16" s="856"/>
      <c r="L16" s="856"/>
      <c r="M16" s="856"/>
      <c r="N16" s="856"/>
      <c r="O16" s="856"/>
      <c r="P16" s="856"/>
      <c r="Q16" s="1465"/>
      <c r="R16" s="1429"/>
      <c r="S16" s="856"/>
      <c r="T16" s="856"/>
      <c r="U16" s="856"/>
      <c r="V16" s="856"/>
      <c r="W16" s="856"/>
      <c r="X16" s="856"/>
      <c r="Y16" s="856"/>
      <c r="Z16" s="856"/>
      <c r="AA16" s="856"/>
      <c r="AB16" s="856"/>
      <c r="AC16" s="856"/>
      <c r="AD16" s="856"/>
      <c r="AE16"/>
      <c r="AG16"/>
      <c r="AH16"/>
      <c r="AI16"/>
      <c r="AJ16"/>
      <c r="AK16"/>
      <c r="AL16"/>
      <c r="AM16"/>
      <c r="AN16"/>
      <c r="AO16"/>
      <c r="AP16"/>
      <c r="AQ16"/>
    </row>
    <row r="17" spans="1:44" s="233" customFormat="1" ht="36.75" customHeight="1" thickBot="1">
      <c r="A17" s="992"/>
      <c r="B17" s="1571" t="s">
        <v>363</v>
      </c>
      <c r="C17" s="1574"/>
      <c r="D17" s="1574"/>
      <c r="E17" s="1574"/>
      <c r="F17" s="1574"/>
      <c r="G17" s="1574"/>
      <c r="H17" s="1574"/>
      <c r="I17" s="1574"/>
      <c r="J17" s="1574"/>
      <c r="K17" s="1574"/>
      <c r="L17" s="1574"/>
      <c r="M17" s="1574"/>
      <c r="N17" s="1574"/>
      <c r="O17" s="1574"/>
      <c r="P17" s="1574"/>
      <c r="Q17" s="1575"/>
      <c r="R17" s="1429"/>
      <c r="S17" s="2313"/>
      <c r="T17" s="2314"/>
      <c r="U17" s="2314"/>
      <c r="V17" s="2314"/>
      <c r="W17" s="2314"/>
      <c r="X17" s="2314"/>
      <c r="Y17" s="2314"/>
      <c r="Z17" s="2314"/>
      <c r="AA17" s="2314"/>
      <c r="AB17" s="2314"/>
      <c r="AC17" s="2314"/>
      <c r="AD17" s="2314"/>
      <c r="AE17"/>
      <c r="AG17"/>
      <c r="AH17"/>
      <c r="AI17"/>
      <c r="AJ17"/>
      <c r="AK17"/>
      <c r="AL17"/>
      <c r="AM17"/>
      <c r="AN17"/>
      <c r="AO17"/>
      <c r="AP17"/>
      <c r="AQ17"/>
      <c r="AR17"/>
    </row>
    <row r="18" spans="1:44" ht="18" customHeight="1">
      <c r="A18" s="1429"/>
      <c r="B18" s="1187"/>
      <c r="C18" s="3564" t="s">
        <v>36</v>
      </c>
      <c r="D18" s="3565"/>
      <c r="E18" s="3565"/>
      <c r="F18" s="3565"/>
      <c r="G18" s="3565"/>
      <c r="H18" s="3566" t="s">
        <v>37</v>
      </c>
      <c r="I18" s="3566"/>
      <c r="J18" s="3566"/>
      <c r="K18" s="3566"/>
      <c r="L18" s="3566"/>
      <c r="M18" s="3567" t="s">
        <v>73</v>
      </c>
      <c r="N18" s="3565"/>
      <c r="O18" s="3565"/>
      <c r="P18" s="3565"/>
      <c r="Q18" s="3568"/>
      <c r="R18" s="1429"/>
      <c r="S18" s="3580" t="s">
        <v>36</v>
      </c>
      <c r="T18" s="3581"/>
      <c r="U18" s="3581"/>
      <c r="V18" s="3581"/>
      <c r="W18" s="3581"/>
      <c r="X18" s="3581"/>
      <c r="Y18" s="3569" t="s">
        <v>37</v>
      </c>
      <c r="Z18" s="3569"/>
      <c r="AA18" s="3569"/>
      <c r="AB18" s="3569"/>
      <c r="AC18" s="3569"/>
      <c r="AD18" s="3570"/>
      <c r="AH18"/>
      <c r="AI18"/>
      <c r="AJ18"/>
      <c r="AK18"/>
      <c r="AL18"/>
      <c r="AM18"/>
      <c r="AN18"/>
      <c r="AO18"/>
    </row>
    <row r="19" spans="1:44" ht="15">
      <c r="A19" s="291"/>
      <c r="B19" s="1188"/>
      <c r="C19" s="3571" t="s">
        <v>366</v>
      </c>
      <c r="D19" s="3572"/>
      <c r="E19" s="3572"/>
      <c r="F19" s="3572"/>
      <c r="G19" s="3572"/>
      <c r="H19" s="3572"/>
      <c r="I19" s="3572"/>
      <c r="J19" s="3572"/>
      <c r="K19" s="3572"/>
      <c r="L19" s="3572"/>
      <c r="M19" s="3572"/>
      <c r="N19" s="3572"/>
      <c r="O19" s="3572"/>
      <c r="P19" s="3572"/>
      <c r="Q19" s="3573"/>
      <c r="R19" s="1429"/>
      <c r="S19" s="3582" t="s">
        <v>366</v>
      </c>
      <c r="T19" s="3583"/>
      <c r="U19" s="3583"/>
      <c r="V19" s="3583"/>
      <c r="W19" s="3583"/>
      <c r="X19" s="3583"/>
      <c r="Y19" s="3583"/>
      <c r="Z19" s="3583"/>
      <c r="AA19" s="3583"/>
      <c r="AB19" s="3583"/>
      <c r="AC19" s="3583"/>
      <c r="AD19" s="3584"/>
      <c r="AH19"/>
      <c r="AI19"/>
      <c r="AJ19"/>
      <c r="AK19"/>
      <c r="AL19"/>
      <c r="AM19"/>
      <c r="AN19"/>
      <c r="AO19"/>
    </row>
    <row r="20" spans="1:44" ht="30" customHeight="1">
      <c r="A20" s="1429"/>
      <c r="B20" s="1189"/>
      <c r="C20" s="3574" t="s">
        <v>54</v>
      </c>
      <c r="D20" s="3575"/>
      <c r="E20" s="3575"/>
      <c r="F20" s="3575"/>
      <c r="G20" s="3575"/>
      <c r="H20" s="3575"/>
      <c r="I20" s="3575"/>
      <c r="J20" s="3576"/>
      <c r="K20" s="3577" t="s">
        <v>55</v>
      </c>
      <c r="L20" s="3578"/>
      <c r="M20" s="3578"/>
      <c r="N20" s="3578"/>
      <c r="O20" s="3578"/>
      <c r="P20" s="3578"/>
      <c r="Q20" s="3579"/>
      <c r="R20" s="1429"/>
      <c r="S20" s="3582" t="s">
        <v>74</v>
      </c>
      <c r="T20" s="3583"/>
      <c r="U20" s="3583"/>
      <c r="V20" s="3583"/>
      <c r="W20" s="3583"/>
      <c r="X20" s="3583"/>
      <c r="Y20" s="3583"/>
      <c r="Z20" s="3583"/>
      <c r="AA20" s="3583"/>
      <c r="AB20" s="3583"/>
      <c r="AC20" s="3583"/>
      <c r="AD20" s="3584"/>
      <c r="AH20"/>
      <c r="AI20"/>
      <c r="AJ20"/>
      <c r="AK20"/>
      <c r="AL20"/>
      <c r="AM20"/>
      <c r="AN20"/>
      <c r="AO20"/>
    </row>
    <row r="21" spans="1:44" ht="60.75" thickBot="1">
      <c r="A21" s="293"/>
      <c r="B21" s="1190"/>
      <c r="C21" s="1506">
        <f t="array" ref="C21:G21">PRCP</f>
        <v>2008</v>
      </c>
      <c r="D21" s="294">
        <v>2009</v>
      </c>
      <c r="E21" s="294">
        <v>2010</v>
      </c>
      <c r="F21" s="294">
        <v>2011</v>
      </c>
      <c r="G21" s="294">
        <v>2012</v>
      </c>
      <c r="H21" s="295">
        <f>CRCP_y1</f>
        <v>2013</v>
      </c>
      <c r="I21" s="295">
        <f>CRCP_y2</f>
        <v>2014</v>
      </c>
      <c r="J21" s="295">
        <f>CRCP_y3</f>
        <v>2015</v>
      </c>
      <c r="K21" s="295">
        <f>CRCP_y4</f>
        <v>2016</v>
      </c>
      <c r="L21" s="295">
        <f>CRCP_y5</f>
        <v>2017</v>
      </c>
      <c r="M21" s="294" t="str">
        <f t="array" ref="M21:Q21">FRCP</f>
        <v>2018</v>
      </c>
      <c r="N21" s="294">
        <v>2019</v>
      </c>
      <c r="O21" s="294">
        <v>2020</v>
      </c>
      <c r="P21" s="294">
        <v>2021</v>
      </c>
      <c r="Q21" s="8">
        <v>2022</v>
      </c>
      <c r="R21" s="1429"/>
      <c r="S21" s="2315">
        <f t="array" ref="S21:W21">PRCP</f>
        <v>2008</v>
      </c>
      <c r="T21" s="296">
        <v>2009</v>
      </c>
      <c r="U21" s="296">
        <v>2010</v>
      </c>
      <c r="V21" s="296">
        <v>2011</v>
      </c>
      <c r="W21" s="296">
        <v>2012</v>
      </c>
      <c r="X21" s="2312" t="s">
        <v>683</v>
      </c>
      <c r="Y21" s="297">
        <f>CRCP_y1</f>
        <v>2013</v>
      </c>
      <c r="Z21" s="297">
        <f>CRCP_y2</f>
        <v>2014</v>
      </c>
      <c r="AA21" s="297">
        <f>CRCP_y3</f>
        <v>2015</v>
      </c>
      <c r="AB21" s="297">
        <f>CRCP_y4</f>
        <v>2016</v>
      </c>
      <c r="AC21" s="297">
        <f>CRCP_y5</f>
        <v>2017</v>
      </c>
      <c r="AD21" s="2316" t="s">
        <v>683</v>
      </c>
      <c r="AH21"/>
      <c r="AI21"/>
      <c r="AJ21"/>
      <c r="AK21"/>
      <c r="AL21"/>
      <c r="AM21"/>
      <c r="AN21"/>
      <c r="AO21"/>
    </row>
    <row r="22" spans="1:44" ht="13.5" thickBot="1">
      <c r="A22" s="1429"/>
      <c r="B22" s="1429"/>
      <c r="C22" s="1429"/>
      <c r="D22" s="1429"/>
      <c r="E22" s="1429"/>
      <c r="F22" s="1429"/>
      <c r="G22" s="1429"/>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H22"/>
      <c r="AI22"/>
      <c r="AJ22"/>
      <c r="AK22"/>
      <c r="AL22"/>
      <c r="AM22"/>
      <c r="AN22"/>
      <c r="AO22"/>
    </row>
    <row r="23" spans="1:44" ht="16.5" thickBot="1">
      <c r="A23" s="1429"/>
      <c r="B23" s="298" t="s">
        <v>364</v>
      </c>
      <c r="C23" s="315"/>
      <c r="D23" s="315"/>
      <c r="E23" s="315"/>
      <c r="F23" s="315"/>
      <c r="G23" s="315"/>
      <c r="H23" s="315"/>
      <c r="I23" s="315"/>
      <c r="J23" s="315"/>
      <c r="K23" s="315"/>
      <c r="L23" s="315"/>
      <c r="M23" s="315"/>
      <c r="N23" s="315"/>
      <c r="O23" s="315"/>
      <c r="P23" s="315"/>
      <c r="Q23" s="316"/>
      <c r="R23" s="1429"/>
      <c r="S23" s="298"/>
      <c r="T23" s="315"/>
      <c r="U23" s="315"/>
      <c r="V23" s="315"/>
      <c r="W23" s="315"/>
      <c r="X23" s="315"/>
      <c r="Y23" s="315"/>
      <c r="Z23" s="315"/>
      <c r="AA23" s="315"/>
      <c r="AB23" s="315"/>
      <c r="AC23" s="315"/>
      <c r="AD23" s="316"/>
      <c r="AH23"/>
      <c r="AI23"/>
      <c r="AJ23"/>
      <c r="AK23"/>
      <c r="AL23"/>
      <c r="AM23"/>
      <c r="AN23"/>
      <c r="AO23"/>
    </row>
    <row r="24" spans="1:44">
      <c r="A24" s="308"/>
      <c r="B24" s="1" t="s">
        <v>589</v>
      </c>
      <c r="C24" s="302"/>
      <c r="D24" s="303"/>
      <c r="E24" s="303"/>
      <c r="F24" s="303"/>
      <c r="G24" s="326"/>
      <c r="H24" s="302"/>
      <c r="I24" s="303"/>
      <c r="J24" s="303"/>
      <c r="K24" s="303"/>
      <c r="L24" s="326"/>
      <c r="M24" s="1203"/>
      <c r="N24" s="303"/>
      <c r="O24" s="303"/>
      <c r="P24" s="303"/>
      <c r="Q24" s="326"/>
      <c r="R24" s="1429"/>
      <c r="S24" s="302"/>
      <c r="T24" s="303"/>
      <c r="U24" s="303"/>
      <c r="V24" s="303"/>
      <c r="W24" s="303"/>
      <c r="X24" s="303" t="s">
        <v>415</v>
      </c>
      <c r="Y24" s="303"/>
      <c r="Z24" s="303"/>
      <c r="AA24" s="303"/>
      <c r="AB24" s="303"/>
      <c r="AC24" s="303"/>
      <c r="AD24" s="326" t="e">
        <f t="shared" ref="AD24:AD31" si="0">SUM(H24:L24)/SUM(Y24:AC24)-1</f>
        <v>#DIV/0!</v>
      </c>
      <c r="AH24"/>
      <c r="AI24"/>
      <c r="AJ24"/>
      <c r="AK24"/>
      <c r="AL24"/>
      <c r="AM24"/>
      <c r="AN24"/>
      <c r="AO24"/>
    </row>
    <row r="25" spans="1:44">
      <c r="A25" s="308"/>
      <c r="B25" s="2" t="s">
        <v>486</v>
      </c>
      <c r="C25" s="301"/>
      <c r="D25" s="516"/>
      <c r="E25" s="516"/>
      <c r="F25" s="516"/>
      <c r="G25" s="327"/>
      <c r="H25" s="301"/>
      <c r="I25" s="516"/>
      <c r="J25" s="516"/>
      <c r="K25" s="516"/>
      <c r="L25" s="327"/>
      <c r="M25" s="1193"/>
      <c r="N25" s="516"/>
      <c r="O25" s="516"/>
      <c r="P25" s="516"/>
      <c r="Q25" s="327"/>
      <c r="R25" s="1429"/>
      <c r="S25" s="301"/>
      <c r="T25" s="516"/>
      <c r="U25" s="516"/>
      <c r="V25" s="516"/>
      <c r="W25" s="516"/>
      <c r="X25" s="516" t="e">
        <f t="shared" ref="X25:X31" si="1">SUM(C25:G25)/SUM(S25:W25)-1</f>
        <v>#DIV/0!</v>
      </c>
      <c r="Y25" s="516"/>
      <c r="Z25" s="516"/>
      <c r="AA25" s="516"/>
      <c r="AB25" s="516"/>
      <c r="AC25" s="516"/>
      <c r="AD25" s="327" t="e">
        <f t="shared" si="0"/>
        <v>#DIV/0!</v>
      </c>
      <c r="AH25"/>
      <c r="AI25"/>
      <c r="AJ25"/>
      <c r="AK25"/>
      <c r="AL25"/>
      <c r="AM25"/>
      <c r="AN25"/>
      <c r="AO25"/>
    </row>
    <row r="26" spans="1:44">
      <c r="A26" s="308"/>
      <c r="B26" s="2" t="s">
        <v>592</v>
      </c>
      <c r="C26" s="301"/>
      <c r="D26" s="516"/>
      <c r="E26" s="516"/>
      <c r="F26" s="516"/>
      <c r="G26" s="327"/>
      <c r="H26" s="301"/>
      <c r="I26" s="516"/>
      <c r="J26" s="516"/>
      <c r="K26" s="516"/>
      <c r="L26" s="327"/>
      <c r="M26" s="1193"/>
      <c r="N26" s="516"/>
      <c r="O26" s="516"/>
      <c r="P26" s="516"/>
      <c r="Q26" s="327"/>
      <c r="R26" s="1429"/>
      <c r="S26" s="301"/>
      <c r="T26" s="516"/>
      <c r="U26" s="516"/>
      <c r="V26" s="516"/>
      <c r="W26" s="516"/>
      <c r="X26" s="516" t="e">
        <f t="shared" si="1"/>
        <v>#DIV/0!</v>
      </c>
      <c r="Y26" s="516"/>
      <c r="Z26" s="516"/>
      <c r="AA26" s="516"/>
      <c r="AB26" s="516"/>
      <c r="AC26" s="516"/>
      <c r="AD26" s="327" t="e">
        <f t="shared" si="0"/>
        <v>#DIV/0!</v>
      </c>
      <c r="AH26"/>
      <c r="AI26"/>
      <c r="AJ26"/>
      <c r="AK26"/>
      <c r="AL26"/>
      <c r="AM26"/>
      <c r="AN26"/>
      <c r="AO26"/>
    </row>
    <row r="27" spans="1:44">
      <c r="A27" s="308"/>
      <c r="B27" s="299" t="s">
        <v>487</v>
      </c>
      <c r="C27" s="301"/>
      <c r="D27" s="516"/>
      <c r="E27" s="516"/>
      <c r="F27" s="516"/>
      <c r="G27" s="327"/>
      <c r="H27" s="301"/>
      <c r="I27" s="516"/>
      <c r="J27" s="516"/>
      <c r="K27" s="516"/>
      <c r="L27" s="327"/>
      <c r="M27" s="1193"/>
      <c r="N27" s="516"/>
      <c r="O27" s="516"/>
      <c r="P27" s="516"/>
      <c r="Q27" s="327"/>
      <c r="R27" s="1429"/>
      <c r="S27" s="301"/>
      <c r="T27" s="516"/>
      <c r="U27" s="516"/>
      <c r="V27" s="516"/>
      <c r="W27" s="516"/>
      <c r="X27" s="516" t="e">
        <f t="shared" si="1"/>
        <v>#DIV/0!</v>
      </c>
      <c r="Y27" s="516"/>
      <c r="Z27" s="516"/>
      <c r="AA27" s="516"/>
      <c r="AB27" s="516"/>
      <c r="AC27" s="516"/>
      <c r="AD27" s="327" t="e">
        <f t="shared" si="0"/>
        <v>#DIV/0!</v>
      </c>
      <c r="AH27"/>
      <c r="AI27"/>
      <c r="AJ27"/>
      <c r="AK27"/>
      <c r="AL27"/>
      <c r="AM27"/>
      <c r="AN27"/>
      <c r="AO27"/>
    </row>
    <row r="28" spans="1:44">
      <c r="A28" s="308"/>
      <c r="B28" s="299" t="s">
        <v>488</v>
      </c>
      <c r="C28" s="301"/>
      <c r="D28" s="516"/>
      <c r="E28" s="516"/>
      <c r="F28" s="516"/>
      <c r="G28" s="327"/>
      <c r="H28" s="301"/>
      <c r="I28" s="516"/>
      <c r="J28" s="516"/>
      <c r="K28" s="516"/>
      <c r="L28" s="327"/>
      <c r="M28" s="1193"/>
      <c r="N28" s="516"/>
      <c r="O28" s="516"/>
      <c r="P28" s="516"/>
      <c r="Q28" s="327"/>
      <c r="R28" s="1429"/>
      <c r="S28" s="301"/>
      <c r="T28" s="516"/>
      <c r="U28" s="516"/>
      <c r="V28" s="516"/>
      <c r="W28" s="516"/>
      <c r="X28" s="516" t="e">
        <f t="shared" si="1"/>
        <v>#DIV/0!</v>
      </c>
      <c r="Y28" s="516"/>
      <c r="Z28" s="516"/>
      <c r="AA28" s="516"/>
      <c r="AB28" s="516"/>
      <c r="AC28" s="516"/>
      <c r="AD28" s="327" t="e">
        <f t="shared" si="0"/>
        <v>#DIV/0!</v>
      </c>
      <c r="AH28"/>
      <c r="AI28"/>
      <c r="AJ28"/>
      <c r="AK28"/>
      <c r="AL28"/>
      <c r="AM28"/>
      <c r="AN28"/>
      <c r="AO28"/>
    </row>
    <row r="29" spans="1:44">
      <c r="A29" s="308"/>
      <c r="B29" s="558" t="s">
        <v>122</v>
      </c>
      <c r="C29" s="304">
        <f>SUM(C24:C28)</f>
        <v>0</v>
      </c>
      <c r="D29" s="520">
        <f t="shared" ref="D29:W29" si="2">SUM(D24:D28)</f>
        <v>0</v>
      </c>
      <c r="E29" s="520">
        <f t="shared" si="2"/>
        <v>0</v>
      </c>
      <c r="F29" s="520">
        <f t="shared" si="2"/>
        <v>0</v>
      </c>
      <c r="G29" s="328">
        <f t="shared" si="2"/>
        <v>0</v>
      </c>
      <c r="H29" s="304">
        <f t="shared" si="2"/>
        <v>0</v>
      </c>
      <c r="I29" s="520">
        <f t="shared" si="2"/>
        <v>0</v>
      </c>
      <c r="J29" s="520">
        <f t="shared" si="2"/>
        <v>0</v>
      </c>
      <c r="K29" s="520">
        <f t="shared" si="2"/>
        <v>0</v>
      </c>
      <c r="L29" s="328">
        <f t="shared" si="2"/>
        <v>0</v>
      </c>
      <c r="M29" s="1202">
        <f t="shared" si="2"/>
        <v>0</v>
      </c>
      <c r="N29" s="520">
        <f t="shared" si="2"/>
        <v>0</v>
      </c>
      <c r="O29" s="520">
        <f t="shared" si="2"/>
        <v>0</v>
      </c>
      <c r="P29" s="520">
        <f t="shared" si="2"/>
        <v>0</v>
      </c>
      <c r="Q29" s="328">
        <f t="shared" si="2"/>
        <v>0</v>
      </c>
      <c r="R29" s="1429"/>
      <c r="S29" s="304">
        <f>SUM(S24:S28)</f>
        <v>0</v>
      </c>
      <c r="T29" s="520">
        <f t="shared" si="2"/>
        <v>0</v>
      </c>
      <c r="U29" s="520">
        <f t="shared" si="2"/>
        <v>0</v>
      </c>
      <c r="V29" s="520">
        <f t="shared" si="2"/>
        <v>0</v>
      </c>
      <c r="W29" s="520">
        <f t="shared" si="2"/>
        <v>0</v>
      </c>
      <c r="X29" s="520" t="e">
        <f t="shared" si="1"/>
        <v>#DIV/0!</v>
      </c>
      <c r="Y29" s="520">
        <f t="shared" ref="Y29:AC29" si="3">SUM(Y24:Y28)</f>
        <v>0</v>
      </c>
      <c r="Z29" s="520">
        <f t="shared" si="3"/>
        <v>0</v>
      </c>
      <c r="AA29" s="520">
        <f t="shared" si="3"/>
        <v>0</v>
      </c>
      <c r="AB29" s="520">
        <f t="shared" si="3"/>
        <v>0</v>
      </c>
      <c r="AC29" s="520">
        <f t="shared" si="3"/>
        <v>0</v>
      </c>
      <c r="AD29" s="328" t="e">
        <f t="shared" si="0"/>
        <v>#DIV/0!</v>
      </c>
      <c r="AH29"/>
      <c r="AI29"/>
      <c r="AJ29"/>
      <c r="AK29"/>
      <c r="AL29"/>
      <c r="AM29"/>
      <c r="AN29"/>
      <c r="AO29"/>
    </row>
    <row r="30" spans="1:44">
      <c r="A30" s="308"/>
      <c r="B30" s="299" t="s">
        <v>171</v>
      </c>
      <c r="C30" s="305"/>
      <c r="D30" s="521"/>
      <c r="E30" s="521"/>
      <c r="F30" s="521"/>
      <c r="G30" s="329"/>
      <c r="H30" s="305"/>
      <c r="I30" s="521"/>
      <c r="J30" s="521"/>
      <c r="K30" s="521"/>
      <c r="L30" s="329"/>
      <c r="M30" s="1194"/>
      <c r="N30" s="521"/>
      <c r="O30" s="521"/>
      <c r="P30" s="521"/>
      <c r="Q30" s="329"/>
      <c r="R30" s="1429"/>
      <c r="S30" s="305"/>
      <c r="T30" s="521"/>
      <c r="U30" s="521"/>
      <c r="V30" s="521"/>
      <c r="W30" s="521"/>
      <c r="X30" s="521" t="e">
        <f t="shared" si="1"/>
        <v>#DIV/0!</v>
      </c>
      <c r="Y30" s="521"/>
      <c r="Z30" s="521"/>
      <c r="AA30" s="521"/>
      <c r="AB30" s="521"/>
      <c r="AC30" s="521"/>
      <c r="AD30" s="329" t="e">
        <f t="shared" si="0"/>
        <v>#DIV/0!</v>
      </c>
      <c r="AH30"/>
      <c r="AI30"/>
      <c r="AJ30"/>
      <c r="AK30"/>
      <c r="AL30"/>
      <c r="AM30"/>
      <c r="AN30"/>
      <c r="AO30"/>
    </row>
    <row r="31" spans="1:44" ht="13.5" thickBot="1">
      <c r="A31" s="308"/>
      <c r="B31" s="558" t="s">
        <v>121</v>
      </c>
      <c r="C31" s="306">
        <f t="shared" ref="C31:W31" si="4">C29-C30</f>
        <v>0</v>
      </c>
      <c r="D31" s="307">
        <f t="shared" si="4"/>
        <v>0</v>
      </c>
      <c r="E31" s="307">
        <f t="shared" si="4"/>
        <v>0</v>
      </c>
      <c r="F31" s="307">
        <f t="shared" si="4"/>
        <v>0</v>
      </c>
      <c r="G31" s="389">
        <f t="shared" si="4"/>
        <v>0</v>
      </c>
      <c r="H31" s="306">
        <f t="shared" si="4"/>
        <v>0</v>
      </c>
      <c r="I31" s="307">
        <f t="shared" si="4"/>
        <v>0</v>
      </c>
      <c r="J31" s="307">
        <f t="shared" si="4"/>
        <v>0</v>
      </c>
      <c r="K31" s="307">
        <f t="shared" si="4"/>
        <v>0</v>
      </c>
      <c r="L31" s="389">
        <f t="shared" si="4"/>
        <v>0</v>
      </c>
      <c r="M31" s="1204">
        <f t="shared" si="4"/>
        <v>0</v>
      </c>
      <c r="N31" s="307">
        <f t="shared" si="4"/>
        <v>0</v>
      </c>
      <c r="O31" s="307">
        <f t="shared" si="4"/>
        <v>0</v>
      </c>
      <c r="P31" s="307">
        <f t="shared" si="4"/>
        <v>0</v>
      </c>
      <c r="Q31" s="389">
        <f t="shared" si="4"/>
        <v>0</v>
      </c>
      <c r="R31" s="1429"/>
      <c r="S31" s="306">
        <f t="shared" si="4"/>
        <v>0</v>
      </c>
      <c r="T31" s="307">
        <f t="shared" si="4"/>
        <v>0</v>
      </c>
      <c r="U31" s="307">
        <f t="shared" si="4"/>
        <v>0</v>
      </c>
      <c r="V31" s="307">
        <f t="shared" si="4"/>
        <v>0</v>
      </c>
      <c r="W31" s="307">
        <f t="shared" si="4"/>
        <v>0</v>
      </c>
      <c r="X31" s="307" t="e">
        <f t="shared" si="1"/>
        <v>#DIV/0!</v>
      </c>
      <c r="Y31" s="307">
        <f t="shared" ref="Y31:AC31" si="5">Y29-Y30</f>
        <v>0</v>
      </c>
      <c r="Z31" s="307">
        <f t="shared" si="5"/>
        <v>0</v>
      </c>
      <c r="AA31" s="307">
        <f t="shared" si="5"/>
        <v>0</v>
      </c>
      <c r="AB31" s="307">
        <f t="shared" si="5"/>
        <v>0</v>
      </c>
      <c r="AC31" s="307">
        <f t="shared" si="5"/>
        <v>0</v>
      </c>
      <c r="AD31" s="389" t="e">
        <f t="shared" si="0"/>
        <v>#DIV/0!</v>
      </c>
      <c r="AH31"/>
      <c r="AI31"/>
      <c r="AJ31"/>
      <c r="AK31"/>
      <c r="AL31"/>
      <c r="AM31"/>
      <c r="AN31"/>
      <c r="AO31"/>
    </row>
    <row r="32" spans="1:44" ht="31.5" customHeight="1" thickBot="1">
      <c r="A32" s="862"/>
      <c r="B32" s="1724" t="s">
        <v>125</v>
      </c>
      <c r="C32" s="309"/>
      <c r="D32" s="1247"/>
      <c r="E32" s="1247"/>
      <c r="F32" s="1247"/>
      <c r="G32" s="1247"/>
      <c r="H32" s="1247"/>
      <c r="I32" s="1247"/>
      <c r="J32" s="1247"/>
      <c r="K32" s="1247"/>
      <c r="L32" s="1247"/>
      <c r="M32" s="1247"/>
      <c r="N32" s="1247"/>
      <c r="O32" s="1247"/>
      <c r="P32" s="1247"/>
      <c r="Q32" s="1248"/>
      <c r="R32" s="1429"/>
      <c r="S32" s="309"/>
      <c r="T32" s="1247"/>
      <c r="U32" s="1247"/>
      <c r="V32" s="1247"/>
      <c r="W32" s="1247"/>
      <c r="X32" s="1247"/>
      <c r="Y32" s="1247"/>
      <c r="Z32" s="1247"/>
      <c r="AA32" s="1247"/>
      <c r="AB32" s="1247"/>
      <c r="AC32" s="1247"/>
      <c r="AD32" s="1248"/>
      <c r="AH32"/>
      <c r="AI32"/>
      <c r="AJ32"/>
      <c r="AK32"/>
      <c r="AL32"/>
      <c r="AM32"/>
      <c r="AN32"/>
      <c r="AO32"/>
    </row>
    <row r="33" spans="1:41" ht="13.5" thickBot="1">
      <c r="A33" s="1429"/>
      <c r="B33" s="1429"/>
      <c r="C33" s="1429"/>
      <c r="D33" s="1429"/>
      <c r="E33" s="1429"/>
      <c r="F33" s="1429"/>
      <c r="G33" s="1429"/>
      <c r="H33" s="1429"/>
      <c r="I33" s="1429"/>
      <c r="J33" s="1429"/>
      <c r="K33" s="1429"/>
      <c r="L33" s="1429"/>
      <c r="M33" s="1429"/>
      <c r="N33" s="1429"/>
      <c r="O33" s="1429"/>
      <c r="P33" s="1429"/>
      <c r="Q33" s="1429"/>
      <c r="R33" s="1429"/>
      <c r="S33" s="1429"/>
      <c r="T33" s="1429"/>
      <c r="U33" s="1429"/>
      <c r="V33" s="1429"/>
      <c r="W33" s="1429"/>
      <c r="X33" s="1429"/>
      <c r="Y33" s="1429"/>
      <c r="Z33" s="1429"/>
      <c r="AA33" s="1429"/>
      <c r="AB33" s="1429"/>
      <c r="AC33" s="1429"/>
      <c r="AD33" s="1429"/>
      <c r="AH33"/>
      <c r="AI33"/>
      <c r="AJ33"/>
      <c r="AK33"/>
      <c r="AL33"/>
      <c r="AM33"/>
      <c r="AN33"/>
      <c r="AO33"/>
    </row>
    <row r="34" spans="1:41" ht="16.5" thickBot="1">
      <c r="A34" s="992"/>
      <c r="B34" s="298" t="s">
        <v>590</v>
      </c>
      <c r="C34" s="317"/>
      <c r="D34" s="317"/>
      <c r="E34" s="317"/>
      <c r="F34" s="317"/>
      <c r="G34" s="317"/>
      <c r="H34" s="317"/>
      <c r="I34" s="317"/>
      <c r="J34" s="317"/>
      <c r="K34" s="317"/>
      <c r="L34" s="317"/>
      <c r="M34" s="317"/>
      <c r="N34" s="317"/>
      <c r="O34" s="317"/>
      <c r="P34" s="317"/>
      <c r="Q34" s="317"/>
      <c r="R34" s="1429"/>
      <c r="S34" s="317"/>
      <c r="T34" s="317"/>
      <c r="U34" s="317"/>
      <c r="V34" s="317"/>
      <c r="W34" s="317"/>
      <c r="X34" s="317"/>
      <c r="Y34" s="317"/>
      <c r="Z34" s="317"/>
      <c r="AA34" s="317"/>
      <c r="AB34" s="317"/>
      <c r="AC34" s="317"/>
      <c r="AD34" s="318"/>
      <c r="AH34"/>
      <c r="AI34"/>
      <c r="AJ34"/>
      <c r="AK34"/>
      <c r="AL34"/>
      <c r="AM34"/>
      <c r="AN34"/>
      <c r="AO34"/>
    </row>
    <row r="35" spans="1:41">
      <c r="A35" s="308"/>
      <c r="B35" s="558" t="s">
        <v>357</v>
      </c>
      <c r="C35" s="319"/>
      <c r="D35" s="320"/>
      <c r="E35" s="320"/>
      <c r="F35" s="320"/>
      <c r="G35" s="386"/>
      <c r="H35" s="319"/>
      <c r="I35" s="320"/>
      <c r="J35" s="320"/>
      <c r="K35" s="320"/>
      <c r="L35" s="386"/>
      <c r="M35" s="1191"/>
      <c r="N35" s="320"/>
      <c r="O35" s="320"/>
      <c r="P35" s="320"/>
      <c r="Q35" s="386"/>
      <c r="R35" s="1429"/>
      <c r="S35" s="388"/>
      <c r="T35" s="321"/>
      <c r="U35" s="321"/>
      <c r="V35" s="321"/>
      <c r="W35" s="321"/>
      <c r="X35" s="1123"/>
      <c r="Y35" s="321"/>
      <c r="Z35" s="321"/>
      <c r="AA35" s="321"/>
      <c r="AB35" s="321"/>
      <c r="AC35" s="321"/>
      <c r="AD35" s="322"/>
      <c r="AH35"/>
      <c r="AI35"/>
      <c r="AJ35"/>
      <c r="AK35"/>
      <c r="AL35"/>
      <c r="AM35"/>
      <c r="AN35"/>
      <c r="AO35"/>
    </row>
    <row r="36" spans="1:41">
      <c r="A36" s="308"/>
      <c r="B36" s="299" t="str">
        <f>B24</f>
        <v>Electricity to gas</v>
      </c>
      <c r="C36" s="514"/>
      <c r="D36" s="513"/>
      <c r="E36" s="513"/>
      <c r="F36" s="513"/>
      <c r="G36" s="515"/>
      <c r="H36" s="514"/>
      <c r="I36" s="513"/>
      <c r="J36" s="513"/>
      <c r="K36" s="513"/>
      <c r="L36" s="515"/>
      <c r="M36" s="467"/>
      <c r="N36" s="513"/>
      <c r="O36" s="513"/>
      <c r="P36" s="513"/>
      <c r="Q36" s="515"/>
      <c r="R36" s="1429"/>
      <c r="S36" s="514"/>
      <c r="T36" s="513"/>
      <c r="U36" s="513"/>
      <c r="V36" s="513"/>
      <c r="W36" s="513"/>
      <c r="X36" s="1124" t="e">
        <f>SUM(C36:G36)/SUM(S36:W36)-1</f>
        <v>#DIV/0!</v>
      </c>
      <c r="Y36" s="311"/>
      <c r="Z36" s="311"/>
      <c r="AA36" s="311"/>
      <c r="AB36" s="311"/>
      <c r="AC36" s="311"/>
      <c r="AD36" s="323" t="e">
        <f>SUM(H36:L36)/SUM(Y36:AC36)-1</f>
        <v>#DIV/0!</v>
      </c>
      <c r="AH36"/>
      <c r="AI36"/>
      <c r="AJ36"/>
      <c r="AK36"/>
      <c r="AL36"/>
      <c r="AM36"/>
      <c r="AN36"/>
      <c r="AO36"/>
    </row>
    <row r="37" spans="1:41">
      <c r="A37" s="308"/>
      <c r="B37" s="299" t="str">
        <f t="shared" ref="B37:B40" si="6">B25</f>
        <v>New homes</v>
      </c>
      <c r="C37" s="514"/>
      <c r="D37" s="513"/>
      <c r="E37" s="513"/>
      <c r="F37" s="513"/>
      <c r="G37" s="515"/>
      <c r="H37" s="514"/>
      <c r="I37" s="513"/>
      <c r="J37" s="513"/>
      <c r="K37" s="513"/>
      <c r="L37" s="515"/>
      <c r="M37" s="467"/>
      <c r="N37" s="513"/>
      <c r="O37" s="513"/>
      <c r="P37" s="513"/>
      <c r="Q37" s="515"/>
      <c r="R37" s="1429"/>
      <c r="S37" s="514"/>
      <c r="T37" s="513"/>
      <c r="U37" s="513"/>
      <c r="V37" s="513"/>
      <c r="W37" s="513"/>
      <c r="X37" s="1124" t="e">
        <f>SUM(C37:G37)/SUM(S37:W37)-1</f>
        <v>#DIV/0!</v>
      </c>
      <c r="Y37" s="311"/>
      <c r="Z37" s="311"/>
      <c r="AA37" s="311"/>
      <c r="AB37" s="311"/>
      <c r="AC37" s="311"/>
      <c r="AD37" s="323" t="e">
        <f>SUM(H37:L37)/SUM(Y37:AC37)-1</f>
        <v>#DIV/0!</v>
      </c>
      <c r="AH37"/>
      <c r="AI37"/>
      <c r="AJ37"/>
      <c r="AK37"/>
      <c r="AL37"/>
      <c r="AM37"/>
      <c r="AN37"/>
      <c r="AO37"/>
    </row>
    <row r="38" spans="1:41">
      <c r="A38" s="308"/>
      <c r="B38" s="299" t="str">
        <f t="shared" si="6"/>
        <v>New medium density / high rise</v>
      </c>
      <c r="C38" s="514"/>
      <c r="D38" s="513"/>
      <c r="E38" s="513"/>
      <c r="F38" s="513"/>
      <c r="G38" s="515"/>
      <c r="H38" s="514"/>
      <c r="I38" s="513"/>
      <c r="J38" s="513"/>
      <c r="K38" s="513"/>
      <c r="L38" s="515"/>
      <c r="M38" s="467"/>
      <c r="N38" s="513"/>
      <c r="O38" s="513"/>
      <c r="P38" s="513"/>
      <c r="Q38" s="515"/>
      <c r="R38" s="1429"/>
      <c r="S38" s="514"/>
      <c r="T38" s="513"/>
      <c r="U38" s="513"/>
      <c r="V38" s="513"/>
      <c r="W38" s="513"/>
      <c r="X38" s="1124" t="e">
        <f>SUM(C38:G38)/SUM(S38:W38)-1</f>
        <v>#DIV/0!</v>
      </c>
      <c r="Y38" s="311"/>
      <c r="Z38" s="311"/>
      <c r="AA38" s="311"/>
      <c r="AB38" s="311"/>
      <c r="AC38" s="311"/>
      <c r="AD38" s="323" t="e">
        <f>SUM(H38:L38)/SUM(Y38:AC38)-1</f>
        <v>#DIV/0!</v>
      </c>
      <c r="AH38"/>
      <c r="AI38"/>
      <c r="AJ38"/>
      <c r="AK38"/>
      <c r="AL38"/>
      <c r="AM38"/>
      <c r="AN38"/>
      <c r="AO38"/>
    </row>
    <row r="39" spans="1:41">
      <c r="A39" s="308"/>
      <c r="B39" s="299" t="str">
        <f t="shared" si="6"/>
        <v>I&amp;C tariff</v>
      </c>
      <c r="C39" s="514"/>
      <c r="D39" s="513"/>
      <c r="E39" s="513"/>
      <c r="F39" s="513"/>
      <c r="G39" s="515"/>
      <c r="H39" s="514"/>
      <c r="I39" s="513"/>
      <c r="J39" s="513"/>
      <c r="K39" s="513"/>
      <c r="L39" s="515"/>
      <c r="M39" s="467"/>
      <c r="N39" s="513"/>
      <c r="O39" s="513"/>
      <c r="P39" s="513"/>
      <c r="Q39" s="515"/>
      <c r="R39" s="1429"/>
      <c r="S39" s="514"/>
      <c r="T39" s="513"/>
      <c r="U39" s="513"/>
      <c r="V39" s="513"/>
      <c r="W39" s="513"/>
      <c r="X39" s="1124" t="e">
        <f>SUM(C39:G39)/SUM(S39:W39)-1</f>
        <v>#DIV/0!</v>
      </c>
      <c r="Y39" s="311"/>
      <c r="Z39" s="311"/>
      <c r="AA39" s="311"/>
      <c r="AB39" s="311"/>
      <c r="AC39" s="311"/>
      <c r="AD39" s="323" t="e">
        <f>SUM(H39:L39)/SUM(Y39:AC39)-1</f>
        <v>#DIV/0!</v>
      </c>
      <c r="AH39"/>
      <c r="AI39"/>
      <c r="AJ39"/>
      <c r="AK39"/>
      <c r="AL39"/>
      <c r="AM39"/>
      <c r="AN39"/>
      <c r="AO39"/>
    </row>
    <row r="40" spans="1:41">
      <c r="A40" s="308"/>
      <c r="B40" s="299" t="str">
        <f t="shared" si="6"/>
        <v>I&amp;C contract</v>
      </c>
      <c r="C40" s="514"/>
      <c r="D40" s="513"/>
      <c r="E40" s="513"/>
      <c r="F40" s="513"/>
      <c r="G40" s="515"/>
      <c r="H40" s="514"/>
      <c r="I40" s="513"/>
      <c r="J40" s="513"/>
      <c r="K40" s="513"/>
      <c r="L40" s="515"/>
      <c r="M40" s="467"/>
      <c r="N40" s="513"/>
      <c r="O40" s="513"/>
      <c r="P40" s="513"/>
      <c r="Q40" s="515"/>
      <c r="R40" s="1429"/>
      <c r="S40" s="514"/>
      <c r="T40" s="513"/>
      <c r="U40" s="513"/>
      <c r="V40" s="513"/>
      <c r="W40" s="513"/>
      <c r="X40" s="1124" t="e">
        <f>SUM(C40:G40)/SUM(S40:W40)-1</f>
        <v>#DIV/0!</v>
      </c>
      <c r="Y40" s="311"/>
      <c r="Z40" s="311"/>
      <c r="AA40" s="311"/>
      <c r="AB40" s="311"/>
      <c r="AC40" s="311"/>
      <c r="AD40" s="323" t="e">
        <f>SUM(H40:L40)/SUM(Y40:AC40)-1</f>
        <v>#DIV/0!</v>
      </c>
      <c r="AH40"/>
      <c r="AI40"/>
      <c r="AJ40"/>
      <c r="AK40"/>
      <c r="AL40"/>
      <c r="AM40"/>
      <c r="AN40"/>
      <c r="AO40"/>
    </row>
    <row r="41" spans="1:41">
      <c r="A41" s="308"/>
      <c r="B41" s="558" t="s">
        <v>462</v>
      </c>
      <c r="C41" s="324"/>
      <c r="D41" s="312"/>
      <c r="E41" s="312"/>
      <c r="F41" s="312"/>
      <c r="G41" s="387"/>
      <c r="H41" s="324"/>
      <c r="I41" s="312"/>
      <c r="J41" s="312"/>
      <c r="K41" s="312"/>
      <c r="L41" s="387"/>
      <c r="M41" s="1192"/>
      <c r="N41" s="312"/>
      <c r="O41" s="312"/>
      <c r="P41" s="312"/>
      <c r="Q41" s="387"/>
      <c r="R41" s="1429"/>
      <c r="S41" s="314"/>
      <c r="T41" s="313"/>
      <c r="U41" s="313"/>
      <c r="V41" s="313"/>
      <c r="W41" s="313"/>
      <c r="X41" s="1125"/>
      <c r="Y41" s="313"/>
      <c r="Z41" s="313"/>
      <c r="AA41" s="313"/>
      <c r="AB41" s="313"/>
      <c r="AC41" s="313"/>
      <c r="AD41" s="325"/>
      <c r="AH41"/>
      <c r="AI41"/>
      <c r="AJ41"/>
      <c r="AK41"/>
      <c r="AL41"/>
      <c r="AM41"/>
      <c r="AN41"/>
      <c r="AO41"/>
    </row>
    <row r="42" spans="1:41">
      <c r="A42" s="308"/>
      <c r="B42" s="299" t="str">
        <f>B24</f>
        <v>Electricity to gas</v>
      </c>
      <c r="C42" s="514"/>
      <c r="D42" s="513"/>
      <c r="E42" s="513"/>
      <c r="F42" s="513"/>
      <c r="G42" s="515"/>
      <c r="H42" s="514"/>
      <c r="I42" s="513"/>
      <c r="J42" s="513"/>
      <c r="K42" s="513"/>
      <c r="L42" s="515"/>
      <c r="M42" s="467"/>
      <c r="N42" s="513"/>
      <c r="O42" s="513"/>
      <c r="P42" s="513"/>
      <c r="Q42" s="515"/>
      <c r="R42" s="1429"/>
      <c r="S42" s="514"/>
      <c r="T42" s="513"/>
      <c r="U42" s="513"/>
      <c r="V42" s="513"/>
      <c r="W42" s="513"/>
      <c r="X42" s="1124" t="e">
        <f>SUM(C42:G42)/SUM(S42:W42)-1</f>
        <v>#DIV/0!</v>
      </c>
      <c r="Y42" s="311"/>
      <c r="Z42" s="311"/>
      <c r="AA42" s="311"/>
      <c r="AB42" s="311"/>
      <c r="AC42" s="311"/>
      <c r="AD42" s="323" t="e">
        <f>SUM(H42:L42)/SUM(Y42:AC42)-1</f>
        <v>#DIV/0!</v>
      </c>
      <c r="AH42"/>
      <c r="AI42"/>
      <c r="AJ42"/>
      <c r="AK42"/>
      <c r="AL42"/>
      <c r="AM42"/>
      <c r="AN42"/>
      <c r="AO42"/>
    </row>
    <row r="43" spans="1:41">
      <c r="A43" s="308"/>
      <c r="B43" s="299" t="str">
        <f t="shared" ref="B43:B46" si="7">B25</f>
        <v>New homes</v>
      </c>
      <c r="C43" s="514"/>
      <c r="D43" s="513"/>
      <c r="E43" s="513"/>
      <c r="F43" s="513"/>
      <c r="G43" s="515"/>
      <c r="H43" s="514"/>
      <c r="I43" s="513"/>
      <c r="J43" s="513"/>
      <c r="K43" s="513"/>
      <c r="L43" s="515"/>
      <c r="M43" s="467"/>
      <c r="N43" s="513"/>
      <c r="O43" s="513"/>
      <c r="P43" s="513"/>
      <c r="Q43" s="515"/>
      <c r="R43" s="1429"/>
      <c r="S43" s="514"/>
      <c r="T43" s="513"/>
      <c r="U43" s="513"/>
      <c r="V43" s="513"/>
      <c r="W43" s="513"/>
      <c r="X43" s="1124" t="e">
        <f>SUM(C43:G43)/SUM(S43:W43)-1</f>
        <v>#DIV/0!</v>
      </c>
      <c r="Y43" s="311"/>
      <c r="Z43" s="311"/>
      <c r="AA43" s="311"/>
      <c r="AB43" s="311"/>
      <c r="AC43" s="311"/>
      <c r="AD43" s="323" t="e">
        <f>SUM(H43:L43)/SUM(Y43:AC43)-1</f>
        <v>#DIV/0!</v>
      </c>
      <c r="AH43"/>
      <c r="AI43"/>
      <c r="AJ43"/>
      <c r="AK43"/>
      <c r="AL43"/>
      <c r="AM43"/>
      <c r="AN43"/>
      <c r="AO43"/>
    </row>
    <row r="44" spans="1:41">
      <c r="A44" s="308"/>
      <c r="B44" s="299" t="str">
        <f t="shared" si="7"/>
        <v>New medium density / high rise</v>
      </c>
      <c r="C44" s="514"/>
      <c r="D44" s="513"/>
      <c r="E44" s="513"/>
      <c r="F44" s="513"/>
      <c r="G44" s="515"/>
      <c r="H44" s="514"/>
      <c r="I44" s="513"/>
      <c r="J44" s="513"/>
      <c r="K44" s="513"/>
      <c r="L44" s="515"/>
      <c r="M44" s="467"/>
      <c r="N44" s="513"/>
      <c r="O44" s="513"/>
      <c r="P44" s="513"/>
      <c r="Q44" s="515"/>
      <c r="R44" s="1429"/>
      <c r="S44" s="514"/>
      <c r="T44" s="513"/>
      <c r="U44" s="513"/>
      <c r="V44" s="513"/>
      <c r="W44" s="513"/>
      <c r="X44" s="1124" t="e">
        <f>SUM(C44:G44)/SUM(S44:W44)-1</f>
        <v>#DIV/0!</v>
      </c>
      <c r="Y44" s="311"/>
      <c r="Z44" s="311"/>
      <c r="AA44" s="311"/>
      <c r="AB44" s="311"/>
      <c r="AC44" s="311"/>
      <c r="AD44" s="323" t="e">
        <f>SUM(H44:L44)/SUM(Y44:AC44)-1</f>
        <v>#DIV/0!</v>
      </c>
      <c r="AH44"/>
      <c r="AI44"/>
      <c r="AJ44"/>
      <c r="AK44"/>
      <c r="AL44"/>
      <c r="AM44"/>
      <c r="AN44"/>
      <c r="AO44"/>
    </row>
    <row r="45" spans="1:41">
      <c r="A45" s="308"/>
      <c r="B45" s="299" t="str">
        <f t="shared" si="7"/>
        <v>I&amp;C tariff</v>
      </c>
      <c r="C45" s="514"/>
      <c r="D45" s="513"/>
      <c r="E45" s="513"/>
      <c r="F45" s="513"/>
      <c r="G45" s="515"/>
      <c r="H45" s="514"/>
      <c r="I45" s="513"/>
      <c r="J45" s="513"/>
      <c r="K45" s="513"/>
      <c r="L45" s="515"/>
      <c r="M45" s="467"/>
      <c r="N45" s="513"/>
      <c r="O45" s="513"/>
      <c r="P45" s="513"/>
      <c r="Q45" s="515"/>
      <c r="R45" s="1429"/>
      <c r="S45" s="514"/>
      <c r="T45" s="513"/>
      <c r="U45" s="513"/>
      <c r="V45" s="513"/>
      <c r="W45" s="513"/>
      <c r="X45" s="1124" t="e">
        <f>SUM(C45:G45)/SUM(S45:W45)-1</f>
        <v>#DIV/0!</v>
      </c>
      <c r="Y45" s="311"/>
      <c r="Z45" s="311"/>
      <c r="AA45" s="311"/>
      <c r="AB45" s="311"/>
      <c r="AC45" s="311"/>
      <c r="AD45" s="323" t="e">
        <f>SUM(H45:L45)/SUM(Y45:AC45)-1</f>
        <v>#DIV/0!</v>
      </c>
      <c r="AH45"/>
      <c r="AI45"/>
      <c r="AJ45"/>
      <c r="AK45"/>
      <c r="AL45"/>
      <c r="AM45"/>
      <c r="AN45"/>
      <c r="AO45"/>
    </row>
    <row r="46" spans="1:41">
      <c r="A46" s="308"/>
      <c r="B46" s="299" t="str">
        <f t="shared" si="7"/>
        <v>I&amp;C contract</v>
      </c>
      <c r="C46" s="514"/>
      <c r="D46" s="513"/>
      <c r="E46" s="513"/>
      <c r="F46" s="513"/>
      <c r="G46" s="515"/>
      <c r="H46" s="514"/>
      <c r="I46" s="513"/>
      <c r="J46" s="513"/>
      <c r="K46" s="513"/>
      <c r="L46" s="515"/>
      <c r="M46" s="467"/>
      <c r="N46" s="513"/>
      <c r="O46" s="513"/>
      <c r="P46" s="513"/>
      <c r="Q46" s="515"/>
      <c r="R46" s="1429"/>
      <c r="S46" s="514"/>
      <c r="T46" s="513"/>
      <c r="U46" s="513"/>
      <c r="V46" s="513"/>
      <c r="W46" s="513"/>
      <c r="X46" s="1124" t="e">
        <f>SUM(C46:G46)/SUM(S46:W46)-1</f>
        <v>#DIV/0!</v>
      </c>
      <c r="Y46" s="311"/>
      <c r="Z46" s="311"/>
      <c r="AA46" s="311"/>
      <c r="AB46" s="311"/>
      <c r="AC46" s="311"/>
      <c r="AD46" s="323" t="e">
        <f>SUM(H46:L46)/SUM(Y46:AC46)-1</f>
        <v>#DIV/0!</v>
      </c>
      <c r="AH46"/>
      <c r="AI46"/>
      <c r="AJ46"/>
      <c r="AK46"/>
      <c r="AL46"/>
      <c r="AM46"/>
      <c r="AN46"/>
      <c r="AO46"/>
    </row>
    <row r="47" spans="1:41">
      <c r="A47" s="308"/>
      <c r="B47" s="558" t="s">
        <v>358</v>
      </c>
      <c r="C47" s="324"/>
      <c r="D47" s="312"/>
      <c r="E47" s="312"/>
      <c r="F47" s="312"/>
      <c r="G47" s="387"/>
      <c r="H47" s="324"/>
      <c r="I47" s="312"/>
      <c r="J47" s="312"/>
      <c r="K47" s="312"/>
      <c r="L47" s="387"/>
      <c r="M47" s="1192"/>
      <c r="N47" s="312"/>
      <c r="O47" s="312"/>
      <c r="P47" s="312"/>
      <c r="Q47" s="387"/>
      <c r="R47" s="1429"/>
      <c r="S47" s="314"/>
      <c r="T47" s="313"/>
      <c r="U47" s="313"/>
      <c r="V47" s="313"/>
      <c r="W47" s="313"/>
      <c r="X47" s="1125"/>
      <c r="Y47" s="313"/>
      <c r="Z47" s="313"/>
      <c r="AA47" s="313"/>
      <c r="AB47" s="313"/>
      <c r="AC47" s="313"/>
      <c r="AD47" s="325"/>
      <c r="AH47"/>
      <c r="AI47"/>
      <c r="AJ47"/>
      <c r="AK47"/>
      <c r="AL47"/>
      <c r="AM47"/>
      <c r="AN47"/>
      <c r="AO47"/>
    </row>
    <row r="48" spans="1:41">
      <c r="A48" s="308"/>
      <c r="B48" s="299" t="str">
        <f>B24</f>
        <v>Electricity to gas</v>
      </c>
      <c r="C48" s="514"/>
      <c r="D48" s="513"/>
      <c r="E48" s="513"/>
      <c r="F48" s="513"/>
      <c r="G48" s="515"/>
      <c r="H48" s="514"/>
      <c r="I48" s="513"/>
      <c r="J48" s="513"/>
      <c r="K48" s="513"/>
      <c r="L48" s="515"/>
      <c r="M48" s="467"/>
      <c r="N48" s="513"/>
      <c r="O48" s="513"/>
      <c r="P48" s="513"/>
      <c r="Q48" s="515"/>
      <c r="R48" s="1429"/>
      <c r="S48" s="514"/>
      <c r="T48" s="513"/>
      <c r="U48" s="513"/>
      <c r="V48" s="513"/>
      <c r="W48" s="513"/>
      <c r="X48" s="1124" t="e">
        <f>SUM(C48:G48)/SUM(S48:W48)-1</f>
        <v>#DIV/0!</v>
      </c>
      <c r="Y48" s="311"/>
      <c r="Z48" s="311"/>
      <c r="AA48" s="311"/>
      <c r="AB48" s="311"/>
      <c r="AC48" s="311"/>
      <c r="AD48" s="323" t="e">
        <f>SUM(H48:L48)/SUM(Y48:AC48)-1</f>
        <v>#DIV/0!</v>
      </c>
      <c r="AH48"/>
      <c r="AI48"/>
      <c r="AJ48"/>
      <c r="AK48"/>
      <c r="AL48"/>
      <c r="AM48"/>
      <c r="AN48"/>
      <c r="AO48"/>
    </row>
    <row r="49" spans="1:43">
      <c r="A49" s="308"/>
      <c r="B49" s="299" t="str">
        <f t="shared" ref="B49:B52" si="8">B25</f>
        <v>New homes</v>
      </c>
      <c r="C49" s="514"/>
      <c r="D49" s="513"/>
      <c r="E49" s="513"/>
      <c r="F49" s="513"/>
      <c r="G49" s="515"/>
      <c r="H49" s="514"/>
      <c r="I49" s="513"/>
      <c r="J49" s="513"/>
      <c r="K49" s="513"/>
      <c r="L49" s="515"/>
      <c r="M49" s="467"/>
      <c r="N49" s="513"/>
      <c r="O49" s="513"/>
      <c r="P49" s="513"/>
      <c r="Q49" s="515"/>
      <c r="R49" s="1429"/>
      <c r="S49" s="514"/>
      <c r="T49" s="513"/>
      <c r="U49" s="513"/>
      <c r="V49" s="513"/>
      <c r="W49" s="513"/>
      <c r="X49" s="1124" t="e">
        <f>SUM(C49:G49)/SUM(S49:W49)-1</f>
        <v>#DIV/0!</v>
      </c>
      <c r="Y49" s="311"/>
      <c r="Z49" s="311"/>
      <c r="AA49" s="311"/>
      <c r="AB49" s="311"/>
      <c r="AC49" s="311"/>
      <c r="AD49" s="323" t="e">
        <f>SUM(H49:L49)/SUM(Y49:AC49)-1</f>
        <v>#DIV/0!</v>
      </c>
      <c r="AH49"/>
      <c r="AI49"/>
      <c r="AJ49"/>
      <c r="AK49"/>
      <c r="AL49"/>
      <c r="AM49"/>
      <c r="AN49"/>
      <c r="AO49"/>
    </row>
    <row r="50" spans="1:43">
      <c r="A50" s="308"/>
      <c r="B50" s="299" t="str">
        <f t="shared" si="8"/>
        <v>New medium density / high rise</v>
      </c>
      <c r="C50" s="514"/>
      <c r="D50" s="513"/>
      <c r="E50" s="513"/>
      <c r="F50" s="513"/>
      <c r="G50" s="515"/>
      <c r="H50" s="514"/>
      <c r="I50" s="513"/>
      <c r="J50" s="513"/>
      <c r="K50" s="513"/>
      <c r="L50" s="515"/>
      <c r="M50" s="467"/>
      <c r="N50" s="513"/>
      <c r="O50" s="513"/>
      <c r="P50" s="513"/>
      <c r="Q50" s="515"/>
      <c r="R50" s="1429"/>
      <c r="S50" s="514"/>
      <c r="T50" s="513"/>
      <c r="U50" s="513"/>
      <c r="V50" s="513"/>
      <c r="W50" s="513"/>
      <c r="X50" s="1124" t="e">
        <f>SUM(C50:G50)/SUM(S50:W50)-1</f>
        <v>#DIV/0!</v>
      </c>
      <c r="Y50" s="311"/>
      <c r="Z50" s="311"/>
      <c r="AA50" s="311"/>
      <c r="AB50" s="311"/>
      <c r="AC50" s="311"/>
      <c r="AD50" s="323" t="e">
        <f>SUM(H50:L50)/SUM(Y50:AC50)-1</f>
        <v>#DIV/0!</v>
      </c>
      <c r="AH50"/>
      <c r="AI50"/>
      <c r="AJ50"/>
      <c r="AK50"/>
      <c r="AL50"/>
      <c r="AM50"/>
      <c r="AN50"/>
      <c r="AO50"/>
    </row>
    <row r="51" spans="1:43">
      <c r="A51" s="308"/>
      <c r="B51" s="299" t="str">
        <f t="shared" si="8"/>
        <v>I&amp;C tariff</v>
      </c>
      <c r="C51" s="514"/>
      <c r="D51" s="513"/>
      <c r="E51" s="513"/>
      <c r="F51" s="513"/>
      <c r="G51" s="515"/>
      <c r="H51" s="514"/>
      <c r="I51" s="513"/>
      <c r="J51" s="513"/>
      <c r="K51" s="513"/>
      <c r="L51" s="515"/>
      <c r="M51" s="467"/>
      <c r="N51" s="513"/>
      <c r="O51" s="513"/>
      <c r="P51" s="513"/>
      <c r="Q51" s="515"/>
      <c r="R51" s="1429"/>
      <c r="S51" s="514"/>
      <c r="T51" s="513"/>
      <c r="U51" s="513"/>
      <c r="V51" s="513"/>
      <c r="W51" s="513"/>
      <c r="X51" s="1124" t="e">
        <f>SUM(C51:G51)/SUM(S51:W51)-1</f>
        <v>#DIV/0!</v>
      </c>
      <c r="Y51" s="311"/>
      <c r="Z51" s="311"/>
      <c r="AA51" s="311"/>
      <c r="AB51" s="311"/>
      <c r="AC51" s="311"/>
      <c r="AD51" s="323" t="e">
        <f>SUM(H51:L51)/SUM(Y51:AC51)-1</f>
        <v>#DIV/0!</v>
      </c>
      <c r="AH51"/>
      <c r="AI51"/>
      <c r="AJ51"/>
      <c r="AK51"/>
      <c r="AL51"/>
      <c r="AM51"/>
      <c r="AN51"/>
      <c r="AO51"/>
    </row>
    <row r="52" spans="1:43" ht="13.5" thickBot="1">
      <c r="A52" s="308"/>
      <c r="B52" s="299" t="str">
        <f t="shared" si="8"/>
        <v>I&amp;C contract</v>
      </c>
      <c r="C52" s="514"/>
      <c r="D52" s="513"/>
      <c r="E52" s="513"/>
      <c r="F52" s="513"/>
      <c r="G52" s="515"/>
      <c r="H52" s="514"/>
      <c r="I52" s="513"/>
      <c r="J52" s="513"/>
      <c r="K52" s="513"/>
      <c r="L52" s="515"/>
      <c r="M52" s="467"/>
      <c r="N52" s="513"/>
      <c r="O52" s="513"/>
      <c r="P52" s="513"/>
      <c r="Q52" s="515"/>
      <c r="R52" s="1429"/>
      <c r="S52" s="514"/>
      <c r="T52" s="513"/>
      <c r="U52" s="513"/>
      <c r="V52" s="513"/>
      <c r="W52" s="513"/>
      <c r="X52" s="1124" t="e">
        <f>SUM(C52:G52)/SUM(S52:W52)-1</f>
        <v>#DIV/0!</v>
      </c>
      <c r="Y52" s="311"/>
      <c r="Z52" s="311"/>
      <c r="AA52" s="311"/>
      <c r="AB52" s="311"/>
      <c r="AC52" s="311"/>
      <c r="AD52" s="323" t="e">
        <f>SUM(H52:L52)/SUM(Y52:AC52)-1</f>
        <v>#DIV/0!</v>
      </c>
      <c r="AH52"/>
      <c r="AI52"/>
      <c r="AJ52"/>
      <c r="AK52"/>
      <c r="AL52"/>
      <c r="AM52"/>
      <c r="AN52"/>
      <c r="AO52"/>
    </row>
    <row r="53" spans="1:43" s="176" customFormat="1" ht="31.5" customHeight="1" thickBot="1">
      <c r="A53" s="862"/>
      <c r="B53" s="1724" t="s">
        <v>125</v>
      </c>
      <c r="C53" s="309"/>
      <c r="D53" s="1247"/>
      <c r="E53" s="1247"/>
      <c r="F53" s="1247"/>
      <c r="G53" s="1247"/>
      <c r="H53" s="1247"/>
      <c r="I53" s="1247"/>
      <c r="J53" s="1247"/>
      <c r="K53" s="1247"/>
      <c r="L53" s="1247"/>
      <c r="M53" s="1247"/>
      <c r="N53" s="1247"/>
      <c r="O53" s="1247"/>
      <c r="P53" s="1247"/>
      <c r="Q53" s="1248"/>
      <c r="R53" s="1429"/>
      <c r="S53" s="309"/>
      <c r="T53" s="1247"/>
      <c r="U53" s="1247"/>
      <c r="V53" s="1247"/>
      <c r="W53" s="1247"/>
      <c r="X53" s="1247"/>
      <c r="Y53" s="1247"/>
      <c r="Z53" s="1247"/>
      <c r="AA53" s="1247"/>
      <c r="AB53" s="1247"/>
      <c r="AC53" s="1247"/>
      <c r="AD53" s="1248"/>
      <c r="AE53"/>
      <c r="AG53"/>
      <c r="AH53"/>
      <c r="AI53"/>
      <c r="AJ53"/>
      <c r="AK53"/>
      <c r="AL53"/>
      <c r="AM53"/>
      <c r="AN53"/>
      <c r="AO53"/>
      <c r="AP53"/>
      <c r="AQ53"/>
    </row>
    <row r="54" spans="1:43" ht="13.5" thickBot="1">
      <c r="A54" s="1429"/>
      <c r="B54" s="1429"/>
      <c r="C54" s="1429"/>
      <c r="D54" s="1429"/>
      <c r="E54" s="1429"/>
      <c r="F54" s="1429"/>
      <c r="G54" s="1429"/>
      <c r="H54" s="1429"/>
      <c r="I54" s="1429"/>
      <c r="J54" s="1429"/>
      <c r="K54" s="1429"/>
      <c r="L54" s="1429"/>
      <c r="M54" s="1429"/>
      <c r="N54" s="1429"/>
      <c r="O54" s="1429"/>
      <c r="P54" s="1429"/>
      <c r="Q54" s="1429"/>
      <c r="R54" s="1429"/>
      <c r="S54" s="1429"/>
      <c r="T54" s="1429"/>
      <c r="U54" s="1429"/>
      <c r="V54" s="1429"/>
      <c r="W54" s="1429"/>
      <c r="X54" s="1429"/>
      <c r="Y54" s="1429"/>
      <c r="Z54" s="1429"/>
      <c r="AA54" s="1429"/>
      <c r="AB54" s="1429"/>
      <c r="AC54" s="1429"/>
      <c r="AD54" s="1429"/>
      <c r="AH54" s="1429"/>
      <c r="AI54" s="1429"/>
      <c r="AJ54" s="1429"/>
      <c r="AK54" s="1429"/>
      <c r="AL54" s="1429"/>
      <c r="AM54" s="1429"/>
      <c r="AN54" s="1429"/>
      <c r="AO54" s="1429"/>
    </row>
    <row r="55" spans="1:43" s="233" customFormat="1" ht="36.75" customHeight="1" thickBot="1">
      <c r="A55" s="992"/>
      <c r="B55" s="1571" t="s">
        <v>597</v>
      </c>
      <c r="C55" s="1574"/>
      <c r="D55" s="1574"/>
      <c r="E55" s="1574"/>
      <c r="F55" s="1574"/>
      <c r="G55" s="1574"/>
      <c r="H55" s="1574"/>
      <c r="I55" s="1574"/>
      <c r="J55" s="1574"/>
      <c r="K55" s="1574"/>
      <c r="L55" s="1574"/>
      <c r="M55" s="1574"/>
      <c r="N55" s="1574"/>
      <c r="O55" s="1574"/>
      <c r="P55" s="1574"/>
      <c r="Q55" s="1575"/>
      <c r="R55" s="1429"/>
      <c r="S55" s="1571"/>
      <c r="T55" s="1574"/>
      <c r="U55" s="1574"/>
      <c r="V55" s="1574"/>
      <c r="W55" s="1574"/>
      <c r="X55" s="1574"/>
      <c r="Y55" s="1574"/>
      <c r="Z55" s="1574"/>
      <c r="AA55" s="1574"/>
      <c r="AB55" s="1574"/>
      <c r="AC55" s="1574"/>
      <c r="AD55" s="1575"/>
      <c r="AE55" s="1427"/>
      <c r="AH55" s="1571" t="s">
        <v>681</v>
      </c>
      <c r="AI55" s="1574"/>
      <c r="AJ55" s="1574"/>
      <c r="AK55" s="1574"/>
      <c r="AL55" s="1574"/>
      <c r="AM55" s="1574"/>
      <c r="AN55" s="1574"/>
      <c r="AO55" s="1575"/>
    </row>
    <row r="56" spans="1:43" ht="35.25" customHeight="1">
      <c r="A56" s="1429"/>
      <c r="B56" s="1187"/>
      <c r="C56" s="3531" t="s">
        <v>36</v>
      </c>
      <c r="D56" s="3549"/>
      <c r="E56" s="3549"/>
      <c r="F56" s="3549"/>
      <c r="G56" s="3549"/>
      <c r="H56" s="3586" t="s">
        <v>37</v>
      </c>
      <c r="I56" s="3586"/>
      <c r="J56" s="3586"/>
      <c r="K56" s="3586"/>
      <c r="L56" s="3586"/>
      <c r="M56" s="3585" t="s">
        <v>73</v>
      </c>
      <c r="N56" s="3549"/>
      <c r="O56" s="3549"/>
      <c r="P56" s="3549"/>
      <c r="Q56" s="3596"/>
      <c r="R56" s="1429"/>
      <c r="S56" s="3562" t="s">
        <v>36</v>
      </c>
      <c r="T56" s="3585"/>
      <c r="U56" s="3585"/>
      <c r="V56" s="3585"/>
      <c r="W56" s="3585"/>
      <c r="X56" s="3585"/>
      <c r="Y56" s="3586" t="s">
        <v>37</v>
      </c>
      <c r="Z56" s="3586"/>
      <c r="AA56" s="3586"/>
      <c r="AB56" s="3586"/>
      <c r="AC56" s="3586"/>
      <c r="AD56" s="3587"/>
      <c r="AH56" s="3562" t="s">
        <v>36</v>
      </c>
      <c r="AI56" s="3549"/>
      <c r="AJ56" s="3549"/>
      <c r="AK56" s="3549"/>
      <c r="AL56" s="3549"/>
      <c r="AM56" s="3556" t="s">
        <v>37</v>
      </c>
      <c r="AN56" s="3557"/>
      <c r="AO56" s="3558"/>
    </row>
    <row r="57" spans="1:43" ht="15" customHeight="1">
      <c r="A57" s="291"/>
      <c r="B57" s="1188"/>
      <c r="C57" s="3550" t="s">
        <v>579</v>
      </c>
      <c r="D57" s="3551"/>
      <c r="E57" s="3551"/>
      <c r="F57" s="3551"/>
      <c r="G57" s="3551"/>
      <c r="H57" s="3551"/>
      <c r="I57" s="3551"/>
      <c r="J57" s="3595"/>
      <c r="K57" s="3589" t="str">
        <f>CONCATENATE("$0's, real ",dms_DollarReal)</f>
        <v>$0's, real December 2017</v>
      </c>
      <c r="L57" s="3590"/>
      <c r="M57" s="3590"/>
      <c r="N57" s="3590"/>
      <c r="O57" s="3590"/>
      <c r="P57" s="3590"/>
      <c r="Q57" s="3591"/>
      <c r="R57" s="1429"/>
      <c r="S57" s="3592" t="str">
        <f>CONCATENATE("$0's, real ",dms_DollarReal)</f>
        <v>$0's, real December 2017</v>
      </c>
      <c r="T57" s="3593"/>
      <c r="U57" s="3593"/>
      <c r="V57" s="3593"/>
      <c r="W57" s="3593"/>
      <c r="X57" s="1244" t="s">
        <v>118</v>
      </c>
      <c r="Y57" s="3594" t="str">
        <f>CONCATENATE("$0's, real ",dms_DollarReal)</f>
        <v>$0's, real December 2017</v>
      </c>
      <c r="Z57" s="3594"/>
      <c r="AA57" s="3594"/>
      <c r="AB57" s="3594"/>
      <c r="AC57" s="3594"/>
      <c r="AD57" s="1490" t="s">
        <v>118</v>
      </c>
      <c r="AH57" s="3550" t="str">
        <f>CONCATENATE("$0's, real ",dms_DollarReal)</f>
        <v>$0's, real December 2017</v>
      </c>
      <c r="AI57" s="3551"/>
      <c r="AJ57" s="3551"/>
      <c r="AK57" s="3551"/>
      <c r="AL57" s="3551"/>
      <c r="AM57" s="3551"/>
      <c r="AN57" s="3551"/>
      <c r="AO57" s="3552"/>
    </row>
    <row r="58" spans="1:43" ht="30">
      <c r="A58" s="1429"/>
      <c r="B58" s="1189"/>
      <c r="C58" s="3553" t="s">
        <v>54</v>
      </c>
      <c r="D58" s="3554"/>
      <c r="E58" s="3554"/>
      <c r="F58" s="3554"/>
      <c r="G58" s="3554"/>
      <c r="H58" s="3554"/>
      <c r="I58" s="3554"/>
      <c r="J58" s="3588"/>
      <c r="K58" s="3589" t="s">
        <v>55</v>
      </c>
      <c r="L58" s="3590"/>
      <c r="M58" s="3590"/>
      <c r="N58" s="3590"/>
      <c r="O58" s="3590"/>
      <c r="P58" s="3590"/>
      <c r="Q58" s="3591"/>
      <c r="R58" s="1429"/>
      <c r="S58" s="3592" t="s">
        <v>74</v>
      </c>
      <c r="T58" s="3593"/>
      <c r="U58" s="3593"/>
      <c r="V58" s="3593"/>
      <c r="W58" s="3593"/>
      <c r="X58" s="1244" t="s">
        <v>356</v>
      </c>
      <c r="Y58" s="3594" t="s">
        <v>74</v>
      </c>
      <c r="Z58" s="3594"/>
      <c r="AA58" s="3594"/>
      <c r="AB58" s="3594"/>
      <c r="AC58" s="3594"/>
      <c r="AD58" s="1490" t="s">
        <v>356</v>
      </c>
      <c r="AH58" s="3553" t="s">
        <v>54</v>
      </c>
      <c r="AI58" s="3554"/>
      <c r="AJ58" s="3554"/>
      <c r="AK58" s="3554"/>
      <c r="AL58" s="3554"/>
      <c r="AM58" s="3554"/>
      <c r="AN58" s="3554"/>
      <c r="AO58" s="3555"/>
    </row>
    <row r="59" spans="1:43" ht="15.75" thickBot="1">
      <c r="A59" s="293"/>
      <c r="B59" s="1190"/>
      <c r="C59" s="391">
        <f t="array" ref="C59:G59">PRCP</f>
        <v>2008</v>
      </c>
      <c r="D59" s="390">
        <v>2009</v>
      </c>
      <c r="E59" s="390">
        <v>2010</v>
      </c>
      <c r="F59" s="390">
        <v>2011</v>
      </c>
      <c r="G59" s="390">
        <v>2012</v>
      </c>
      <c r="H59" s="392">
        <f>CRCP_y1</f>
        <v>2013</v>
      </c>
      <c r="I59" s="392">
        <f>CRCP_y2</f>
        <v>2014</v>
      </c>
      <c r="J59" s="392">
        <f>CRCP_y3</f>
        <v>2015</v>
      </c>
      <c r="K59" s="392">
        <f>CRCP_y4</f>
        <v>2016</v>
      </c>
      <c r="L59" s="392">
        <f>CRCP_y5</f>
        <v>2017</v>
      </c>
      <c r="M59" s="390" t="str">
        <f t="array" ref="M59:Q59">FRCP</f>
        <v>2018</v>
      </c>
      <c r="N59" s="390">
        <v>2019</v>
      </c>
      <c r="O59" s="390">
        <v>2020</v>
      </c>
      <c r="P59" s="390">
        <v>2021</v>
      </c>
      <c r="Q59" s="498">
        <v>2022</v>
      </c>
      <c r="R59" s="1429"/>
      <c r="S59" s="1789">
        <f t="array" ref="S59:W59">PRCP</f>
        <v>2008</v>
      </c>
      <c r="T59" s="390">
        <v>2009</v>
      </c>
      <c r="U59" s="390">
        <v>2010</v>
      </c>
      <c r="V59" s="390">
        <v>2011</v>
      </c>
      <c r="W59" s="390">
        <v>2012</v>
      </c>
      <c r="X59" s="1245" t="s">
        <v>116</v>
      </c>
      <c r="Y59" s="392">
        <f>CRCP_y1</f>
        <v>2013</v>
      </c>
      <c r="Z59" s="392">
        <f>CRCP_y2</f>
        <v>2014</v>
      </c>
      <c r="AA59" s="392">
        <f>CRCP_y3</f>
        <v>2015</v>
      </c>
      <c r="AB59" s="392">
        <f>CRCP_y4</f>
        <v>2016</v>
      </c>
      <c r="AC59" s="392">
        <f>CRCP_y5</f>
        <v>2017</v>
      </c>
      <c r="AD59" s="1491" t="s">
        <v>116</v>
      </c>
      <c r="AH59" s="1789">
        <f t="array" ref="AH59:AL59">PRCP</f>
        <v>2008</v>
      </c>
      <c r="AI59" s="390">
        <v>2009</v>
      </c>
      <c r="AJ59" s="390">
        <v>2010</v>
      </c>
      <c r="AK59" s="390">
        <v>2011</v>
      </c>
      <c r="AL59" s="390">
        <v>2012</v>
      </c>
      <c r="AM59" s="392">
        <f>CRCP_y1</f>
        <v>2013</v>
      </c>
      <c r="AN59" s="392">
        <f>CRCP_y2</f>
        <v>2014</v>
      </c>
      <c r="AO59" s="603">
        <f>CRCP_y3</f>
        <v>2015</v>
      </c>
    </row>
    <row r="60" spans="1:43" ht="13.5" thickBot="1">
      <c r="A60" s="1429"/>
      <c r="B60" s="1429"/>
      <c r="C60" s="1429"/>
      <c r="D60" s="1429"/>
      <c r="E60" s="1429"/>
      <c r="F60" s="1429"/>
      <c r="G60" s="1429"/>
      <c r="H60" s="1429"/>
      <c r="I60" s="1429"/>
      <c r="J60" s="1429"/>
      <c r="K60" s="1429"/>
      <c r="L60" s="1429"/>
      <c r="M60" s="1429"/>
      <c r="N60" s="1429"/>
      <c r="O60" s="1429"/>
      <c r="P60" s="1429"/>
      <c r="Q60" s="1429"/>
      <c r="R60" s="1429"/>
      <c r="S60" s="1429"/>
      <c r="T60" s="1429"/>
      <c r="U60" s="1429"/>
      <c r="V60" s="1429"/>
      <c r="W60" s="1429"/>
      <c r="X60" s="1429"/>
      <c r="Y60" s="1429"/>
      <c r="Z60" s="1429"/>
      <c r="AA60" s="1429"/>
      <c r="AB60" s="1429"/>
      <c r="AC60" s="1429"/>
      <c r="AD60" s="1429"/>
      <c r="AH60" s="1429"/>
      <c r="AI60" s="1429"/>
      <c r="AJ60" s="1429"/>
      <c r="AK60" s="1429"/>
      <c r="AL60" s="1429"/>
      <c r="AM60" s="1429"/>
      <c r="AN60" s="1429"/>
      <c r="AO60" s="1429"/>
    </row>
    <row r="61" spans="1:43" ht="16.5" thickBot="1">
      <c r="A61" s="993"/>
      <c r="B61" s="298" t="s">
        <v>591</v>
      </c>
      <c r="C61" s="315"/>
      <c r="D61" s="315"/>
      <c r="E61" s="315"/>
      <c r="F61" s="315"/>
      <c r="G61" s="315"/>
      <c r="H61" s="315"/>
      <c r="I61" s="315"/>
      <c r="J61" s="315"/>
      <c r="K61" s="315"/>
      <c r="L61" s="315"/>
      <c r="M61" s="315"/>
      <c r="N61" s="315"/>
      <c r="O61" s="315"/>
      <c r="P61" s="315"/>
      <c r="Q61" s="316"/>
      <c r="R61" s="1429"/>
      <c r="S61" s="298"/>
      <c r="T61" s="315"/>
      <c r="U61" s="315"/>
      <c r="V61" s="315"/>
      <c r="W61" s="315"/>
      <c r="X61" s="315"/>
      <c r="Y61" s="315"/>
      <c r="Z61" s="315"/>
      <c r="AA61" s="315"/>
      <c r="AB61" s="315"/>
      <c r="AC61" s="315"/>
      <c r="AD61" s="316"/>
      <c r="AH61" s="298"/>
      <c r="AI61" s="315"/>
      <c r="AJ61" s="315"/>
      <c r="AK61" s="315"/>
      <c r="AL61" s="315"/>
      <c r="AM61" s="315"/>
      <c r="AN61" s="315"/>
      <c r="AO61" s="316"/>
    </row>
    <row r="62" spans="1:43">
      <c r="A62" s="308"/>
      <c r="B62" s="558" t="s">
        <v>359</v>
      </c>
      <c r="C62" s="319"/>
      <c r="D62" s="320"/>
      <c r="E62" s="320"/>
      <c r="F62" s="320"/>
      <c r="G62" s="386"/>
      <c r="H62" s="319"/>
      <c r="I62" s="320"/>
      <c r="J62" s="320"/>
      <c r="K62" s="320"/>
      <c r="L62" s="320"/>
      <c r="M62" s="319"/>
      <c r="N62" s="320"/>
      <c r="O62" s="320"/>
      <c r="P62" s="320"/>
      <c r="Q62" s="386"/>
      <c r="R62" s="1429"/>
      <c r="S62" s="388"/>
      <c r="T62" s="321"/>
      <c r="U62" s="321"/>
      <c r="V62" s="321"/>
      <c r="W62" s="322"/>
      <c r="X62" s="1500"/>
      <c r="Y62" s="388"/>
      <c r="Z62" s="321"/>
      <c r="AA62" s="321"/>
      <c r="AB62" s="321"/>
      <c r="AC62" s="321"/>
      <c r="AD62" s="1503"/>
      <c r="AH62" s="2103"/>
      <c r="AI62" s="320"/>
      <c r="AJ62" s="320"/>
      <c r="AK62" s="320"/>
      <c r="AL62" s="386"/>
      <c r="AM62" s="2103"/>
      <c r="AN62" s="320"/>
      <c r="AO62" s="386"/>
    </row>
    <row r="63" spans="1:43">
      <c r="A63" s="308"/>
      <c r="B63" s="299" t="str">
        <f>B24</f>
        <v>Electricity to gas</v>
      </c>
      <c r="C63" s="514"/>
      <c r="D63" s="513"/>
      <c r="E63" s="513"/>
      <c r="F63" s="513"/>
      <c r="G63" s="515"/>
      <c r="H63" s="514"/>
      <c r="I63" s="513"/>
      <c r="J63" s="513"/>
      <c r="K63" s="513"/>
      <c r="L63" s="513"/>
      <c r="M63" s="514"/>
      <c r="N63" s="513"/>
      <c r="O63" s="513"/>
      <c r="P63" s="513"/>
      <c r="Q63" s="515"/>
      <c r="R63" s="1429"/>
      <c r="S63" s="514"/>
      <c r="T63" s="513"/>
      <c r="U63" s="513"/>
      <c r="V63" s="513"/>
      <c r="W63" s="515"/>
      <c r="X63" s="1501" t="e">
        <f>SUM(C63:G63)/SUM(S63:W63)-1</f>
        <v>#DIV/0!</v>
      </c>
      <c r="Y63" s="1243"/>
      <c r="Z63" s="311"/>
      <c r="AA63" s="311"/>
      <c r="AB63" s="311"/>
      <c r="AC63" s="311"/>
      <c r="AD63" s="1504" t="e">
        <f>SUM(H63:L63)/SUM(Y63:AC63)-1</f>
        <v>#DIV/0!</v>
      </c>
      <c r="AH63" s="517"/>
      <c r="AI63" s="518"/>
      <c r="AJ63" s="518"/>
      <c r="AK63" s="518"/>
      <c r="AL63" s="519"/>
      <c r="AM63" s="517"/>
      <c r="AN63" s="518"/>
      <c r="AO63" s="519"/>
    </row>
    <row r="64" spans="1:43">
      <c r="A64" s="308"/>
      <c r="B64" s="299" t="str">
        <f>B25</f>
        <v>New homes</v>
      </c>
      <c r="C64" s="514"/>
      <c r="D64" s="513"/>
      <c r="E64" s="513"/>
      <c r="F64" s="513"/>
      <c r="G64" s="515"/>
      <c r="H64" s="514"/>
      <c r="I64" s="513"/>
      <c r="J64" s="513"/>
      <c r="K64" s="513"/>
      <c r="L64" s="513"/>
      <c r="M64" s="514"/>
      <c r="N64" s="513"/>
      <c r="O64" s="513"/>
      <c r="P64" s="513"/>
      <c r="Q64" s="515"/>
      <c r="R64" s="1429"/>
      <c r="S64" s="514"/>
      <c r="T64" s="513"/>
      <c r="U64" s="513"/>
      <c r="V64" s="513"/>
      <c r="W64" s="515"/>
      <c r="X64" s="1501" t="e">
        <f>SUM(C64:G64)/SUM(S64:W64)-1</f>
        <v>#DIV/0!</v>
      </c>
      <c r="Y64" s="1243"/>
      <c r="Z64" s="311"/>
      <c r="AA64" s="311"/>
      <c r="AB64" s="311"/>
      <c r="AC64" s="311"/>
      <c r="AD64" s="1504" t="e">
        <f>SUM(H64:L64)/SUM(Y64:AC64)-1</f>
        <v>#DIV/0!</v>
      </c>
      <c r="AH64" s="517"/>
      <c r="AI64" s="518"/>
      <c r="AJ64" s="518"/>
      <c r="AK64" s="518"/>
      <c r="AL64" s="519"/>
      <c r="AM64" s="517"/>
      <c r="AN64" s="518"/>
      <c r="AO64" s="519"/>
    </row>
    <row r="65" spans="1:41">
      <c r="A65" s="308"/>
      <c r="B65" s="299" t="str">
        <f>B26</f>
        <v>New medium density / high rise</v>
      </c>
      <c r="C65" s="514"/>
      <c r="D65" s="513"/>
      <c r="E65" s="513"/>
      <c r="F65" s="513"/>
      <c r="G65" s="515"/>
      <c r="H65" s="514"/>
      <c r="I65" s="513"/>
      <c r="J65" s="513"/>
      <c r="K65" s="513"/>
      <c r="L65" s="513"/>
      <c r="M65" s="514"/>
      <c r="N65" s="513"/>
      <c r="O65" s="513"/>
      <c r="P65" s="513"/>
      <c r="Q65" s="515"/>
      <c r="R65" s="1429"/>
      <c r="S65" s="514"/>
      <c r="T65" s="513"/>
      <c r="U65" s="513"/>
      <c r="V65" s="513"/>
      <c r="W65" s="515"/>
      <c r="X65" s="1501" t="e">
        <f>SUM(C65:G65)/SUM(S65:W65)-1</f>
        <v>#DIV/0!</v>
      </c>
      <c r="Y65" s="1243"/>
      <c r="Z65" s="311"/>
      <c r="AA65" s="311"/>
      <c r="AB65" s="311"/>
      <c r="AC65" s="311"/>
      <c r="AD65" s="1504" t="e">
        <f>SUM(H65:L65)/SUM(Y65:AC65)-1</f>
        <v>#DIV/0!</v>
      </c>
      <c r="AH65" s="517"/>
      <c r="AI65" s="518"/>
      <c r="AJ65" s="518"/>
      <c r="AK65" s="518"/>
      <c r="AL65" s="519"/>
      <c r="AM65" s="517"/>
      <c r="AN65" s="518"/>
      <c r="AO65" s="519"/>
    </row>
    <row r="66" spans="1:41">
      <c r="A66" s="308"/>
      <c r="B66" s="299" t="str">
        <f>B27</f>
        <v>I&amp;C tariff</v>
      </c>
      <c r="C66" s="514"/>
      <c r="D66" s="513"/>
      <c r="E66" s="513"/>
      <c r="F66" s="513"/>
      <c r="G66" s="515"/>
      <c r="H66" s="514"/>
      <c r="I66" s="513"/>
      <c r="J66" s="513"/>
      <c r="K66" s="513"/>
      <c r="L66" s="513"/>
      <c r="M66" s="514"/>
      <c r="N66" s="513"/>
      <c r="O66" s="513"/>
      <c r="P66" s="513"/>
      <c r="Q66" s="515"/>
      <c r="R66" s="1429"/>
      <c r="S66" s="514"/>
      <c r="T66" s="513"/>
      <c r="U66" s="513"/>
      <c r="V66" s="513"/>
      <c r="W66" s="515"/>
      <c r="X66" s="1501" t="e">
        <f>SUM(C66:G66)/SUM(S66:W66)-1</f>
        <v>#DIV/0!</v>
      </c>
      <c r="Y66" s="1243"/>
      <c r="Z66" s="311"/>
      <c r="AA66" s="311"/>
      <c r="AB66" s="311"/>
      <c r="AC66" s="311"/>
      <c r="AD66" s="1504" t="e">
        <f>SUM(H66:L66)/SUM(Y66:AC66)-1</f>
        <v>#DIV/0!</v>
      </c>
      <c r="AH66" s="517"/>
      <c r="AI66" s="518"/>
      <c r="AJ66" s="518"/>
      <c r="AK66" s="518"/>
      <c r="AL66" s="519"/>
      <c r="AM66" s="517"/>
      <c r="AN66" s="518"/>
      <c r="AO66" s="519"/>
    </row>
    <row r="67" spans="1:41">
      <c r="A67" s="308"/>
      <c r="B67" s="299" t="str">
        <f>B28</f>
        <v>I&amp;C contract</v>
      </c>
      <c r="C67" s="514"/>
      <c r="D67" s="513"/>
      <c r="E67" s="513"/>
      <c r="F67" s="513"/>
      <c r="G67" s="515"/>
      <c r="H67" s="514"/>
      <c r="I67" s="513"/>
      <c r="J67" s="513"/>
      <c r="K67" s="513"/>
      <c r="L67" s="513"/>
      <c r="M67" s="514"/>
      <c r="N67" s="513"/>
      <c r="O67" s="513"/>
      <c r="P67" s="513"/>
      <c r="Q67" s="515"/>
      <c r="R67" s="1429"/>
      <c r="S67" s="514"/>
      <c r="T67" s="513"/>
      <c r="U67" s="513"/>
      <c r="V67" s="513"/>
      <c r="W67" s="515"/>
      <c r="X67" s="1501" t="e">
        <f>SUM(C67:G67)/SUM(S67:W67)-1</f>
        <v>#DIV/0!</v>
      </c>
      <c r="Y67" s="1243"/>
      <c r="Z67" s="311"/>
      <c r="AA67" s="311"/>
      <c r="AB67" s="311"/>
      <c r="AC67" s="311"/>
      <c r="AD67" s="1504" t="e">
        <f>SUM(H67:L67)/SUM(Y67:AC67)-1</f>
        <v>#DIV/0!</v>
      </c>
      <c r="AH67" s="517"/>
      <c r="AI67" s="518"/>
      <c r="AJ67" s="518"/>
      <c r="AK67" s="518"/>
      <c r="AL67" s="519"/>
      <c r="AM67" s="517"/>
      <c r="AN67" s="518"/>
      <c r="AO67" s="519"/>
    </row>
    <row r="68" spans="1:41">
      <c r="A68" s="308"/>
      <c r="B68" s="558" t="s">
        <v>360</v>
      </c>
      <c r="C68" s="324"/>
      <c r="D68" s="312"/>
      <c r="E68" s="312"/>
      <c r="F68" s="312"/>
      <c r="G68" s="387"/>
      <c r="H68" s="324"/>
      <c r="I68" s="312"/>
      <c r="J68" s="312"/>
      <c r="K68" s="312"/>
      <c r="L68" s="312"/>
      <c r="M68" s="324"/>
      <c r="N68" s="312"/>
      <c r="O68" s="312"/>
      <c r="P68" s="312"/>
      <c r="Q68" s="387"/>
      <c r="R68" s="1429"/>
      <c r="S68" s="314"/>
      <c r="T68" s="313"/>
      <c r="U68" s="313"/>
      <c r="V68" s="313"/>
      <c r="W68" s="325"/>
      <c r="X68" s="1502"/>
      <c r="Y68" s="314"/>
      <c r="Z68" s="313"/>
      <c r="AA68" s="313"/>
      <c r="AB68" s="313"/>
      <c r="AC68" s="313"/>
      <c r="AD68" s="1505"/>
      <c r="AH68" s="324"/>
      <c r="AI68" s="312"/>
      <c r="AJ68" s="312"/>
      <c r="AK68" s="312"/>
      <c r="AL68" s="387"/>
      <c r="AM68" s="324"/>
      <c r="AN68" s="312"/>
      <c r="AO68" s="387"/>
    </row>
    <row r="69" spans="1:41">
      <c r="A69" s="308"/>
      <c r="B69" s="299" t="str">
        <f>B24</f>
        <v>Electricity to gas</v>
      </c>
      <c r="C69" s="514"/>
      <c r="D69" s="513"/>
      <c r="E69" s="513"/>
      <c r="F69" s="513"/>
      <c r="G69" s="515"/>
      <c r="H69" s="514"/>
      <c r="I69" s="513"/>
      <c r="J69" s="513"/>
      <c r="K69" s="513"/>
      <c r="L69" s="513"/>
      <c r="M69" s="514"/>
      <c r="N69" s="513"/>
      <c r="O69" s="513"/>
      <c r="P69" s="513"/>
      <c r="Q69" s="515"/>
      <c r="R69" s="1429"/>
      <c r="S69" s="514"/>
      <c r="T69" s="513"/>
      <c r="U69" s="513"/>
      <c r="V69" s="513"/>
      <c r="W69" s="515"/>
      <c r="X69" s="1501" t="e">
        <f>SUM(C69:G69)/SUM(S69:W69)-1</f>
        <v>#DIV/0!</v>
      </c>
      <c r="Y69" s="1243"/>
      <c r="Z69" s="311"/>
      <c r="AA69" s="311"/>
      <c r="AB69" s="311"/>
      <c r="AC69" s="311"/>
      <c r="AD69" s="1504" t="e">
        <f>SUM(H69:L69)/SUM(Y69:AC69)-1</f>
        <v>#DIV/0!</v>
      </c>
      <c r="AH69" s="517"/>
      <c r="AI69" s="518"/>
      <c r="AJ69" s="518"/>
      <c r="AK69" s="518"/>
      <c r="AL69" s="519"/>
      <c r="AM69" s="517"/>
      <c r="AN69" s="518"/>
      <c r="AO69" s="519"/>
    </row>
    <row r="70" spans="1:41">
      <c r="A70" s="308"/>
      <c r="B70" s="299" t="str">
        <f>B25</f>
        <v>New homes</v>
      </c>
      <c r="C70" s="514"/>
      <c r="D70" s="513"/>
      <c r="E70" s="513"/>
      <c r="F70" s="513"/>
      <c r="G70" s="515"/>
      <c r="H70" s="514"/>
      <c r="I70" s="513"/>
      <c r="J70" s="513"/>
      <c r="K70" s="513"/>
      <c r="L70" s="513"/>
      <c r="M70" s="514"/>
      <c r="N70" s="513"/>
      <c r="O70" s="513"/>
      <c r="P70" s="513"/>
      <c r="Q70" s="515"/>
      <c r="R70" s="1429"/>
      <c r="S70" s="514"/>
      <c r="T70" s="513"/>
      <c r="U70" s="513"/>
      <c r="V70" s="513"/>
      <c r="W70" s="515"/>
      <c r="X70" s="1501" t="e">
        <f>SUM(C70:G70)/SUM(S70:W70)-1</f>
        <v>#DIV/0!</v>
      </c>
      <c r="Y70" s="1243"/>
      <c r="Z70" s="311"/>
      <c r="AA70" s="311"/>
      <c r="AB70" s="311"/>
      <c r="AC70" s="311"/>
      <c r="AD70" s="1504" t="e">
        <f>SUM(H70:L70)/SUM(Y70:AC70)-1</f>
        <v>#DIV/0!</v>
      </c>
      <c r="AH70" s="517"/>
      <c r="AI70" s="518"/>
      <c r="AJ70" s="518"/>
      <c r="AK70" s="518"/>
      <c r="AL70" s="519"/>
      <c r="AM70" s="517"/>
      <c r="AN70" s="518"/>
      <c r="AO70" s="519"/>
    </row>
    <row r="71" spans="1:41">
      <c r="A71" s="308"/>
      <c r="B71" s="299" t="str">
        <f>B26</f>
        <v>New medium density / high rise</v>
      </c>
      <c r="C71" s="514"/>
      <c r="D71" s="513"/>
      <c r="E71" s="513"/>
      <c r="F71" s="513"/>
      <c r="G71" s="515"/>
      <c r="H71" s="514"/>
      <c r="I71" s="513"/>
      <c r="J71" s="513"/>
      <c r="K71" s="513"/>
      <c r="L71" s="513"/>
      <c r="M71" s="514"/>
      <c r="N71" s="513"/>
      <c r="O71" s="513"/>
      <c r="P71" s="513"/>
      <c r="Q71" s="515"/>
      <c r="R71" s="1429"/>
      <c r="S71" s="514"/>
      <c r="T71" s="513"/>
      <c r="U71" s="513"/>
      <c r="V71" s="513"/>
      <c r="W71" s="515"/>
      <c r="X71" s="1501" t="e">
        <f>SUM(C71:G71)/SUM(S71:W71)-1</f>
        <v>#DIV/0!</v>
      </c>
      <c r="Y71" s="1243"/>
      <c r="Z71" s="311"/>
      <c r="AA71" s="311"/>
      <c r="AB71" s="311"/>
      <c r="AC71" s="311"/>
      <c r="AD71" s="1504" t="e">
        <f>SUM(H71:L71)/SUM(Y71:AC71)-1</f>
        <v>#DIV/0!</v>
      </c>
      <c r="AH71" s="517"/>
      <c r="AI71" s="518"/>
      <c r="AJ71" s="518"/>
      <c r="AK71" s="518"/>
      <c r="AL71" s="519"/>
      <c r="AM71" s="517"/>
      <c r="AN71" s="518"/>
      <c r="AO71" s="519"/>
    </row>
    <row r="72" spans="1:41">
      <c r="A72" s="308"/>
      <c r="B72" s="299" t="str">
        <f>B27</f>
        <v>I&amp;C tariff</v>
      </c>
      <c r="C72" s="514"/>
      <c r="D72" s="513"/>
      <c r="E72" s="513"/>
      <c r="F72" s="513"/>
      <c r="G72" s="515"/>
      <c r="H72" s="514"/>
      <c r="I72" s="513"/>
      <c r="J72" s="513"/>
      <c r="K72" s="513"/>
      <c r="L72" s="513"/>
      <c r="M72" s="514"/>
      <c r="N72" s="513"/>
      <c r="O72" s="513"/>
      <c r="P72" s="513"/>
      <c r="Q72" s="515"/>
      <c r="R72" s="1429"/>
      <c r="S72" s="514"/>
      <c r="T72" s="513"/>
      <c r="U72" s="513"/>
      <c r="V72" s="513"/>
      <c r="W72" s="515"/>
      <c r="X72" s="1501" t="e">
        <f>SUM(C72:G72)/SUM(S72:W72)-1</f>
        <v>#DIV/0!</v>
      </c>
      <c r="Y72" s="1243"/>
      <c r="Z72" s="311"/>
      <c r="AA72" s="311"/>
      <c r="AB72" s="311"/>
      <c r="AC72" s="311"/>
      <c r="AD72" s="1504" t="e">
        <f>SUM(H72:L72)/SUM(Y72:AC72)-1</f>
        <v>#DIV/0!</v>
      </c>
      <c r="AH72" s="517"/>
      <c r="AI72" s="518"/>
      <c r="AJ72" s="518"/>
      <c r="AK72" s="518"/>
      <c r="AL72" s="519"/>
      <c r="AM72" s="517"/>
      <c r="AN72" s="518"/>
      <c r="AO72" s="519"/>
    </row>
    <row r="73" spans="1:41">
      <c r="A73" s="308"/>
      <c r="B73" s="299" t="str">
        <f>B28</f>
        <v>I&amp;C contract</v>
      </c>
      <c r="C73" s="514"/>
      <c r="D73" s="513"/>
      <c r="E73" s="513"/>
      <c r="F73" s="513"/>
      <c r="G73" s="515"/>
      <c r="H73" s="514"/>
      <c r="I73" s="513"/>
      <c r="J73" s="513"/>
      <c r="K73" s="513"/>
      <c r="L73" s="513"/>
      <c r="M73" s="514"/>
      <c r="N73" s="513"/>
      <c r="O73" s="513"/>
      <c r="P73" s="513"/>
      <c r="Q73" s="515"/>
      <c r="R73" s="1429"/>
      <c r="S73" s="514"/>
      <c r="T73" s="513"/>
      <c r="U73" s="513"/>
      <c r="V73" s="513"/>
      <c r="W73" s="515"/>
      <c r="X73" s="1501" t="e">
        <f>SUM(C73:G73)/SUM(S73:W73)-1</f>
        <v>#DIV/0!</v>
      </c>
      <c r="Y73" s="1243"/>
      <c r="Z73" s="311"/>
      <c r="AA73" s="311"/>
      <c r="AB73" s="311"/>
      <c r="AC73" s="311"/>
      <c r="AD73" s="1504" t="e">
        <f>SUM(H73:L73)/SUM(Y73:AC73)-1</f>
        <v>#DIV/0!</v>
      </c>
      <c r="AH73" s="517"/>
      <c r="AI73" s="518"/>
      <c r="AJ73" s="518"/>
      <c r="AK73" s="518"/>
      <c r="AL73" s="519"/>
      <c r="AM73" s="517"/>
      <c r="AN73" s="518"/>
      <c r="AO73" s="519"/>
    </row>
    <row r="74" spans="1:41">
      <c r="A74" s="308"/>
      <c r="B74" s="558" t="s">
        <v>358</v>
      </c>
      <c r="C74" s="324"/>
      <c r="D74" s="312"/>
      <c r="E74" s="312"/>
      <c r="F74" s="312"/>
      <c r="G74" s="387"/>
      <c r="H74" s="324"/>
      <c r="I74" s="312"/>
      <c r="J74" s="312"/>
      <c r="K74" s="312"/>
      <c r="L74" s="312"/>
      <c r="M74" s="324"/>
      <c r="N74" s="312"/>
      <c r="O74" s="312"/>
      <c r="P74" s="312"/>
      <c r="Q74" s="387"/>
      <c r="R74" s="1429"/>
      <c r="S74" s="314"/>
      <c r="T74" s="313"/>
      <c r="U74" s="313"/>
      <c r="V74" s="313"/>
      <c r="W74" s="325"/>
      <c r="X74" s="1502"/>
      <c r="Y74" s="314"/>
      <c r="Z74" s="313"/>
      <c r="AA74" s="313"/>
      <c r="AB74" s="313"/>
      <c r="AC74" s="313"/>
      <c r="AD74" s="1505"/>
      <c r="AH74" s="324"/>
      <c r="AI74" s="312"/>
      <c r="AJ74" s="312"/>
      <c r="AK74" s="312"/>
      <c r="AL74" s="387"/>
      <c r="AM74" s="324"/>
      <c r="AN74" s="312"/>
      <c r="AO74" s="387"/>
    </row>
    <row r="75" spans="1:41">
      <c r="A75" s="308"/>
      <c r="B75" s="299" t="str">
        <f>B24</f>
        <v>Electricity to gas</v>
      </c>
      <c r="C75" s="514"/>
      <c r="D75" s="513"/>
      <c r="E75" s="513"/>
      <c r="F75" s="513"/>
      <c r="G75" s="515"/>
      <c r="H75" s="514"/>
      <c r="I75" s="513"/>
      <c r="J75" s="513"/>
      <c r="K75" s="513"/>
      <c r="L75" s="513"/>
      <c r="M75" s="514"/>
      <c r="N75" s="513"/>
      <c r="O75" s="513"/>
      <c r="P75" s="513"/>
      <c r="Q75" s="515"/>
      <c r="R75" s="1429"/>
      <c r="S75" s="514"/>
      <c r="T75" s="513"/>
      <c r="U75" s="513"/>
      <c r="V75" s="513"/>
      <c r="W75" s="515"/>
      <c r="X75" s="1501" t="e">
        <f>SUM(C75:G75)/SUM(S75:W75)-1</f>
        <v>#DIV/0!</v>
      </c>
      <c r="Y75" s="1243"/>
      <c r="Z75" s="311"/>
      <c r="AA75" s="311"/>
      <c r="AB75" s="311"/>
      <c r="AC75" s="311"/>
      <c r="AD75" s="1504" t="e">
        <f>SUM(H75:L75)/SUM(Y75:AC75)-1</f>
        <v>#DIV/0!</v>
      </c>
      <c r="AH75" s="517"/>
      <c r="AI75" s="518"/>
      <c r="AJ75" s="518"/>
      <c r="AK75" s="518"/>
      <c r="AL75" s="519"/>
      <c r="AM75" s="517"/>
      <c r="AN75" s="518"/>
      <c r="AO75" s="519"/>
    </row>
    <row r="76" spans="1:41">
      <c r="A76" s="308"/>
      <c r="B76" s="299" t="str">
        <f>B25</f>
        <v>New homes</v>
      </c>
      <c r="C76" s="514"/>
      <c r="D76" s="513"/>
      <c r="E76" s="513"/>
      <c r="F76" s="513"/>
      <c r="G76" s="515"/>
      <c r="H76" s="514"/>
      <c r="I76" s="513"/>
      <c r="J76" s="513"/>
      <c r="K76" s="513"/>
      <c r="L76" s="513"/>
      <c r="M76" s="514"/>
      <c r="N76" s="513"/>
      <c r="O76" s="513"/>
      <c r="P76" s="513"/>
      <c r="Q76" s="515"/>
      <c r="R76" s="1429"/>
      <c r="S76" s="514"/>
      <c r="T76" s="513"/>
      <c r="U76" s="513"/>
      <c r="V76" s="513"/>
      <c r="W76" s="515"/>
      <c r="X76" s="1501" t="e">
        <f>SUM(C76:G76)/SUM(S76:W76)-1</f>
        <v>#DIV/0!</v>
      </c>
      <c r="Y76" s="1243"/>
      <c r="Z76" s="311"/>
      <c r="AA76" s="311"/>
      <c r="AB76" s="311"/>
      <c r="AC76" s="311"/>
      <c r="AD76" s="1504" t="e">
        <f>SUM(H76:L76)/SUM(Y76:AC76)-1</f>
        <v>#DIV/0!</v>
      </c>
      <c r="AH76" s="517"/>
      <c r="AI76" s="518"/>
      <c r="AJ76" s="518"/>
      <c r="AK76" s="518"/>
      <c r="AL76" s="519"/>
      <c r="AM76" s="517"/>
      <c r="AN76" s="518"/>
      <c r="AO76" s="519"/>
    </row>
    <row r="77" spans="1:41">
      <c r="A77" s="308"/>
      <c r="B77" s="299" t="str">
        <f>B26</f>
        <v>New medium density / high rise</v>
      </c>
      <c r="C77" s="514"/>
      <c r="D77" s="513"/>
      <c r="E77" s="513"/>
      <c r="F77" s="513"/>
      <c r="G77" s="515"/>
      <c r="H77" s="514"/>
      <c r="I77" s="513"/>
      <c r="J77" s="513"/>
      <c r="K77" s="513"/>
      <c r="L77" s="513"/>
      <c r="M77" s="514"/>
      <c r="N77" s="513"/>
      <c r="O77" s="513"/>
      <c r="P77" s="513"/>
      <c r="Q77" s="515"/>
      <c r="R77" s="1429"/>
      <c r="S77" s="514"/>
      <c r="T77" s="513"/>
      <c r="U77" s="513"/>
      <c r="V77" s="513"/>
      <c r="W77" s="515"/>
      <c r="X77" s="1501" t="e">
        <f>SUM(C77:G77)/SUM(S77:W77)-1</f>
        <v>#DIV/0!</v>
      </c>
      <c r="Y77" s="1243"/>
      <c r="Z77" s="311"/>
      <c r="AA77" s="311"/>
      <c r="AB77" s="311"/>
      <c r="AC77" s="311"/>
      <c r="AD77" s="1504" t="e">
        <f>SUM(H77:L77)/SUM(Y77:AC77)-1</f>
        <v>#DIV/0!</v>
      </c>
      <c r="AH77" s="517"/>
      <c r="AI77" s="518"/>
      <c r="AJ77" s="518"/>
      <c r="AK77" s="518"/>
      <c r="AL77" s="519"/>
      <c r="AM77" s="517"/>
      <c r="AN77" s="518"/>
      <c r="AO77" s="519"/>
    </row>
    <row r="78" spans="1:41">
      <c r="A78" s="308"/>
      <c r="B78" s="299" t="str">
        <f>B27</f>
        <v>I&amp;C tariff</v>
      </c>
      <c r="C78" s="514"/>
      <c r="D78" s="513"/>
      <c r="E78" s="513"/>
      <c r="F78" s="513"/>
      <c r="G78" s="515"/>
      <c r="H78" s="514"/>
      <c r="I78" s="513"/>
      <c r="J78" s="513"/>
      <c r="K78" s="513"/>
      <c r="L78" s="513"/>
      <c r="M78" s="514"/>
      <c r="N78" s="513"/>
      <c r="O78" s="513"/>
      <c r="P78" s="513"/>
      <c r="Q78" s="515"/>
      <c r="R78" s="1429"/>
      <c r="S78" s="514"/>
      <c r="T78" s="513"/>
      <c r="U78" s="513"/>
      <c r="V78" s="513"/>
      <c r="W78" s="515"/>
      <c r="X78" s="1501" t="e">
        <f>SUM(C78:G78)/SUM(S78:W78)-1</f>
        <v>#DIV/0!</v>
      </c>
      <c r="Y78" s="1243"/>
      <c r="Z78" s="311"/>
      <c r="AA78" s="311"/>
      <c r="AB78" s="311"/>
      <c r="AC78" s="311"/>
      <c r="AD78" s="1504" t="e">
        <f>SUM(H78:L78)/SUM(Y78:AC78)-1</f>
        <v>#DIV/0!</v>
      </c>
      <c r="AH78" s="517"/>
      <c r="AI78" s="518"/>
      <c r="AJ78" s="518"/>
      <c r="AK78" s="518"/>
      <c r="AL78" s="519"/>
      <c r="AM78" s="517"/>
      <c r="AN78" s="518"/>
      <c r="AO78" s="519"/>
    </row>
    <row r="79" spans="1:41" ht="13.5" thickBot="1">
      <c r="A79" s="308"/>
      <c r="B79" s="299" t="str">
        <f>B28</f>
        <v>I&amp;C contract</v>
      </c>
      <c r="C79" s="514"/>
      <c r="D79" s="513"/>
      <c r="E79" s="513"/>
      <c r="F79" s="513"/>
      <c r="G79" s="515"/>
      <c r="H79" s="514"/>
      <c r="I79" s="513"/>
      <c r="J79" s="513"/>
      <c r="K79" s="513"/>
      <c r="L79" s="513"/>
      <c r="M79" s="514"/>
      <c r="N79" s="513"/>
      <c r="O79" s="513"/>
      <c r="P79" s="513"/>
      <c r="Q79" s="515"/>
      <c r="R79" s="1429"/>
      <c r="S79" s="514"/>
      <c r="T79" s="513"/>
      <c r="U79" s="513"/>
      <c r="V79" s="513"/>
      <c r="W79" s="515"/>
      <c r="X79" s="1501" t="e">
        <f>SUM(C79:G79)/SUM(S79:W79)-1</f>
        <v>#DIV/0!</v>
      </c>
      <c r="Y79" s="1243"/>
      <c r="Z79" s="311"/>
      <c r="AA79" s="311"/>
      <c r="AB79" s="311"/>
      <c r="AC79" s="311"/>
      <c r="AD79" s="1504" t="e">
        <f>SUM(H79:L79)/SUM(Y79:AC79)-1</f>
        <v>#DIV/0!</v>
      </c>
      <c r="AH79" s="517"/>
      <c r="AI79" s="518"/>
      <c r="AJ79" s="518"/>
      <c r="AK79" s="518"/>
      <c r="AL79" s="519"/>
      <c r="AM79" s="517"/>
      <c r="AN79" s="518"/>
      <c r="AO79" s="519"/>
    </row>
    <row r="80" spans="1:41" s="176" customFormat="1" ht="31.5" customHeight="1" thickBot="1">
      <c r="A80" s="862"/>
      <c r="B80" s="1724" t="s">
        <v>125</v>
      </c>
      <c r="C80" s="309"/>
      <c r="D80" s="1247"/>
      <c r="E80" s="1247"/>
      <c r="F80" s="1247"/>
      <c r="G80" s="1247"/>
      <c r="H80" s="1247"/>
      <c r="I80" s="1247"/>
      <c r="J80" s="1247"/>
      <c r="K80" s="1247"/>
      <c r="L80" s="1247"/>
      <c r="M80" s="1247"/>
      <c r="N80" s="1247"/>
      <c r="O80" s="1247"/>
      <c r="P80" s="1247"/>
      <c r="Q80" s="1248"/>
      <c r="R80" s="1429"/>
      <c r="S80" s="309"/>
      <c r="T80" s="1247"/>
      <c r="U80" s="1247"/>
      <c r="V80" s="1247"/>
      <c r="W80" s="1247"/>
      <c r="X80" s="1247"/>
      <c r="Y80" s="1247"/>
      <c r="Z80" s="1247"/>
      <c r="AA80" s="1247"/>
      <c r="AB80" s="1247"/>
      <c r="AC80" s="1247"/>
      <c r="AD80" s="1248"/>
      <c r="AE80"/>
      <c r="AH80" s="2107"/>
      <c r="AI80" s="2108"/>
      <c r="AJ80" s="2108"/>
      <c r="AK80" s="2108"/>
      <c r="AL80" s="2108"/>
      <c r="AM80" s="2108"/>
      <c r="AN80" s="2108"/>
      <c r="AO80" s="2109"/>
    </row>
    <row r="81" spans="1:41" ht="13.5" thickBot="1">
      <c r="A81" s="1429"/>
      <c r="B81" s="1429"/>
      <c r="C81" s="1429"/>
      <c r="D81" s="1429"/>
      <c r="E81" s="1429"/>
      <c r="F81" s="1429"/>
      <c r="G81" s="1429"/>
      <c r="H81" s="1429"/>
      <c r="I81" s="1429"/>
      <c r="J81" s="1429"/>
      <c r="K81" s="1429"/>
      <c r="L81" s="1429"/>
      <c r="M81" s="1429"/>
      <c r="N81" s="1429"/>
      <c r="O81" s="1429"/>
      <c r="P81" s="1429"/>
      <c r="Q81" s="1429"/>
      <c r="R81" s="1429"/>
      <c r="S81" s="1429"/>
      <c r="T81" s="1429"/>
      <c r="U81" s="1429"/>
      <c r="V81" s="1429"/>
      <c r="W81" s="1429"/>
      <c r="X81" s="1429"/>
      <c r="Y81" s="1429"/>
      <c r="Z81" s="1429"/>
      <c r="AA81" s="1429"/>
      <c r="AB81" s="1429"/>
      <c r="AC81" s="1429"/>
      <c r="AD81" s="1429"/>
      <c r="AH81" s="1429"/>
      <c r="AI81" s="1429"/>
      <c r="AJ81" s="1429"/>
      <c r="AK81" s="1429"/>
      <c r="AL81" s="1429"/>
      <c r="AM81" s="1429"/>
      <c r="AN81" s="1429"/>
      <c r="AO81" s="1429"/>
    </row>
    <row r="82" spans="1:41" ht="16.5" thickBot="1">
      <c r="A82" s="993"/>
      <c r="B82" s="298" t="str">
        <f>CONCATENATE("Table 4.2.2 - ", B24)</f>
        <v>Table 4.2.2 - Electricity to gas</v>
      </c>
      <c r="C82" s="315"/>
      <c r="D82" s="315"/>
      <c r="E82" s="315"/>
      <c r="F82" s="315"/>
      <c r="G82" s="315"/>
      <c r="H82" s="315"/>
      <c r="I82" s="315"/>
      <c r="J82" s="315"/>
      <c r="K82" s="315"/>
      <c r="L82" s="315"/>
      <c r="M82" s="315"/>
      <c r="N82" s="315"/>
      <c r="O82" s="315"/>
      <c r="P82" s="315"/>
      <c r="Q82" s="316"/>
      <c r="R82" s="1429"/>
      <c r="S82" s="298"/>
      <c r="T82" s="315"/>
      <c r="U82" s="315"/>
      <c r="V82" s="315"/>
      <c r="W82" s="315"/>
      <c r="X82" s="315"/>
      <c r="Y82" s="315"/>
      <c r="Z82" s="315"/>
      <c r="AA82" s="315"/>
      <c r="AB82" s="315"/>
      <c r="AC82" s="315"/>
      <c r="AD82" s="316"/>
      <c r="AH82" s="298"/>
      <c r="AI82" s="315"/>
      <c r="AJ82" s="315"/>
      <c r="AK82" s="315"/>
      <c r="AL82" s="315"/>
      <c r="AM82" s="315"/>
      <c r="AN82" s="315"/>
      <c r="AO82" s="316"/>
    </row>
    <row r="83" spans="1:41">
      <c r="A83" s="308"/>
      <c r="B83" s="339" t="str">
        <f>CONCATENATE("Number of new ", B24, " connections")</f>
        <v>Number of new Electricity to gas connections</v>
      </c>
      <c r="C83" s="341">
        <f t="shared" ref="C83:Q83" si="9">C24</f>
        <v>0</v>
      </c>
      <c r="D83" s="1205">
        <f t="shared" si="9"/>
        <v>0</v>
      </c>
      <c r="E83" s="1205">
        <f t="shared" si="9"/>
        <v>0</v>
      </c>
      <c r="F83" s="1205">
        <f t="shared" si="9"/>
        <v>0</v>
      </c>
      <c r="G83" s="1210">
        <f t="shared" si="9"/>
        <v>0</v>
      </c>
      <c r="H83" s="341">
        <f t="shared" si="9"/>
        <v>0</v>
      </c>
      <c r="I83" s="1205">
        <f t="shared" si="9"/>
        <v>0</v>
      </c>
      <c r="J83" s="1205">
        <f t="shared" si="9"/>
        <v>0</v>
      </c>
      <c r="K83" s="1205">
        <f t="shared" si="9"/>
        <v>0</v>
      </c>
      <c r="L83" s="1205">
        <f t="shared" si="9"/>
        <v>0</v>
      </c>
      <c r="M83" s="341">
        <f t="shared" si="9"/>
        <v>0</v>
      </c>
      <c r="N83" s="1205">
        <f t="shared" si="9"/>
        <v>0</v>
      </c>
      <c r="O83" s="1205">
        <f t="shared" si="9"/>
        <v>0</v>
      </c>
      <c r="P83" s="1205">
        <f t="shared" si="9"/>
        <v>0</v>
      </c>
      <c r="Q83" s="1210">
        <f t="shared" si="9"/>
        <v>0</v>
      </c>
      <c r="R83" s="1429"/>
      <c r="S83" s="341">
        <f t="shared" ref="S83:AC83" si="10">S24</f>
        <v>0</v>
      </c>
      <c r="T83" s="342">
        <f t="shared" si="10"/>
        <v>0</v>
      </c>
      <c r="U83" s="342">
        <f t="shared" si="10"/>
        <v>0</v>
      </c>
      <c r="V83" s="342">
        <f t="shared" si="10"/>
        <v>0</v>
      </c>
      <c r="W83" s="1195">
        <f t="shared" si="10"/>
        <v>0</v>
      </c>
      <c r="X83" s="1232" t="str">
        <f t="shared" si="10"/>
        <v xml:space="preserve"> </v>
      </c>
      <c r="Y83" s="341">
        <f t="shared" si="10"/>
        <v>0</v>
      </c>
      <c r="Z83" s="342">
        <f t="shared" si="10"/>
        <v>0</v>
      </c>
      <c r="AA83" s="342">
        <f t="shared" si="10"/>
        <v>0</v>
      </c>
      <c r="AB83" s="342">
        <f t="shared" si="10"/>
        <v>0</v>
      </c>
      <c r="AC83" s="342">
        <f t="shared" si="10"/>
        <v>0</v>
      </c>
      <c r="AD83" s="343" t="e">
        <f>SUM(H83:L83)/SUM(Y83:AC83)-1</f>
        <v>#DIV/0!</v>
      </c>
      <c r="AH83" s="2101">
        <f t="shared" ref="AH83:AO83" si="11">AH24</f>
        <v>0</v>
      </c>
      <c r="AI83" s="1205">
        <f t="shared" si="11"/>
        <v>0</v>
      </c>
      <c r="AJ83" s="1205">
        <f t="shared" si="11"/>
        <v>0</v>
      </c>
      <c r="AK83" s="1205">
        <f t="shared" si="11"/>
        <v>0</v>
      </c>
      <c r="AL83" s="1210">
        <f t="shared" si="11"/>
        <v>0</v>
      </c>
      <c r="AM83" s="2101">
        <f t="shared" si="11"/>
        <v>0</v>
      </c>
      <c r="AN83" s="1205">
        <f t="shared" si="11"/>
        <v>0</v>
      </c>
      <c r="AO83" s="1210">
        <f t="shared" si="11"/>
        <v>0</v>
      </c>
    </row>
    <row r="84" spans="1:41">
      <c r="A84" s="308"/>
      <c r="B84" s="1695" t="s">
        <v>594</v>
      </c>
      <c r="C84" s="1206"/>
      <c r="D84" s="1207"/>
      <c r="E84" s="1207"/>
      <c r="F84" s="1207"/>
      <c r="G84" s="1211"/>
      <c r="H84" s="1206"/>
      <c r="I84" s="1207"/>
      <c r="J84" s="1207"/>
      <c r="K84" s="1207"/>
      <c r="L84" s="1207"/>
      <c r="M84" s="1206"/>
      <c r="N84" s="1207"/>
      <c r="O84" s="1207"/>
      <c r="P84" s="1207"/>
      <c r="Q84" s="1211"/>
      <c r="R84" s="1429"/>
      <c r="S84" s="344"/>
      <c r="T84" s="334"/>
      <c r="U84" s="334"/>
      <c r="V84" s="334"/>
      <c r="W84" s="345"/>
      <c r="X84" s="334"/>
      <c r="Y84" s="344"/>
      <c r="Z84" s="334"/>
      <c r="AA84" s="334"/>
      <c r="AB84" s="334"/>
      <c r="AC84" s="334"/>
      <c r="AD84" s="345"/>
      <c r="AH84" s="1206"/>
      <c r="AI84" s="1207"/>
      <c r="AJ84" s="1207"/>
      <c r="AK84" s="1207"/>
      <c r="AL84" s="1211"/>
      <c r="AM84" s="1206"/>
      <c r="AN84" s="1207"/>
      <c r="AO84" s="1211"/>
    </row>
    <row r="85" spans="1:41">
      <c r="A85" s="308"/>
      <c r="B85" s="1696" t="s">
        <v>57</v>
      </c>
      <c r="C85" s="301"/>
      <c r="D85" s="516"/>
      <c r="E85" s="516"/>
      <c r="F85" s="516"/>
      <c r="G85" s="327"/>
      <c r="H85" s="301"/>
      <c r="I85" s="516"/>
      <c r="J85" s="516"/>
      <c r="K85" s="516"/>
      <c r="L85" s="516"/>
      <c r="M85" s="301"/>
      <c r="N85" s="516"/>
      <c r="O85" s="516"/>
      <c r="P85" s="516"/>
      <c r="Q85" s="327"/>
      <c r="R85" s="1429"/>
      <c r="S85" s="301"/>
      <c r="T85" s="516"/>
      <c r="U85" s="516"/>
      <c r="V85" s="516"/>
      <c r="W85" s="327"/>
      <c r="X85" s="1233" t="e">
        <f>SUM(C85:G85)/SUM(S85:W85)-1</f>
        <v>#DIV/0!</v>
      </c>
      <c r="Y85" s="301"/>
      <c r="Z85" s="516"/>
      <c r="AA85" s="516"/>
      <c r="AB85" s="516"/>
      <c r="AC85" s="516"/>
      <c r="AD85" s="1237" t="e">
        <f>SUM(H85:L85)/SUM(Y85:AC85)-1</f>
        <v>#DIV/0!</v>
      </c>
      <c r="AH85" s="305"/>
      <c r="AI85" s="521"/>
      <c r="AJ85" s="521"/>
      <c r="AK85" s="521"/>
      <c r="AL85" s="329"/>
      <c r="AM85" s="305"/>
      <c r="AN85" s="521"/>
      <c r="AO85" s="329"/>
    </row>
    <row r="86" spans="1:41">
      <c r="A86" s="308"/>
      <c r="B86" s="1696" t="s">
        <v>598</v>
      </c>
      <c r="C86" s="301"/>
      <c r="D86" s="516"/>
      <c r="E86" s="516"/>
      <c r="F86" s="516"/>
      <c r="G86" s="327"/>
      <c r="H86" s="301"/>
      <c r="I86" s="516"/>
      <c r="J86" s="516"/>
      <c r="K86" s="516"/>
      <c r="L86" s="516"/>
      <c r="M86" s="301"/>
      <c r="N86" s="516"/>
      <c r="O86" s="516"/>
      <c r="P86" s="516"/>
      <c r="Q86" s="327"/>
      <c r="R86" s="1429"/>
      <c r="S86" s="301"/>
      <c r="T86" s="516"/>
      <c r="U86" s="516"/>
      <c r="V86" s="516"/>
      <c r="W86" s="327"/>
      <c r="X86" s="1233" t="e">
        <f>SUM(C86:G86)/SUM(S86:W86)-1</f>
        <v>#DIV/0!</v>
      </c>
      <c r="Y86" s="301"/>
      <c r="Z86" s="516"/>
      <c r="AA86" s="516"/>
      <c r="AB86" s="516"/>
      <c r="AC86" s="516"/>
      <c r="AD86" s="1237" t="e">
        <f>SUM(H86:L86)/SUM(Y86:AC86)-1</f>
        <v>#DIV/0!</v>
      </c>
      <c r="AH86" s="305"/>
      <c r="AI86" s="521"/>
      <c r="AJ86" s="521"/>
      <c r="AK86" s="521"/>
      <c r="AL86" s="329"/>
      <c r="AM86" s="305"/>
      <c r="AN86" s="521"/>
      <c r="AO86" s="329"/>
    </row>
    <row r="87" spans="1:41">
      <c r="A87" s="308"/>
      <c r="B87" s="1696" t="s">
        <v>61</v>
      </c>
      <c r="C87" s="301"/>
      <c r="D87" s="516"/>
      <c r="E87" s="516"/>
      <c r="F87" s="516"/>
      <c r="G87" s="327"/>
      <c r="H87" s="301"/>
      <c r="I87" s="516"/>
      <c r="J87" s="516"/>
      <c r="K87" s="516"/>
      <c r="L87" s="516"/>
      <c r="M87" s="301"/>
      <c r="N87" s="516"/>
      <c r="O87" s="516"/>
      <c r="P87" s="516"/>
      <c r="Q87" s="327"/>
      <c r="R87" s="1429"/>
      <c r="S87" s="301"/>
      <c r="T87" s="516"/>
      <c r="U87" s="516"/>
      <c r="V87" s="516"/>
      <c r="W87" s="327"/>
      <c r="X87" s="1233" t="e">
        <f>SUM(C87:G87)/SUM(S87:W87)-1</f>
        <v>#DIV/0!</v>
      </c>
      <c r="Y87" s="301"/>
      <c r="Z87" s="516"/>
      <c r="AA87" s="516"/>
      <c r="AB87" s="516"/>
      <c r="AC87" s="516"/>
      <c r="AD87" s="1237" t="e">
        <f>SUM(H87:L87)/SUM(Y87:AC87)-1</f>
        <v>#DIV/0!</v>
      </c>
      <c r="AH87" s="305"/>
      <c r="AI87" s="521"/>
      <c r="AJ87" s="521"/>
      <c r="AK87" s="521"/>
      <c r="AL87" s="329"/>
      <c r="AM87" s="305"/>
      <c r="AN87" s="521"/>
      <c r="AO87" s="329"/>
    </row>
    <row r="88" spans="1:41">
      <c r="A88" s="308"/>
      <c r="B88" s="1698" t="s">
        <v>599</v>
      </c>
      <c r="C88" s="346">
        <f>SUM(C85:C87)</f>
        <v>0</v>
      </c>
      <c r="D88" s="1208">
        <f t="shared" ref="D88:W88" si="12">SUM(D85:D87)</f>
        <v>0</v>
      </c>
      <c r="E88" s="1208">
        <f t="shared" si="12"/>
        <v>0</v>
      </c>
      <c r="F88" s="1208">
        <f t="shared" si="12"/>
        <v>0</v>
      </c>
      <c r="G88" s="1212">
        <f t="shared" si="12"/>
        <v>0</v>
      </c>
      <c r="H88" s="346">
        <f t="shared" si="12"/>
        <v>0</v>
      </c>
      <c r="I88" s="1208">
        <f t="shared" si="12"/>
        <v>0</v>
      </c>
      <c r="J88" s="1208">
        <f t="shared" si="12"/>
        <v>0</v>
      </c>
      <c r="K88" s="1208">
        <f t="shared" si="12"/>
        <v>0</v>
      </c>
      <c r="L88" s="1208">
        <f t="shared" si="12"/>
        <v>0</v>
      </c>
      <c r="M88" s="346">
        <f t="shared" si="12"/>
        <v>0</v>
      </c>
      <c r="N88" s="1208">
        <f t="shared" si="12"/>
        <v>0</v>
      </c>
      <c r="O88" s="1208">
        <f t="shared" si="12"/>
        <v>0</v>
      </c>
      <c r="P88" s="1208">
        <f t="shared" si="12"/>
        <v>0</v>
      </c>
      <c r="Q88" s="1212">
        <f t="shared" si="12"/>
        <v>0</v>
      </c>
      <c r="R88" s="1429"/>
      <c r="S88" s="346">
        <f t="shared" si="12"/>
        <v>0</v>
      </c>
      <c r="T88" s="335">
        <f t="shared" si="12"/>
        <v>0</v>
      </c>
      <c r="U88" s="335">
        <f t="shared" si="12"/>
        <v>0</v>
      </c>
      <c r="V88" s="335">
        <f t="shared" si="12"/>
        <v>0</v>
      </c>
      <c r="W88" s="1196">
        <f t="shared" si="12"/>
        <v>0</v>
      </c>
      <c r="X88" s="1240" t="e">
        <f>SUM(C88:G88)/SUM(S88:W88)-1</f>
        <v>#DIV/0!</v>
      </c>
      <c r="Y88" s="346">
        <f t="shared" ref="Y88:AC88" si="13">SUM(Y85:Y87)</f>
        <v>0</v>
      </c>
      <c r="Z88" s="335">
        <f t="shared" si="13"/>
        <v>0</v>
      </c>
      <c r="AA88" s="335">
        <f t="shared" si="13"/>
        <v>0</v>
      </c>
      <c r="AB88" s="335">
        <f t="shared" si="13"/>
        <v>0</v>
      </c>
      <c r="AC88" s="335">
        <f t="shared" si="13"/>
        <v>0</v>
      </c>
      <c r="AD88" s="347" t="e">
        <f>SUM(H88:L88)/SUM(Y88:AC88)-1</f>
        <v>#DIV/0!</v>
      </c>
      <c r="AH88" s="346">
        <f>SUM(AH85:AH87)</f>
        <v>0</v>
      </c>
      <c r="AI88" s="1208">
        <f t="shared" ref="AI88:AO88" si="14">SUM(AI85:AI87)</f>
        <v>0</v>
      </c>
      <c r="AJ88" s="1208">
        <f t="shared" si="14"/>
        <v>0</v>
      </c>
      <c r="AK88" s="1208">
        <f t="shared" si="14"/>
        <v>0</v>
      </c>
      <c r="AL88" s="1212">
        <f t="shared" si="14"/>
        <v>0</v>
      </c>
      <c r="AM88" s="346">
        <f t="shared" si="14"/>
        <v>0</v>
      </c>
      <c r="AN88" s="1208">
        <f t="shared" si="14"/>
        <v>0</v>
      </c>
      <c r="AO88" s="1212">
        <f t="shared" si="14"/>
        <v>0</v>
      </c>
    </row>
    <row r="89" spans="1:41">
      <c r="A89" s="308"/>
      <c r="B89" s="1694" t="s">
        <v>595</v>
      </c>
      <c r="C89" s="1206"/>
      <c r="D89" s="1207"/>
      <c r="E89" s="1207"/>
      <c r="F89" s="1207"/>
      <c r="G89" s="1211"/>
      <c r="H89" s="1206"/>
      <c r="I89" s="1207"/>
      <c r="J89" s="1207"/>
      <c r="K89" s="1207"/>
      <c r="L89" s="1207"/>
      <c r="M89" s="1206"/>
      <c r="N89" s="1207"/>
      <c r="O89" s="1207"/>
      <c r="P89" s="1207"/>
      <c r="Q89" s="1211"/>
      <c r="R89" s="1429"/>
      <c r="S89" s="344"/>
      <c r="T89" s="334"/>
      <c r="U89" s="334"/>
      <c r="V89" s="334"/>
      <c r="W89" s="345"/>
      <c r="X89" s="334"/>
      <c r="Y89" s="344"/>
      <c r="Z89" s="334"/>
      <c r="AA89" s="334"/>
      <c r="AB89" s="334"/>
      <c r="AC89" s="334"/>
      <c r="AD89" s="345"/>
      <c r="AH89" s="1206"/>
      <c r="AI89" s="1207"/>
      <c r="AJ89" s="1207"/>
      <c r="AK89" s="1207"/>
      <c r="AL89" s="1211"/>
      <c r="AM89" s="1206"/>
      <c r="AN89" s="1207"/>
      <c r="AO89" s="1211"/>
    </row>
    <row r="90" spans="1:41">
      <c r="A90" s="308"/>
      <c r="B90" s="340" t="s">
        <v>57</v>
      </c>
      <c r="C90" s="301"/>
      <c r="D90" s="516"/>
      <c r="E90" s="516"/>
      <c r="F90" s="516"/>
      <c r="G90" s="327"/>
      <c r="H90" s="301"/>
      <c r="I90" s="516"/>
      <c r="J90" s="516"/>
      <c r="K90" s="516"/>
      <c r="L90" s="516"/>
      <c r="M90" s="301"/>
      <c r="N90" s="516"/>
      <c r="O90" s="516"/>
      <c r="P90" s="516"/>
      <c r="Q90" s="327"/>
      <c r="R90" s="1429"/>
      <c r="S90" s="301"/>
      <c r="T90" s="516"/>
      <c r="U90" s="516"/>
      <c r="V90" s="516"/>
      <c r="W90" s="327"/>
      <c r="X90" s="1233" t="e">
        <f>SUM(C90:G90)/SUM(S90:W90)-1</f>
        <v>#DIV/0!</v>
      </c>
      <c r="Y90" s="301"/>
      <c r="Z90" s="516"/>
      <c r="AA90" s="516"/>
      <c r="AB90" s="516"/>
      <c r="AC90" s="516"/>
      <c r="AD90" s="1237" t="e">
        <f>SUM(H90:L90)/SUM(Y90:AC90)-1</f>
        <v>#DIV/0!</v>
      </c>
      <c r="AH90" s="305"/>
      <c r="AI90" s="521"/>
      <c r="AJ90" s="521"/>
      <c r="AK90" s="521"/>
      <c r="AL90" s="329"/>
      <c r="AM90" s="305"/>
      <c r="AN90" s="521"/>
      <c r="AO90" s="329"/>
    </row>
    <row r="91" spans="1:41">
      <c r="A91" s="308"/>
      <c r="B91" s="340" t="s">
        <v>598</v>
      </c>
      <c r="C91" s="301"/>
      <c r="D91" s="516"/>
      <c r="E91" s="516"/>
      <c r="F91" s="516"/>
      <c r="G91" s="327"/>
      <c r="H91" s="301"/>
      <c r="I91" s="516"/>
      <c r="J91" s="516"/>
      <c r="K91" s="516"/>
      <c r="L91" s="516"/>
      <c r="M91" s="301"/>
      <c r="N91" s="516"/>
      <c r="O91" s="516"/>
      <c r="P91" s="516"/>
      <c r="Q91" s="327"/>
      <c r="R91" s="1429"/>
      <c r="S91" s="301"/>
      <c r="T91" s="516"/>
      <c r="U91" s="516"/>
      <c r="V91" s="516"/>
      <c r="W91" s="327"/>
      <c r="X91" s="1233" t="e">
        <f>SUM(C91:G91)/SUM(S91:W91)-1</f>
        <v>#DIV/0!</v>
      </c>
      <c r="Y91" s="301"/>
      <c r="Z91" s="516"/>
      <c r="AA91" s="516"/>
      <c r="AB91" s="516"/>
      <c r="AC91" s="516"/>
      <c r="AD91" s="1237" t="e">
        <f>SUM(H91:L91)/SUM(Y91:AC91)-1</f>
        <v>#DIV/0!</v>
      </c>
      <c r="AH91" s="305"/>
      <c r="AI91" s="521"/>
      <c r="AJ91" s="521"/>
      <c r="AK91" s="521"/>
      <c r="AL91" s="329"/>
      <c r="AM91" s="305"/>
      <c r="AN91" s="521"/>
      <c r="AO91" s="329"/>
    </row>
    <row r="92" spans="1:41">
      <c r="A92" s="308"/>
      <c r="B92" s="340" t="s">
        <v>61</v>
      </c>
      <c r="C92" s="301"/>
      <c r="D92" s="516"/>
      <c r="E92" s="516"/>
      <c r="F92" s="516"/>
      <c r="G92" s="327"/>
      <c r="H92" s="301"/>
      <c r="I92" s="516"/>
      <c r="J92" s="516"/>
      <c r="K92" s="516"/>
      <c r="L92" s="516"/>
      <c r="M92" s="301"/>
      <c r="N92" s="516"/>
      <c r="O92" s="516"/>
      <c r="P92" s="516"/>
      <c r="Q92" s="327"/>
      <c r="R92" s="1429"/>
      <c r="S92" s="301"/>
      <c r="T92" s="516"/>
      <c r="U92" s="516"/>
      <c r="V92" s="516"/>
      <c r="W92" s="327"/>
      <c r="X92" s="1233" t="e">
        <f>SUM(C92:G92)/SUM(S92:W92)-1</f>
        <v>#DIV/0!</v>
      </c>
      <c r="Y92" s="301"/>
      <c r="Z92" s="516"/>
      <c r="AA92" s="516"/>
      <c r="AB92" s="516"/>
      <c r="AC92" s="516"/>
      <c r="AD92" s="1237" t="e">
        <f>SUM(H92:L92)/SUM(Y92:AC92)-1</f>
        <v>#DIV/0!</v>
      </c>
      <c r="AH92" s="305"/>
      <c r="AI92" s="521"/>
      <c r="AJ92" s="521"/>
      <c r="AK92" s="521"/>
      <c r="AL92" s="329"/>
      <c r="AM92" s="305"/>
      <c r="AN92" s="521"/>
      <c r="AO92" s="329"/>
    </row>
    <row r="93" spans="1:41">
      <c r="A93" s="308"/>
      <c r="B93" s="1698" t="s">
        <v>596</v>
      </c>
      <c r="C93" s="305">
        <f>SUM(C90:C92)</f>
        <v>0</v>
      </c>
      <c r="D93" s="521">
        <f t="shared" ref="D93:W93" si="15">SUM(D90:D92)</f>
        <v>0</v>
      </c>
      <c r="E93" s="521">
        <f t="shared" si="15"/>
        <v>0</v>
      </c>
      <c r="F93" s="521">
        <f t="shared" si="15"/>
        <v>0</v>
      </c>
      <c r="G93" s="329">
        <f t="shared" si="15"/>
        <v>0</v>
      </c>
      <c r="H93" s="305">
        <f t="shared" si="15"/>
        <v>0</v>
      </c>
      <c r="I93" s="521">
        <f t="shared" si="15"/>
        <v>0</v>
      </c>
      <c r="J93" s="521">
        <f t="shared" si="15"/>
        <v>0</v>
      </c>
      <c r="K93" s="521">
        <f t="shared" si="15"/>
        <v>0</v>
      </c>
      <c r="L93" s="521">
        <f t="shared" si="15"/>
        <v>0</v>
      </c>
      <c r="M93" s="305">
        <f t="shared" si="15"/>
        <v>0</v>
      </c>
      <c r="N93" s="521">
        <f t="shared" si="15"/>
        <v>0</v>
      </c>
      <c r="O93" s="521">
        <f t="shared" si="15"/>
        <v>0</v>
      </c>
      <c r="P93" s="521">
        <f t="shared" si="15"/>
        <v>0</v>
      </c>
      <c r="Q93" s="329">
        <f t="shared" si="15"/>
        <v>0</v>
      </c>
      <c r="R93" s="1429"/>
      <c r="S93" s="305">
        <f t="shared" si="15"/>
        <v>0</v>
      </c>
      <c r="T93" s="521">
        <f t="shared" si="15"/>
        <v>0</v>
      </c>
      <c r="U93" s="521">
        <f t="shared" si="15"/>
        <v>0</v>
      </c>
      <c r="V93" s="521">
        <f t="shared" si="15"/>
        <v>0</v>
      </c>
      <c r="W93" s="329">
        <f t="shared" si="15"/>
        <v>0</v>
      </c>
      <c r="X93" s="1233" t="e">
        <f>SUM(C93:G93)/SUM(S93:W93)-1</f>
        <v>#DIV/0!</v>
      </c>
      <c r="Y93" s="305">
        <f t="shared" ref="Y93:AC93" si="16">SUM(Y90:Y92)</f>
        <v>0</v>
      </c>
      <c r="Z93" s="521">
        <f t="shared" si="16"/>
        <v>0</v>
      </c>
      <c r="AA93" s="521">
        <f t="shared" si="16"/>
        <v>0</v>
      </c>
      <c r="AB93" s="521">
        <f t="shared" si="16"/>
        <v>0</v>
      </c>
      <c r="AC93" s="521">
        <f t="shared" si="16"/>
        <v>0</v>
      </c>
      <c r="AD93" s="1237" t="e">
        <f>SUM(H93:L93)/SUM(Y93:AC93)-1</f>
        <v>#DIV/0!</v>
      </c>
      <c r="AH93" s="305">
        <f>SUM(AH90:AH92)</f>
        <v>0</v>
      </c>
      <c r="AI93" s="521">
        <f t="shared" ref="AI93:AO93" si="17">SUM(AI90:AI92)</f>
        <v>0</v>
      </c>
      <c r="AJ93" s="521">
        <f t="shared" si="17"/>
        <v>0</v>
      </c>
      <c r="AK93" s="521">
        <f t="shared" si="17"/>
        <v>0</v>
      </c>
      <c r="AL93" s="329">
        <f t="shared" si="17"/>
        <v>0</v>
      </c>
      <c r="AM93" s="305">
        <f t="shared" si="17"/>
        <v>0</v>
      </c>
      <c r="AN93" s="521">
        <f t="shared" si="17"/>
        <v>0</v>
      </c>
      <c r="AO93" s="329">
        <f t="shared" si="17"/>
        <v>0</v>
      </c>
    </row>
    <row r="94" spans="1:41">
      <c r="A94" s="308"/>
      <c r="B94" s="1697" t="s">
        <v>600</v>
      </c>
      <c r="C94" s="1206"/>
      <c r="D94" s="1207"/>
      <c r="E94" s="1207"/>
      <c r="F94" s="1207"/>
      <c r="G94" s="1211"/>
      <c r="H94" s="1206"/>
      <c r="I94" s="1207"/>
      <c r="J94" s="1207"/>
      <c r="K94" s="1207"/>
      <c r="L94" s="1207"/>
      <c r="M94" s="1206"/>
      <c r="N94" s="1207"/>
      <c r="O94" s="1207"/>
      <c r="P94" s="1207"/>
      <c r="Q94" s="1211"/>
      <c r="R94" s="1429"/>
      <c r="S94" s="344"/>
      <c r="T94" s="334"/>
      <c r="U94" s="334"/>
      <c r="V94" s="334"/>
      <c r="W94" s="345"/>
      <c r="X94" s="334"/>
      <c r="Y94" s="344"/>
      <c r="Z94" s="334"/>
      <c r="AA94" s="334"/>
      <c r="AB94" s="334"/>
      <c r="AC94" s="334"/>
      <c r="AD94" s="345"/>
      <c r="AH94" s="1206"/>
      <c r="AI94" s="1207"/>
      <c r="AJ94" s="1207"/>
      <c r="AK94" s="1207"/>
      <c r="AL94" s="1211"/>
      <c r="AM94" s="1206"/>
      <c r="AN94" s="1207"/>
      <c r="AO94" s="1211"/>
    </row>
    <row r="95" spans="1:41">
      <c r="A95" s="308"/>
      <c r="B95" s="1696" t="s">
        <v>57</v>
      </c>
      <c r="C95" s="301"/>
      <c r="D95" s="516"/>
      <c r="E95" s="516"/>
      <c r="F95" s="516"/>
      <c r="G95" s="327"/>
      <c r="H95" s="301"/>
      <c r="I95" s="516"/>
      <c r="J95" s="516"/>
      <c r="K95" s="516"/>
      <c r="L95" s="516"/>
      <c r="M95" s="301"/>
      <c r="N95" s="516"/>
      <c r="O95" s="516"/>
      <c r="P95" s="516"/>
      <c r="Q95" s="327"/>
      <c r="R95" s="1429"/>
      <c r="S95" s="301"/>
      <c r="T95" s="516"/>
      <c r="U95" s="516"/>
      <c r="V95" s="516"/>
      <c r="W95" s="327"/>
      <c r="X95" s="1233" t="e">
        <f>SUM(C95:G95)/SUM(S95:W95)-1</f>
        <v>#DIV/0!</v>
      </c>
      <c r="Y95" s="301"/>
      <c r="Z95" s="516"/>
      <c r="AA95" s="516"/>
      <c r="AB95" s="516"/>
      <c r="AC95" s="516"/>
      <c r="AD95" s="1237" t="e">
        <f>SUM(H95:L95)/SUM(Y95:AC95)-1</f>
        <v>#DIV/0!</v>
      </c>
      <c r="AH95" s="305"/>
      <c r="AI95" s="521"/>
      <c r="AJ95" s="521"/>
      <c r="AK95" s="521"/>
      <c r="AL95" s="329"/>
      <c r="AM95" s="305"/>
      <c r="AN95" s="521"/>
      <c r="AO95" s="329"/>
    </row>
    <row r="96" spans="1:41">
      <c r="A96" s="308"/>
      <c r="B96" s="1696" t="s">
        <v>598</v>
      </c>
      <c r="C96" s="301"/>
      <c r="D96" s="516"/>
      <c r="E96" s="516"/>
      <c r="F96" s="516"/>
      <c r="G96" s="327"/>
      <c r="H96" s="301"/>
      <c r="I96" s="516"/>
      <c r="J96" s="516"/>
      <c r="K96" s="516"/>
      <c r="L96" s="516"/>
      <c r="M96" s="301"/>
      <c r="N96" s="516"/>
      <c r="O96" s="516"/>
      <c r="P96" s="516"/>
      <c r="Q96" s="327"/>
      <c r="R96" s="1429"/>
      <c r="S96" s="301"/>
      <c r="T96" s="516"/>
      <c r="U96" s="516"/>
      <c r="V96" s="516"/>
      <c r="W96" s="327"/>
      <c r="X96" s="1233" t="e">
        <f>SUM(C96:G96)/SUM(S96:W96)-1</f>
        <v>#DIV/0!</v>
      </c>
      <c r="Y96" s="301"/>
      <c r="Z96" s="516"/>
      <c r="AA96" s="516"/>
      <c r="AB96" s="516"/>
      <c r="AC96" s="516"/>
      <c r="AD96" s="1237" t="e">
        <f>SUM(H96:L96)/SUM(Y96:AC96)-1</f>
        <v>#DIV/0!</v>
      </c>
      <c r="AH96" s="305"/>
      <c r="AI96" s="521"/>
      <c r="AJ96" s="521"/>
      <c r="AK96" s="521"/>
      <c r="AL96" s="329"/>
      <c r="AM96" s="305"/>
      <c r="AN96" s="521"/>
      <c r="AO96" s="329"/>
    </row>
    <row r="97" spans="1:41">
      <c r="A97" s="308"/>
      <c r="B97" s="1696" t="s">
        <v>61</v>
      </c>
      <c r="C97" s="301"/>
      <c r="D97" s="516"/>
      <c r="E97" s="516"/>
      <c r="F97" s="516"/>
      <c r="G97" s="327"/>
      <c r="H97" s="301"/>
      <c r="I97" s="516"/>
      <c r="J97" s="516"/>
      <c r="K97" s="516"/>
      <c r="L97" s="516"/>
      <c r="M97" s="301"/>
      <c r="N97" s="516"/>
      <c r="O97" s="516"/>
      <c r="P97" s="516"/>
      <c r="Q97" s="327"/>
      <c r="R97" s="1429"/>
      <c r="S97" s="301"/>
      <c r="T97" s="516"/>
      <c r="U97" s="516"/>
      <c r="V97" s="516"/>
      <c r="W97" s="327"/>
      <c r="X97" s="1233" t="e">
        <f>SUM(C97:G97)/SUM(S97:W97)-1</f>
        <v>#DIV/0!</v>
      </c>
      <c r="Y97" s="301"/>
      <c r="Z97" s="516"/>
      <c r="AA97" s="516"/>
      <c r="AB97" s="516"/>
      <c r="AC97" s="516"/>
      <c r="AD97" s="1237" t="e">
        <f>SUM(H97:L97)/SUM(Y97:AC97)-1</f>
        <v>#DIV/0!</v>
      </c>
      <c r="AH97" s="305"/>
      <c r="AI97" s="521"/>
      <c r="AJ97" s="521"/>
      <c r="AK97" s="521"/>
      <c r="AL97" s="329"/>
      <c r="AM97" s="305"/>
      <c r="AN97" s="521"/>
      <c r="AO97" s="329"/>
    </row>
    <row r="98" spans="1:41">
      <c r="A98" s="308"/>
      <c r="B98" s="1698" t="s">
        <v>604</v>
      </c>
      <c r="C98" s="346">
        <f>SUM(C95:C97)</f>
        <v>0</v>
      </c>
      <c r="D98" s="1208">
        <f t="shared" ref="D98:W98" si="18">SUM(D95:D97)</f>
        <v>0</v>
      </c>
      <c r="E98" s="1208">
        <f t="shared" si="18"/>
        <v>0</v>
      </c>
      <c r="F98" s="1208">
        <f t="shared" si="18"/>
        <v>0</v>
      </c>
      <c r="G98" s="1212">
        <f t="shared" si="18"/>
        <v>0</v>
      </c>
      <c r="H98" s="346">
        <f t="shared" si="18"/>
        <v>0</v>
      </c>
      <c r="I98" s="1208">
        <f t="shared" si="18"/>
        <v>0</v>
      </c>
      <c r="J98" s="1208">
        <f t="shared" si="18"/>
        <v>0</v>
      </c>
      <c r="K98" s="1208">
        <f t="shared" si="18"/>
        <v>0</v>
      </c>
      <c r="L98" s="1208">
        <f t="shared" si="18"/>
        <v>0</v>
      </c>
      <c r="M98" s="346">
        <f t="shared" si="18"/>
        <v>0</v>
      </c>
      <c r="N98" s="1208">
        <f t="shared" si="18"/>
        <v>0</v>
      </c>
      <c r="O98" s="1208">
        <f t="shared" si="18"/>
        <v>0</v>
      </c>
      <c r="P98" s="1208">
        <f t="shared" si="18"/>
        <v>0</v>
      </c>
      <c r="Q98" s="1212">
        <f t="shared" si="18"/>
        <v>0</v>
      </c>
      <c r="R98" s="1429"/>
      <c r="S98" s="346">
        <f t="shared" si="18"/>
        <v>0</v>
      </c>
      <c r="T98" s="335">
        <f t="shared" si="18"/>
        <v>0</v>
      </c>
      <c r="U98" s="335">
        <f t="shared" si="18"/>
        <v>0</v>
      </c>
      <c r="V98" s="335">
        <f t="shared" si="18"/>
        <v>0</v>
      </c>
      <c r="W98" s="1196">
        <f t="shared" si="18"/>
        <v>0</v>
      </c>
      <c r="X98" s="1240" t="e">
        <f>SUM(C98:G98)/SUM(S98:W98)-1</f>
        <v>#DIV/0!</v>
      </c>
      <c r="Y98" s="346">
        <f t="shared" ref="Y98:AC98" si="19">SUM(Y95:Y97)</f>
        <v>0</v>
      </c>
      <c r="Z98" s="335">
        <f t="shared" si="19"/>
        <v>0</v>
      </c>
      <c r="AA98" s="335">
        <f t="shared" si="19"/>
        <v>0</v>
      </c>
      <c r="AB98" s="335">
        <f t="shared" si="19"/>
        <v>0</v>
      </c>
      <c r="AC98" s="335">
        <f t="shared" si="19"/>
        <v>0</v>
      </c>
      <c r="AD98" s="347" t="e">
        <f>SUM(H98:L98)/SUM(Y98:AC98)-1</f>
        <v>#DIV/0!</v>
      </c>
      <c r="AH98" s="346">
        <f>SUM(AH95:AH97)</f>
        <v>0</v>
      </c>
      <c r="AI98" s="1208">
        <f t="shared" ref="AI98:AO98" si="20">SUM(AI95:AI97)</f>
        <v>0</v>
      </c>
      <c r="AJ98" s="1208">
        <f t="shared" si="20"/>
        <v>0</v>
      </c>
      <c r="AK98" s="1208">
        <f t="shared" si="20"/>
        <v>0</v>
      </c>
      <c r="AL98" s="1212">
        <f t="shared" si="20"/>
        <v>0</v>
      </c>
      <c r="AM98" s="346">
        <f t="shared" si="20"/>
        <v>0</v>
      </c>
      <c r="AN98" s="1208">
        <f t="shared" si="20"/>
        <v>0</v>
      </c>
      <c r="AO98" s="1212">
        <f t="shared" si="20"/>
        <v>0</v>
      </c>
    </row>
    <row r="99" spans="1:41">
      <c r="A99" s="308"/>
      <c r="B99" s="1700" t="s">
        <v>602</v>
      </c>
      <c r="C99" s="1206"/>
      <c r="D99" s="1207"/>
      <c r="E99" s="1207"/>
      <c r="F99" s="1207"/>
      <c r="G99" s="1211"/>
      <c r="H99" s="1206"/>
      <c r="I99" s="1207"/>
      <c r="J99" s="1207"/>
      <c r="K99" s="1207"/>
      <c r="L99" s="1207"/>
      <c r="M99" s="1206"/>
      <c r="N99" s="1207"/>
      <c r="O99" s="1207"/>
      <c r="P99" s="1207"/>
      <c r="Q99" s="1211"/>
      <c r="R99" s="1429"/>
      <c r="S99" s="344"/>
      <c r="T99" s="334"/>
      <c r="U99" s="334"/>
      <c r="V99" s="334"/>
      <c r="W99" s="345"/>
      <c r="X99" s="334"/>
      <c r="Y99" s="344"/>
      <c r="Z99" s="334"/>
      <c r="AA99" s="334"/>
      <c r="AB99" s="334"/>
      <c r="AC99" s="334"/>
      <c r="AD99" s="345"/>
      <c r="AH99" s="1206"/>
      <c r="AI99" s="1207"/>
      <c r="AJ99" s="1207"/>
      <c r="AK99" s="1207"/>
      <c r="AL99" s="1211"/>
      <c r="AM99" s="1206"/>
      <c r="AN99" s="1207"/>
      <c r="AO99" s="1211"/>
    </row>
    <row r="100" spans="1:41">
      <c r="A100" s="308"/>
      <c r="B100" s="1701" t="s">
        <v>57</v>
      </c>
      <c r="C100" s="348">
        <f t="shared" ref="C100:W102" si="21">C90+C85+C95</f>
        <v>0</v>
      </c>
      <c r="D100" s="330">
        <f t="shared" si="21"/>
        <v>0</v>
      </c>
      <c r="E100" s="330">
        <f t="shared" si="21"/>
        <v>0</v>
      </c>
      <c r="F100" s="330">
        <f t="shared" si="21"/>
        <v>0</v>
      </c>
      <c r="G100" s="1197">
        <f t="shared" si="21"/>
        <v>0</v>
      </c>
      <c r="H100" s="348">
        <f t="shared" si="21"/>
        <v>0</v>
      </c>
      <c r="I100" s="330">
        <f t="shared" si="21"/>
        <v>0</v>
      </c>
      <c r="J100" s="330">
        <f t="shared" si="21"/>
        <v>0</v>
      </c>
      <c r="K100" s="330">
        <f t="shared" si="21"/>
        <v>0</v>
      </c>
      <c r="L100" s="330">
        <f t="shared" si="21"/>
        <v>0</v>
      </c>
      <c r="M100" s="348">
        <f t="shared" si="21"/>
        <v>0</v>
      </c>
      <c r="N100" s="330">
        <f t="shared" si="21"/>
        <v>0</v>
      </c>
      <c r="O100" s="330">
        <f t="shared" si="21"/>
        <v>0</v>
      </c>
      <c r="P100" s="330">
        <f t="shared" si="21"/>
        <v>0</v>
      </c>
      <c r="Q100" s="1197">
        <f t="shared" si="21"/>
        <v>0</v>
      </c>
      <c r="R100" s="1429"/>
      <c r="S100" s="348">
        <f t="shared" si="21"/>
        <v>0</v>
      </c>
      <c r="T100" s="330">
        <f t="shared" si="21"/>
        <v>0</v>
      </c>
      <c r="U100" s="330">
        <f t="shared" si="21"/>
        <v>0</v>
      </c>
      <c r="V100" s="330">
        <f t="shared" si="21"/>
        <v>0</v>
      </c>
      <c r="W100" s="1197">
        <f t="shared" si="21"/>
        <v>0</v>
      </c>
      <c r="X100" s="331" t="e">
        <f t="shared" ref="X100:X106" si="22">SUM(C100:G100)/SUM(S100:W100)-1</f>
        <v>#DIV/0!</v>
      </c>
      <c r="Y100" s="348">
        <f t="shared" ref="Y100:AC102" si="23">Y90+Y85+Y95</f>
        <v>0</v>
      </c>
      <c r="Z100" s="330">
        <f t="shared" si="23"/>
        <v>0</v>
      </c>
      <c r="AA100" s="330">
        <f t="shared" si="23"/>
        <v>0</v>
      </c>
      <c r="AB100" s="330">
        <f t="shared" si="23"/>
        <v>0</v>
      </c>
      <c r="AC100" s="330">
        <f t="shared" si="23"/>
        <v>0</v>
      </c>
      <c r="AD100" s="350" t="e">
        <f t="shared" ref="AD100:AD106" si="24">SUM(H100:L100)/SUM(Y100:AC100)-1</f>
        <v>#DIV/0!</v>
      </c>
      <c r="AH100" s="348">
        <f t="shared" ref="AH100:AO100" si="25">AH90+AH85+AH95</f>
        <v>0</v>
      </c>
      <c r="AI100" s="330">
        <f t="shared" si="25"/>
        <v>0</v>
      </c>
      <c r="AJ100" s="330">
        <f t="shared" si="25"/>
        <v>0</v>
      </c>
      <c r="AK100" s="330">
        <f t="shared" si="25"/>
        <v>0</v>
      </c>
      <c r="AL100" s="1197">
        <f t="shared" si="25"/>
        <v>0</v>
      </c>
      <c r="AM100" s="348">
        <f t="shared" si="25"/>
        <v>0</v>
      </c>
      <c r="AN100" s="330">
        <f t="shared" si="25"/>
        <v>0</v>
      </c>
      <c r="AO100" s="1197">
        <f t="shared" si="25"/>
        <v>0</v>
      </c>
    </row>
    <row r="101" spans="1:41">
      <c r="A101" s="308"/>
      <c r="B101" s="1701" t="s">
        <v>598</v>
      </c>
      <c r="C101" s="348">
        <f t="shared" si="21"/>
        <v>0</v>
      </c>
      <c r="D101" s="330">
        <f t="shared" si="21"/>
        <v>0</v>
      </c>
      <c r="E101" s="330">
        <f t="shared" si="21"/>
        <v>0</v>
      </c>
      <c r="F101" s="330">
        <f t="shared" si="21"/>
        <v>0</v>
      </c>
      <c r="G101" s="1197">
        <f t="shared" si="21"/>
        <v>0</v>
      </c>
      <c r="H101" s="348">
        <f t="shared" si="21"/>
        <v>0</v>
      </c>
      <c r="I101" s="330">
        <f t="shared" si="21"/>
        <v>0</v>
      </c>
      <c r="J101" s="330">
        <f t="shared" si="21"/>
        <v>0</v>
      </c>
      <c r="K101" s="330">
        <f t="shared" si="21"/>
        <v>0</v>
      </c>
      <c r="L101" s="330">
        <f t="shared" si="21"/>
        <v>0</v>
      </c>
      <c r="M101" s="348">
        <f t="shared" si="21"/>
        <v>0</v>
      </c>
      <c r="N101" s="330">
        <f t="shared" si="21"/>
        <v>0</v>
      </c>
      <c r="O101" s="330">
        <f t="shared" si="21"/>
        <v>0</v>
      </c>
      <c r="P101" s="330">
        <f t="shared" si="21"/>
        <v>0</v>
      </c>
      <c r="Q101" s="1197">
        <f t="shared" si="21"/>
        <v>0</v>
      </c>
      <c r="R101" s="1429"/>
      <c r="S101" s="348">
        <f t="shared" si="21"/>
        <v>0</v>
      </c>
      <c r="T101" s="330">
        <f t="shared" si="21"/>
        <v>0</v>
      </c>
      <c r="U101" s="330">
        <f t="shared" si="21"/>
        <v>0</v>
      </c>
      <c r="V101" s="330">
        <f t="shared" si="21"/>
        <v>0</v>
      </c>
      <c r="W101" s="1197">
        <f t="shared" si="21"/>
        <v>0</v>
      </c>
      <c r="X101" s="331" t="e">
        <f t="shared" si="22"/>
        <v>#DIV/0!</v>
      </c>
      <c r="Y101" s="348">
        <f t="shared" si="23"/>
        <v>0</v>
      </c>
      <c r="Z101" s="330">
        <f t="shared" si="23"/>
        <v>0</v>
      </c>
      <c r="AA101" s="330">
        <f t="shared" si="23"/>
        <v>0</v>
      </c>
      <c r="AB101" s="330">
        <f t="shared" si="23"/>
        <v>0</v>
      </c>
      <c r="AC101" s="330">
        <f t="shared" si="23"/>
        <v>0</v>
      </c>
      <c r="AD101" s="350" t="e">
        <f t="shared" si="24"/>
        <v>#DIV/0!</v>
      </c>
      <c r="AH101" s="348">
        <f t="shared" ref="AH101:AO101" si="26">AH91+AH86+AH96</f>
        <v>0</v>
      </c>
      <c r="AI101" s="330">
        <f t="shared" si="26"/>
        <v>0</v>
      </c>
      <c r="AJ101" s="330">
        <f t="shared" si="26"/>
        <v>0</v>
      </c>
      <c r="AK101" s="330">
        <f t="shared" si="26"/>
        <v>0</v>
      </c>
      <c r="AL101" s="1197">
        <f t="shared" si="26"/>
        <v>0</v>
      </c>
      <c r="AM101" s="348">
        <f t="shared" si="26"/>
        <v>0</v>
      </c>
      <c r="AN101" s="330">
        <f t="shared" si="26"/>
        <v>0</v>
      </c>
      <c r="AO101" s="1197">
        <f t="shared" si="26"/>
        <v>0</v>
      </c>
    </row>
    <row r="102" spans="1:41">
      <c r="A102" s="308"/>
      <c r="B102" s="1701" t="s">
        <v>61</v>
      </c>
      <c r="C102" s="348">
        <f t="shared" si="21"/>
        <v>0</v>
      </c>
      <c r="D102" s="330">
        <f t="shared" si="21"/>
        <v>0</v>
      </c>
      <c r="E102" s="330">
        <f t="shared" si="21"/>
        <v>0</v>
      </c>
      <c r="F102" s="330">
        <f t="shared" si="21"/>
        <v>0</v>
      </c>
      <c r="G102" s="1197">
        <f t="shared" si="21"/>
        <v>0</v>
      </c>
      <c r="H102" s="348">
        <f t="shared" si="21"/>
        <v>0</v>
      </c>
      <c r="I102" s="330">
        <f t="shared" si="21"/>
        <v>0</v>
      </c>
      <c r="J102" s="330">
        <f t="shared" si="21"/>
        <v>0</v>
      </c>
      <c r="K102" s="330">
        <f t="shared" si="21"/>
        <v>0</v>
      </c>
      <c r="L102" s="330">
        <f t="shared" si="21"/>
        <v>0</v>
      </c>
      <c r="M102" s="348">
        <f t="shared" si="21"/>
        <v>0</v>
      </c>
      <c r="N102" s="330">
        <f t="shared" si="21"/>
        <v>0</v>
      </c>
      <c r="O102" s="330">
        <f t="shared" si="21"/>
        <v>0</v>
      </c>
      <c r="P102" s="330">
        <f t="shared" si="21"/>
        <v>0</v>
      </c>
      <c r="Q102" s="1197">
        <f t="shared" si="21"/>
        <v>0</v>
      </c>
      <c r="R102" s="1429"/>
      <c r="S102" s="348">
        <f t="shared" si="21"/>
        <v>0</v>
      </c>
      <c r="T102" s="330">
        <f t="shared" si="21"/>
        <v>0</v>
      </c>
      <c r="U102" s="330">
        <f t="shared" si="21"/>
        <v>0</v>
      </c>
      <c r="V102" s="330">
        <f t="shared" si="21"/>
        <v>0</v>
      </c>
      <c r="W102" s="1197">
        <f t="shared" si="21"/>
        <v>0</v>
      </c>
      <c r="X102" s="331" t="e">
        <f t="shared" si="22"/>
        <v>#DIV/0!</v>
      </c>
      <c r="Y102" s="348">
        <f t="shared" si="23"/>
        <v>0</v>
      </c>
      <c r="Z102" s="330">
        <f t="shared" si="23"/>
        <v>0</v>
      </c>
      <c r="AA102" s="330">
        <f t="shared" si="23"/>
        <v>0</v>
      </c>
      <c r="AB102" s="330">
        <f t="shared" si="23"/>
        <v>0</v>
      </c>
      <c r="AC102" s="330">
        <f t="shared" si="23"/>
        <v>0</v>
      </c>
      <c r="AD102" s="350" t="e">
        <f t="shared" si="24"/>
        <v>#DIV/0!</v>
      </c>
      <c r="AH102" s="348">
        <f t="shared" ref="AH102:AO102" si="27">AH92+AH87+AH97</f>
        <v>0</v>
      </c>
      <c r="AI102" s="330">
        <f t="shared" si="27"/>
        <v>0</v>
      </c>
      <c r="AJ102" s="330">
        <f t="shared" si="27"/>
        <v>0</v>
      </c>
      <c r="AK102" s="330">
        <f t="shared" si="27"/>
        <v>0</v>
      </c>
      <c r="AL102" s="1197">
        <f t="shared" si="27"/>
        <v>0</v>
      </c>
      <c r="AM102" s="348">
        <f t="shared" si="27"/>
        <v>0</v>
      </c>
      <c r="AN102" s="330">
        <f t="shared" si="27"/>
        <v>0</v>
      </c>
      <c r="AO102" s="1197">
        <f t="shared" si="27"/>
        <v>0</v>
      </c>
    </row>
    <row r="103" spans="1:41">
      <c r="A103" s="308"/>
      <c r="B103" s="1702" t="s">
        <v>602</v>
      </c>
      <c r="C103" s="349">
        <f>SUM(C100:C102)</f>
        <v>0</v>
      </c>
      <c r="D103" s="1209">
        <f t="shared" ref="D103:V103" si="28">SUM(D100:D102)</f>
        <v>0</v>
      </c>
      <c r="E103" s="1209">
        <f t="shared" si="28"/>
        <v>0</v>
      </c>
      <c r="F103" s="1209">
        <f t="shared" si="28"/>
        <v>0</v>
      </c>
      <c r="G103" s="1213">
        <f t="shared" si="28"/>
        <v>0</v>
      </c>
      <c r="H103" s="349">
        <f t="shared" si="28"/>
        <v>0</v>
      </c>
      <c r="I103" s="1209">
        <f t="shared" si="28"/>
        <v>0</v>
      </c>
      <c r="J103" s="1209">
        <f t="shared" si="28"/>
        <v>0</v>
      </c>
      <c r="K103" s="1209">
        <f t="shared" si="28"/>
        <v>0</v>
      </c>
      <c r="L103" s="1209">
        <f t="shared" si="28"/>
        <v>0</v>
      </c>
      <c r="M103" s="349">
        <f t="shared" si="28"/>
        <v>0</v>
      </c>
      <c r="N103" s="1209">
        <f t="shared" si="28"/>
        <v>0</v>
      </c>
      <c r="O103" s="1209">
        <f t="shared" si="28"/>
        <v>0</v>
      </c>
      <c r="P103" s="1209">
        <f t="shared" si="28"/>
        <v>0</v>
      </c>
      <c r="Q103" s="1213">
        <f t="shared" si="28"/>
        <v>0</v>
      </c>
      <c r="R103" s="1429"/>
      <c r="S103" s="349">
        <f t="shared" si="28"/>
        <v>0</v>
      </c>
      <c r="T103" s="336">
        <f t="shared" si="28"/>
        <v>0</v>
      </c>
      <c r="U103" s="336">
        <f t="shared" si="28"/>
        <v>0</v>
      </c>
      <c r="V103" s="336">
        <f t="shared" si="28"/>
        <v>0</v>
      </c>
      <c r="W103" s="347">
        <f>SUM(W100:W102)</f>
        <v>0</v>
      </c>
      <c r="X103" s="1240" t="e">
        <f t="shared" si="22"/>
        <v>#DIV/0!</v>
      </c>
      <c r="Y103" s="349">
        <f t="shared" ref="Y103:AC103" si="29">SUM(Y100:Y102)</f>
        <v>0</v>
      </c>
      <c r="Z103" s="336">
        <f t="shared" si="29"/>
        <v>0</v>
      </c>
      <c r="AA103" s="336">
        <f t="shared" si="29"/>
        <v>0</v>
      </c>
      <c r="AB103" s="336">
        <f t="shared" si="29"/>
        <v>0</v>
      </c>
      <c r="AC103" s="336">
        <f t="shared" si="29"/>
        <v>0</v>
      </c>
      <c r="AD103" s="347" t="e">
        <f t="shared" si="24"/>
        <v>#DIV/0!</v>
      </c>
      <c r="AH103" s="349">
        <f>SUM(AH100:AH102)</f>
        <v>0</v>
      </c>
      <c r="AI103" s="1209">
        <f t="shared" ref="AI103:AO103" si="30">SUM(AI100:AI102)</f>
        <v>0</v>
      </c>
      <c r="AJ103" s="1209">
        <f t="shared" si="30"/>
        <v>0</v>
      </c>
      <c r="AK103" s="1209">
        <f t="shared" si="30"/>
        <v>0</v>
      </c>
      <c r="AL103" s="1213">
        <f t="shared" si="30"/>
        <v>0</v>
      </c>
      <c r="AM103" s="349">
        <f t="shared" si="30"/>
        <v>0</v>
      </c>
      <c r="AN103" s="1209">
        <f t="shared" si="30"/>
        <v>0</v>
      </c>
      <c r="AO103" s="1213">
        <f t="shared" si="30"/>
        <v>0</v>
      </c>
    </row>
    <row r="104" spans="1:41">
      <c r="A104" s="308"/>
      <c r="B104" s="1699" t="s">
        <v>603</v>
      </c>
      <c r="C104" s="354"/>
      <c r="D104" s="333"/>
      <c r="E104" s="333"/>
      <c r="F104" s="333"/>
      <c r="G104" s="355"/>
      <c r="H104" s="354"/>
      <c r="I104" s="333"/>
      <c r="J104" s="333"/>
      <c r="K104" s="333"/>
      <c r="L104" s="333"/>
      <c r="M104" s="354"/>
      <c r="N104" s="333"/>
      <c r="O104" s="333"/>
      <c r="P104" s="333"/>
      <c r="Q104" s="355"/>
      <c r="R104" s="1429"/>
      <c r="S104" s="351"/>
      <c r="T104" s="337"/>
      <c r="U104" s="337"/>
      <c r="V104" s="337"/>
      <c r="W104" s="1198"/>
      <c r="X104" s="331" t="e">
        <f t="shared" si="22"/>
        <v>#DIV/0!</v>
      </c>
      <c r="Y104" s="351"/>
      <c r="Z104" s="337"/>
      <c r="AA104" s="337"/>
      <c r="AB104" s="337"/>
      <c r="AC104" s="337"/>
      <c r="AD104" s="350" t="e">
        <f t="shared" si="24"/>
        <v>#DIV/0!</v>
      </c>
      <c r="AH104" s="348"/>
      <c r="AI104" s="330"/>
      <c r="AJ104" s="330"/>
      <c r="AK104" s="330"/>
      <c r="AL104" s="1197"/>
      <c r="AM104" s="348"/>
      <c r="AN104" s="330"/>
      <c r="AO104" s="1197"/>
    </row>
    <row r="105" spans="1:41">
      <c r="A105" s="308"/>
      <c r="B105" s="356" t="s">
        <v>159</v>
      </c>
      <c r="C105" s="354"/>
      <c r="D105" s="333"/>
      <c r="E105" s="333"/>
      <c r="F105" s="333"/>
      <c r="G105" s="355"/>
      <c r="H105" s="354"/>
      <c r="I105" s="333"/>
      <c r="J105" s="333"/>
      <c r="K105" s="333"/>
      <c r="L105" s="333"/>
      <c r="M105" s="354"/>
      <c r="N105" s="333"/>
      <c r="O105" s="333"/>
      <c r="P105" s="333"/>
      <c r="Q105" s="355"/>
      <c r="R105" s="1429"/>
      <c r="S105" s="351"/>
      <c r="T105" s="337"/>
      <c r="U105" s="337"/>
      <c r="V105" s="337"/>
      <c r="W105" s="1198"/>
      <c r="X105" s="331" t="e">
        <f t="shared" si="22"/>
        <v>#DIV/0!</v>
      </c>
      <c r="Y105" s="351"/>
      <c r="Z105" s="337"/>
      <c r="AA105" s="337"/>
      <c r="AB105" s="337"/>
      <c r="AC105" s="337"/>
      <c r="AD105" s="350" t="e">
        <f t="shared" si="24"/>
        <v>#DIV/0!</v>
      </c>
      <c r="AH105" s="348"/>
      <c r="AI105" s="330"/>
      <c r="AJ105" s="330"/>
      <c r="AK105" s="330"/>
      <c r="AL105" s="1197"/>
      <c r="AM105" s="348"/>
      <c r="AN105" s="330"/>
      <c r="AO105" s="1197"/>
    </row>
    <row r="106" spans="1:41">
      <c r="A106" s="308"/>
      <c r="B106" s="558" t="str">
        <f>CONCATENATE("Total gross expenditure on new ", B24, " connections")</f>
        <v>Total gross expenditure on new Electricity to gas connections</v>
      </c>
      <c r="C106" s="352">
        <f>SUM(C103,C104,C105)</f>
        <v>0</v>
      </c>
      <c r="D106" s="332">
        <f t="shared" ref="D106:Q106" si="31">SUM(D103,D104,D105)</f>
        <v>0</v>
      </c>
      <c r="E106" s="332">
        <f t="shared" si="31"/>
        <v>0</v>
      </c>
      <c r="F106" s="332">
        <f t="shared" si="31"/>
        <v>0</v>
      </c>
      <c r="G106" s="353">
        <f t="shared" si="31"/>
        <v>0</v>
      </c>
      <c r="H106" s="352">
        <f t="shared" si="31"/>
        <v>0</v>
      </c>
      <c r="I106" s="332">
        <f t="shared" si="31"/>
        <v>0</v>
      </c>
      <c r="J106" s="332">
        <f t="shared" si="31"/>
        <v>0</v>
      </c>
      <c r="K106" s="332">
        <f t="shared" si="31"/>
        <v>0</v>
      </c>
      <c r="L106" s="332">
        <f t="shared" si="31"/>
        <v>0</v>
      </c>
      <c r="M106" s="352">
        <f t="shared" si="31"/>
        <v>0</v>
      </c>
      <c r="N106" s="332">
        <f t="shared" si="31"/>
        <v>0</v>
      </c>
      <c r="O106" s="332">
        <f t="shared" si="31"/>
        <v>0</v>
      </c>
      <c r="P106" s="332">
        <f t="shared" si="31"/>
        <v>0</v>
      </c>
      <c r="Q106" s="353">
        <f t="shared" si="31"/>
        <v>0</v>
      </c>
      <c r="R106" s="1429"/>
      <c r="S106" s="352">
        <f t="shared" ref="S106" si="32">SUM(S103,S104,S105)</f>
        <v>0</v>
      </c>
      <c r="T106" s="332">
        <f t="shared" ref="T106" si="33">SUM(T103,T104,T105)</f>
        <v>0</v>
      </c>
      <c r="U106" s="332">
        <f t="shared" ref="U106" si="34">SUM(U103,U104,U105)</f>
        <v>0</v>
      </c>
      <c r="V106" s="332">
        <f t="shared" ref="V106" si="35">SUM(V103,V104,V105)</f>
        <v>0</v>
      </c>
      <c r="W106" s="353">
        <f t="shared" ref="W106" si="36">SUM(W103,W104,W105)</f>
        <v>0</v>
      </c>
      <c r="X106" s="1235" t="e">
        <f t="shared" si="22"/>
        <v>#DIV/0!</v>
      </c>
      <c r="Y106" s="352">
        <f t="shared" ref="Y106" si="37">SUM(Y103,Y104,Y105)</f>
        <v>0</v>
      </c>
      <c r="Z106" s="332">
        <f t="shared" ref="Z106" si="38">SUM(Z103,Z104,Z105)</f>
        <v>0</v>
      </c>
      <c r="AA106" s="332">
        <f t="shared" ref="AA106" si="39">SUM(AA103,AA104,AA105)</f>
        <v>0</v>
      </c>
      <c r="AB106" s="332">
        <f t="shared" ref="AB106" si="40">SUM(AB103,AB104,AB105)</f>
        <v>0</v>
      </c>
      <c r="AC106" s="332">
        <f t="shared" ref="AC106" si="41">SUM(AC103,AC104,AC105)</f>
        <v>0</v>
      </c>
      <c r="AD106" s="1238" t="e">
        <f t="shared" si="24"/>
        <v>#DIV/0!</v>
      </c>
      <c r="AH106" s="352">
        <f>SUM(AH103,AH104,AH105)</f>
        <v>0</v>
      </c>
      <c r="AI106" s="332">
        <f t="shared" ref="AI106:AO106" si="42">SUM(AI103,AI104,AI105)</f>
        <v>0</v>
      </c>
      <c r="AJ106" s="332">
        <f t="shared" si="42"/>
        <v>0</v>
      </c>
      <c r="AK106" s="332">
        <f t="shared" si="42"/>
        <v>0</v>
      </c>
      <c r="AL106" s="353">
        <f t="shared" si="42"/>
        <v>0</v>
      </c>
      <c r="AM106" s="352">
        <f t="shared" si="42"/>
        <v>0</v>
      </c>
      <c r="AN106" s="332">
        <f t="shared" si="42"/>
        <v>0</v>
      </c>
      <c r="AO106" s="353">
        <f t="shared" si="42"/>
        <v>0</v>
      </c>
    </row>
    <row r="107" spans="1:41">
      <c r="A107" s="308"/>
      <c r="B107" s="1688" t="s">
        <v>35</v>
      </c>
      <c r="C107" s="354"/>
      <c r="D107" s="333"/>
      <c r="E107" s="333"/>
      <c r="F107" s="333"/>
      <c r="G107" s="355"/>
      <c r="H107" s="354"/>
      <c r="I107" s="333"/>
      <c r="J107" s="333"/>
      <c r="K107" s="333"/>
      <c r="L107" s="333"/>
      <c r="M107" s="354"/>
      <c r="N107" s="333"/>
      <c r="O107" s="333"/>
      <c r="P107" s="333"/>
      <c r="Q107" s="355"/>
      <c r="R107" s="1429"/>
      <c r="S107" s="354"/>
      <c r="T107" s="333"/>
      <c r="U107" s="333"/>
      <c r="V107" s="333"/>
      <c r="W107" s="355"/>
      <c r="X107" s="1236"/>
      <c r="Y107" s="354"/>
      <c r="Z107" s="333"/>
      <c r="AA107" s="333"/>
      <c r="AB107" s="333"/>
      <c r="AC107" s="333"/>
      <c r="AD107" s="1239"/>
      <c r="AH107" s="348"/>
      <c r="AI107" s="330"/>
      <c r="AJ107" s="330"/>
      <c r="AK107" s="330"/>
      <c r="AL107" s="1197"/>
      <c r="AM107" s="348"/>
      <c r="AN107" s="330"/>
      <c r="AO107" s="1197"/>
    </row>
    <row r="108" spans="1:41" ht="13.5" thickBot="1">
      <c r="A108" s="308"/>
      <c r="B108" s="1693" t="str">
        <f>CONCATENATE("Total net expenditure on new ", B24, " connections")</f>
        <v>Total net expenditure on new Electricity to gas connections</v>
      </c>
      <c r="C108" s="1199">
        <f>C106-C107</f>
        <v>0</v>
      </c>
      <c r="D108" s="1200">
        <f t="shared" ref="D108:V108" si="43">D106-D107</f>
        <v>0</v>
      </c>
      <c r="E108" s="1200">
        <f t="shared" si="43"/>
        <v>0</v>
      </c>
      <c r="F108" s="1200">
        <f t="shared" si="43"/>
        <v>0</v>
      </c>
      <c r="G108" s="1201">
        <f t="shared" si="43"/>
        <v>0</v>
      </c>
      <c r="H108" s="1199">
        <f t="shared" si="43"/>
        <v>0</v>
      </c>
      <c r="I108" s="1200">
        <f t="shared" si="43"/>
        <v>0</v>
      </c>
      <c r="J108" s="1200">
        <f t="shared" si="43"/>
        <v>0</v>
      </c>
      <c r="K108" s="1200">
        <f t="shared" si="43"/>
        <v>0</v>
      </c>
      <c r="L108" s="1200">
        <f t="shared" si="43"/>
        <v>0</v>
      </c>
      <c r="M108" s="1199">
        <f t="shared" si="43"/>
        <v>0</v>
      </c>
      <c r="N108" s="1200">
        <f t="shared" si="43"/>
        <v>0</v>
      </c>
      <c r="O108" s="1200">
        <f t="shared" si="43"/>
        <v>0</v>
      </c>
      <c r="P108" s="1200">
        <f t="shared" si="43"/>
        <v>0</v>
      </c>
      <c r="Q108" s="1201">
        <f t="shared" si="43"/>
        <v>0</v>
      </c>
      <c r="R108" s="1429"/>
      <c r="S108" s="1199">
        <f t="shared" si="43"/>
        <v>0</v>
      </c>
      <c r="T108" s="1200">
        <f t="shared" si="43"/>
        <v>0</v>
      </c>
      <c r="U108" s="1200">
        <f t="shared" si="43"/>
        <v>0</v>
      </c>
      <c r="V108" s="1200">
        <f t="shared" si="43"/>
        <v>0</v>
      </c>
      <c r="W108" s="1201">
        <f>W106-W107</f>
        <v>0</v>
      </c>
      <c r="X108" s="1241" t="e">
        <f>SUM(C108:G108)/SUM(S108:W108)-1</f>
        <v>#DIV/0!</v>
      </c>
      <c r="Y108" s="1199">
        <f t="shared" ref="Y108:AC108" si="44">Y106-Y107</f>
        <v>0</v>
      </c>
      <c r="Z108" s="1200">
        <f t="shared" si="44"/>
        <v>0</v>
      </c>
      <c r="AA108" s="1200">
        <f t="shared" si="44"/>
        <v>0</v>
      </c>
      <c r="AB108" s="1200">
        <f t="shared" si="44"/>
        <v>0</v>
      </c>
      <c r="AC108" s="1200">
        <f t="shared" si="44"/>
        <v>0</v>
      </c>
      <c r="AD108" s="1242" t="e">
        <f>SUM(H108:L108)/SUM(Y108:AC108)-1</f>
        <v>#DIV/0!</v>
      </c>
      <c r="AH108" s="2102">
        <f>AH106-AH107</f>
        <v>0</v>
      </c>
      <c r="AI108" s="1200">
        <f t="shared" ref="AI108:AO108" si="45">AI106-AI107</f>
        <v>0</v>
      </c>
      <c r="AJ108" s="1200">
        <f t="shared" si="45"/>
        <v>0</v>
      </c>
      <c r="AK108" s="1200">
        <f t="shared" si="45"/>
        <v>0</v>
      </c>
      <c r="AL108" s="1201">
        <f t="shared" si="45"/>
        <v>0</v>
      </c>
      <c r="AM108" s="2102">
        <f t="shared" si="45"/>
        <v>0</v>
      </c>
      <c r="AN108" s="1200">
        <f t="shared" si="45"/>
        <v>0</v>
      </c>
      <c r="AO108" s="1201">
        <f t="shared" si="45"/>
        <v>0</v>
      </c>
    </row>
    <row r="109" spans="1:41" s="176" customFormat="1" ht="31.5" customHeight="1" thickBot="1">
      <c r="A109" s="862"/>
      <c r="B109" s="1724" t="s">
        <v>125</v>
      </c>
      <c r="C109" s="309"/>
      <c r="D109" s="1247"/>
      <c r="E109" s="1247"/>
      <c r="F109" s="1247"/>
      <c r="G109" s="1247"/>
      <c r="H109" s="1247"/>
      <c r="I109" s="1247"/>
      <c r="J109" s="1247"/>
      <c r="K109" s="1247"/>
      <c r="L109" s="1247"/>
      <c r="M109" s="1247"/>
      <c r="N109" s="1247"/>
      <c r="O109" s="1247"/>
      <c r="P109" s="1247"/>
      <c r="Q109" s="1248"/>
      <c r="R109" s="1429"/>
      <c r="S109" s="309"/>
      <c r="T109" s="1247"/>
      <c r="U109" s="1247"/>
      <c r="V109" s="1247"/>
      <c r="W109" s="1247"/>
      <c r="X109" s="1247"/>
      <c r="Y109" s="1247"/>
      <c r="Z109" s="1247"/>
      <c r="AA109" s="1247"/>
      <c r="AB109" s="1247"/>
      <c r="AC109" s="1247"/>
      <c r="AD109" s="1248"/>
      <c r="AE109"/>
      <c r="AH109" s="2107"/>
      <c r="AI109" s="2108"/>
      <c r="AJ109" s="2108"/>
      <c r="AK109" s="2108"/>
      <c r="AL109" s="2108"/>
      <c r="AM109" s="2108"/>
      <c r="AN109" s="2108"/>
      <c r="AO109" s="2109"/>
    </row>
    <row r="110" spans="1:41" ht="13.5" thickBot="1">
      <c r="A110" s="1429"/>
      <c r="B110" s="1429"/>
      <c r="C110" s="1429"/>
      <c r="D110" s="1429"/>
      <c r="E110" s="1429"/>
      <c r="F110" s="1429"/>
      <c r="G110" s="1429"/>
      <c r="H110" s="1429"/>
      <c r="I110" s="1429"/>
      <c r="J110" s="1429"/>
      <c r="K110" s="1429"/>
      <c r="L110" s="1429"/>
      <c r="M110" s="1429"/>
      <c r="N110" s="1429"/>
      <c r="O110" s="1429"/>
      <c r="P110" s="1429"/>
      <c r="Q110" s="1429"/>
      <c r="R110" s="1429"/>
      <c r="S110" s="1429"/>
      <c r="T110" s="1429"/>
      <c r="U110" s="1429"/>
      <c r="V110" s="1429"/>
      <c r="W110" s="1429"/>
      <c r="X110" s="1429"/>
      <c r="Y110" s="1429"/>
      <c r="Z110" s="1429"/>
      <c r="AA110" s="1429"/>
      <c r="AB110" s="1429"/>
      <c r="AC110" s="1429"/>
      <c r="AD110" s="1429"/>
      <c r="AH110" s="1429"/>
      <c r="AI110" s="1429"/>
      <c r="AJ110" s="1429"/>
      <c r="AK110" s="1429"/>
      <c r="AL110" s="1429"/>
      <c r="AM110" s="1429"/>
      <c r="AN110" s="1429"/>
      <c r="AO110" s="1429"/>
    </row>
    <row r="111" spans="1:41" ht="16.5" thickBot="1">
      <c r="A111" s="993"/>
      <c r="B111" s="298" t="str">
        <f>CONCATENATE("Table 4.2.3 - ", B25)</f>
        <v>Table 4.2.3 - New homes</v>
      </c>
      <c r="C111" s="315"/>
      <c r="D111" s="315"/>
      <c r="E111" s="315"/>
      <c r="F111" s="315"/>
      <c r="G111" s="315"/>
      <c r="H111" s="315"/>
      <c r="I111" s="315"/>
      <c r="J111" s="315"/>
      <c r="K111" s="315"/>
      <c r="L111" s="315"/>
      <c r="M111" s="315"/>
      <c r="N111" s="315"/>
      <c r="O111" s="315"/>
      <c r="P111" s="315"/>
      <c r="Q111" s="316"/>
      <c r="R111" s="1429"/>
      <c r="S111" s="298"/>
      <c r="T111" s="315"/>
      <c r="U111" s="315"/>
      <c r="V111" s="315"/>
      <c r="W111" s="315"/>
      <c r="X111" s="315"/>
      <c r="Y111" s="315"/>
      <c r="Z111" s="315"/>
      <c r="AA111" s="315"/>
      <c r="AB111" s="315"/>
      <c r="AC111" s="315"/>
      <c r="AD111" s="316"/>
      <c r="AH111" s="298"/>
      <c r="AI111" s="315"/>
      <c r="AJ111" s="315"/>
      <c r="AK111" s="315"/>
      <c r="AL111" s="315"/>
      <c r="AM111" s="315"/>
      <c r="AN111" s="315"/>
      <c r="AO111" s="316"/>
    </row>
    <row r="112" spans="1:41">
      <c r="A112" s="308"/>
      <c r="B112" s="339" t="str">
        <f>CONCATENATE("Number of new ", B25, " connections")</f>
        <v>Number of new New homes connections</v>
      </c>
      <c r="C112" s="341">
        <f t="shared" ref="C112:Q112" si="46">C25</f>
        <v>0</v>
      </c>
      <c r="D112" s="1205">
        <f t="shared" si="46"/>
        <v>0</v>
      </c>
      <c r="E112" s="1205">
        <f t="shared" si="46"/>
        <v>0</v>
      </c>
      <c r="F112" s="1205">
        <f t="shared" si="46"/>
        <v>0</v>
      </c>
      <c r="G112" s="1210">
        <f t="shared" si="46"/>
        <v>0</v>
      </c>
      <c r="H112" s="341">
        <f t="shared" si="46"/>
        <v>0</v>
      </c>
      <c r="I112" s="1205">
        <f t="shared" si="46"/>
        <v>0</v>
      </c>
      <c r="J112" s="1205">
        <f t="shared" si="46"/>
        <v>0</v>
      </c>
      <c r="K112" s="1205">
        <f t="shared" si="46"/>
        <v>0</v>
      </c>
      <c r="L112" s="1205">
        <f t="shared" si="46"/>
        <v>0</v>
      </c>
      <c r="M112" s="341">
        <f t="shared" si="46"/>
        <v>0</v>
      </c>
      <c r="N112" s="1205">
        <f t="shared" si="46"/>
        <v>0</v>
      </c>
      <c r="O112" s="1205">
        <f t="shared" si="46"/>
        <v>0</v>
      </c>
      <c r="P112" s="1205">
        <f t="shared" si="46"/>
        <v>0</v>
      </c>
      <c r="Q112" s="1210">
        <f t="shared" si="46"/>
        <v>0</v>
      </c>
      <c r="R112" s="1429"/>
      <c r="S112" s="341">
        <f>S25</f>
        <v>0</v>
      </c>
      <c r="T112" s="1205">
        <f>T25</f>
        <v>0</v>
      </c>
      <c r="U112" s="1205">
        <f>U25</f>
        <v>0</v>
      </c>
      <c r="V112" s="1205">
        <f>V25</f>
        <v>0</v>
      </c>
      <c r="W112" s="1210">
        <f>W25</f>
        <v>0</v>
      </c>
      <c r="X112" s="1232" t="e">
        <f>SUM(C112:G112)/SUM(S112:W112)-1</f>
        <v>#DIV/0!</v>
      </c>
      <c r="Y112" s="341"/>
      <c r="Z112" s="342"/>
      <c r="AA112" s="342"/>
      <c r="AB112" s="342"/>
      <c r="AC112" s="342"/>
      <c r="AD112" s="343" t="e">
        <f>SUM(H112:L112)/SUM(Y112:AC112)-1</f>
        <v>#DIV/0!</v>
      </c>
      <c r="AH112" s="2101">
        <f t="shared" ref="AH112:AO112" si="47">AH25</f>
        <v>0</v>
      </c>
      <c r="AI112" s="1205">
        <f t="shared" si="47"/>
        <v>0</v>
      </c>
      <c r="AJ112" s="1205">
        <f t="shared" si="47"/>
        <v>0</v>
      </c>
      <c r="AK112" s="1205">
        <f t="shared" si="47"/>
        <v>0</v>
      </c>
      <c r="AL112" s="1210">
        <f t="shared" si="47"/>
        <v>0</v>
      </c>
      <c r="AM112" s="2101">
        <f t="shared" si="47"/>
        <v>0</v>
      </c>
      <c r="AN112" s="1205">
        <f t="shared" si="47"/>
        <v>0</v>
      </c>
      <c r="AO112" s="1210">
        <f t="shared" si="47"/>
        <v>0</v>
      </c>
    </row>
    <row r="113" spans="1:41">
      <c r="A113" s="308"/>
      <c r="B113" s="1695" t="s">
        <v>594</v>
      </c>
      <c r="C113" s="1206"/>
      <c r="D113" s="1207"/>
      <c r="E113" s="1207"/>
      <c r="F113" s="1207"/>
      <c r="G113" s="1211"/>
      <c r="H113" s="1206"/>
      <c r="I113" s="1207"/>
      <c r="J113" s="1207"/>
      <c r="K113" s="1207"/>
      <c r="L113" s="1207"/>
      <c r="M113" s="1206"/>
      <c r="N113" s="1207"/>
      <c r="O113" s="1207"/>
      <c r="P113" s="1207"/>
      <c r="Q113" s="1211"/>
      <c r="R113" s="1429"/>
      <c r="S113" s="1206"/>
      <c r="T113" s="1207"/>
      <c r="U113" s="1207"/>
      <c r="V113" s="1207"/>
      <c r="W113" s="1211"/>
      <c r="X113" s="334"/>
      <c r="Y113" s="344"/>
      <c r="Z113" s="334"/>
      <c r="AA113" s="334"/>
      <c r="AB113" s="334"/>
      <c r="AC113" s="334"/>
      <c r="AD113" s="345"/>
      <c r="AH113" s="1206"/>
      <c r="AI113" s="1207"/>
      <c r="AJ113" s="1207"/>
      <c r="AK113" s="1207"/>
      <c r="AL113" s="1211"/>
      <c r="AM113" s="1206"/>
      <c r="AN113" s="1207"/>
      <c r="AO113" s="1211"/>
    </row>
    <row r="114" spans="1:41">
      <c r="A114" s="308"/>
      <c r="B114" s="1696" t="s">
        <v>57</v>
      </c>
      <c r="C114" s="301"/>
      <c r="D114" s="516"/>
      <c r="E114" s="516"/>
      <c r="F114" s="516"/>
      <c r="G114" s="327"/>
      <c r="H114" s="301"/>
      <c r="I114" s="516"/>
      <c r="J114" s="516"/>
      <c r="K114" s="516"/>
      <c r="L114" s="516"/>
      <c r="M114" s="301"/>
      <c r="N114" s="516"/>
      <c r="O114" s="516"/>
      <c r="P114" s="516"/>
      <c r="Q114" s="327"/>
      <c r="R114" s="1429"/>
      <c r="S114" s="301"/>
      <c r="T114" s="516"/>
      <c r="U114" s="516"/>
      <c r="V114" s="516"/>
      <c r="W114" s="327"/>
      <c r="X114" s="1233" t="e">
        <f>SUM(C114:G114)/SUM(S114:W114)-1</f>
        <v>#DIV/0!</v>
      </c>
      <c r="Y114" s="301"/>
      <c r="Z114" s="516"/>
      <c r="AA114" s="516"/>
      <c r="AB114" s="516"/>
      <c r="AC114" s="516"/>
      <c r="AD114" s="1237" t="e">
        <f>SUM(H114:L114)/SUM(Y114:AC114)-1</f>
        <v>#DIV/0!</v>
      </c>
      <c r="AH114" s="305"/>
      <c r="AI114" s="521"/>
      <c r="AJ114" s="521"/>
      <c r="AK114" s="521"/>
      <c r="AL114" s="329"/>
      <c r="AM114" s="305"/>
      <c r="AN114" s="521"/>
      <c r="AO114" s="329"/>
    </row>
    <row r="115" spans="1:41">
      <c r="A115" s="308"/>
      <c r="B115" s="1696" t="s">
        <v>598</v>
      </c>
      <c r="C115" s="301"/>
      <c r="D115" s="516"/>
      <c r="E115" s="516"/>
      <c r="F115" s="516"/>
      <c r="G115" s="327"/>
      <c r="H115" s="301"/>
      <c r="I115" s="516"/>
      <c r="J115" s="516"/>
      <c r="K115" s="516"/>
      <c r="L115" s="516"/>
      <c r="M115" s="301"/>
      <c r="N115" s="516"/>
      <c r="O115" s="516"/>
      <c r="P115" s="516"/>
      <c r="Q115" s="327"/>
      <c r="R115" s="1429"/>
      <c r="S115" s="301"/>
      <c r="T115" s="516"/>
      <c r="U115" s="516"/>
      <c r="V115" s="516"/>
      <c r="W115" s="327"/>
      <c r="X115" s="1233" t="e">
        <f>SUM(C115:G115)/SUM(S115:W115)-1</f>
        <v>#DIV/0!</v>
      </c>
      <c r="Y115" s="301"/>
      <c r="Z115" s="516"/>
      <c r="AA115" s="516"/>
      <c r="AB115" s="516"/>
      <c r="AC115" s="516"/>
      <c r="AD115" s="1237" t="e">
        <f>SUM(H115:L115)/SUM(Y115:AC115)-1</f>
        <v>#DIV/0!</v>
      </c>
      <c r="AH115" s="305"/>
      <c r="AI115" s="521"/>
      <c r="AJ115" s="521"/>
      <c r="AK115" s="521"/>
      <c r="AL115" s="329"/>
      <c r="AM115" s="305"/>
      <c r="AN115" s="521"/>
      <c r="AO115" s="329"/>
    </row>
    <row r="116" spans="1:41">
      <c r="A116" s="308"/>
      <c r="B116" s="1696" t="s">
        <v>61</v>
      </c>
      <c r="C116" s="301"/>
      <c r="D116" s="516"/>
      <c r="E116" s="516"/>
      <c r="F116" s="516"/>
      <c r="G116" s="327"/>
      <c r="H116" s="301"/>
      <c r="I116" s="516"/>
      <c r="J116" s="516"/>
      <c r="K116" s="516"/>
      <c r="L116" s="516"/>
      <c r="M116" s="301"/>
      <c r="N116" s="516"/>
      <c r="O116" s="516"/>
      <c r="P116" s="516"/>
      <c r="Q116" s="327"/>
      <c r="R116" s="1429"/>
      <c r="S116" s="301"/>
      <c r="T116" s="516"/>
      <c r="U116" s="516"/>
      <c r="V116" s="516"/>
      <c r="W116" s="327"/>
      <c r="X116" s="1233" t="e">
        <f>SUM(C116:G116)/SUM(S116:W116)-1</f>
        <v>#DIV/0!</v>
      </c>
      <c r="Y116" s="301"/>
      <c r="Z116" s="516"/>
      <c r="AA116" s="516"/>
      <c r="AB116" s="516"/>
      <c r="AC116" s="516"/>
      <c r="AD116" s="1237" t="e">
        <f>SUM(H116:L116)/SUM(Y116:AC116)-1</f>
        <v>#DIV/0!</v>
      </c>
      <c r="AH116" s="305"/>
      <c r="AI116" s="521"/>
      <c r="AJ116" s="521"/>
      <c r="AK116" s="521"/>
      <c r="AL116" s="329"/>
      <c r="AM116" s="305"/>
      <c r="AN116" s="521"/>
      <c r="AO116" s="329"/>
    </row>
    <row r="117" spans="1:41">
      <c r="A117" s="308"/>
      <c r="B117" s="1698" t="s">
        <v>599</v>
      </c>
      <c r="C117" s="346">
        <f t="shared" ref="C117:W117" si="48">SUM(C114:C116)</f>
        <v>0</v>
      </c>
      <c r="D117" s="1208">
        <f t="shared" si="48"/>
        <v>0</v>
      </c>
      <c r="E117" s="1208">
        <f t="shared" si="48"/>
        <v>0</v>
      </c>
      <c r="F117" s="1208">
        <f t="shared" si="48"/>
        <v>0</v>
      </c>
      <c r="G117" s="1212">
        <f t="shared" si="48"/>
        <v>0</v>
      </c>
      <c r="H117" s="346">
        <f t="shared" si="48"/>
        <v>0</v>
      </c>
      <c r="I117" s="1208">
        <f t="shared" si="48"/>
        <v>0</v>
      </c>
      <c r="J117" s="1208">
        <f t="shared" si="48"/>
        <v>0</v>
      </c>
      <c r="K117" s="1208">
        <f t="shared" si="48"/>
        <v>0</v>
      </c>
      <c r="L117" s="1208">
        <f t="shared" si="48"/>
        <v>0</v>
      </c>
      <c r="M117" s="346">
        <f t="shared" si="48"/>
        <v>0</v>
      </c>
      <c r="N117" s="1208">
        <f t="shared" si="48"/>
        <v>0</v>
      </c>
      <c r="O117" s="1208">
        <f t="shared" si="48"/>
        <v>0</v>
      </c>
      <c r="P117" s="1208">
        <f t="shared" si="48"/>
        <v>0</v>
      </c>
      <c r="Q117" s="1212">
        <f t="shared" si="48"/>
        <v>0</v>
      </c>
      <c r="R117" s="1429"/>
      <c r="S117" s="346">
        <f t="shared" si="48"/>
        <v>0</v>
      </c>
      <c r="T117" s="1208">
        <f t="shared" si="48"/>
        <v>0</v>
      </c>
      <c r="U117" s="1208">
        <f t="shared" si="48"/>
        <v>0</v>
      </c>
      <c r="V117" s="1208">
        <f t="shared" si="48"/>
        <v>0</v>
      </c>
      <c r="W117" s="1212">
        <f t="shared" si="48"/>
        <v>0</v>
      </c>
      <c r="X117" s="1240" t="e">
        <f>SUM(C117:G117)/SUM(S117:W117)-1</f>
        <v>#DIV/0!</v>
      </c>
      <c r="Y117" s="346">
        <f t="shared" ref="Y117:AC117" si="49">SUM(Y114:Y116)</f>
        <v>0</v>
      </c>
      <c r="Z117" s="335">
        <f t="shared" si="49"/>
        <v>0</v>
      </c>
      <c r="AA117" s="335">
        <f t="shared" si="49"/>
        <v>0</v>
      </c>
      <c r="AB117" s="335">
        <f t="shared" si="49"/>
        <v>0</v>
      </c>
      <c r="AC117" s="335">
        <f t="shared" si="49"/>
        <v>0</v>
      </c>
      <c r="AD117" s="347" t="e">
        <f>SUM(H117:L117)/SUM(Y117:AC117)-1</f>
        <v>#DIV/0!</v>
      </c>
      <c r="AH117" s="346">
        <f t="shared" ref="AH117:AO117" si="50">SUM(AH114:AH116)</f>
        <v>0</v>
      </c>
      <c r="AI117" s="1208">
        <f t="shared" si="50"/>
        <v>0</v>
      </c>
      <c r="AJ117" s="1208">
        <f t="shared" si="50"/>
        <v>0</v>
      </c>
      <c r="AK117" s="1208">
        <f t="shared" si="50"/>
        <v>0</v>
      </c>
      <c r="AL117" s="1212">
        <f t="shared" si="50"/>
        <v>0</v>
      </c>
      <c r="AM117" s="346">
        <f t="shared" si="50"/>
        <v>0</v>
      </c>
      <c r="AN117" s="1208">
        <f t="shared" si="50"/>
        <v>0</v>
      </c>
      <c r="AO117" s="1212">
        <f t="shared" si="50"/>
        <v>0</v>
      </c>
    </row>
    <row r="118" spans="1:41">
      <c r="A118" s="308"/>
      <c r="B118" s="1694" t="s">
        <v>595</v>
      </c>
      <c r="C118" s="1206"/>
      <c r="D118" s="1207"/>
      <c r="E118" s="1207"/>
      <c r="F118" s="1207"/>
      <c r="G118" s="1211"/>
      <c r="H118" s="1206"/>
      <c r="I118" s="1207"/>
      <c r="J118" s="1207"/>
      <c r="K118" s="1207"/>
      <c r="L118" s="1207"/>
      <c r="M118" s="1206"/>
      <c r="N118" s="1207"/>
      <c r="O118" s="1207"/>
      <c r="P118" s="1207"/>
      <c r="Q118" s="1211"/>
      <c r="R118" s="1429"/>
      <c r="S118" s="1206"/>
      <c r="T118" s="1207"/>
      <c r="U118" s="1207"/>
      <c r="V118" s="1207"/>
      <c r="W118" s="1211"/>
      <c r="X118" s="334"/>
      <c r="Y118" s="344"/>
      <c r="Z118" s="334"/>
      <c r="AA118" s="334"/>
      <c r="AB118" s="334"/>
      <c r="AC118" s="334"/>
      <c r="AD118" s="345"/>
      <c r="AH118" s="1206"/>
      <c r="AI118" s="1207"/>
      <c r="AJ118" s="1207"/>
      <c r="AK118" s="1207"/>
      <c r="AL118" s="1211"/>
      <c r="AM118" s="1206"/>
      <c r="AN118" s="1207"/>
      <c r="AO118" s="1211"/>
    </row>
    <row r="119" spans="1:41">
      <c r="A119" s="308"/>
      <c r="B119" s="340" t="s">
        <v>57</v>
      </c>
      <c r="C119" s="301"/>
      <c r="D119" s="516"/>
      <c r="E119" s="516"/>
      <c r="F119" s="516"/>
      <c r="G119" s="327"/>
      <c r="H119" s="301"/>
      <c r="I119" s="516"/>
      <c r="J119" s="516"/>
      <c r="K119" s="516"/>
      <c r="L119" s="516"/>
      <c r="M119" s="301"/>
      <c r="N119" s="516"/>
      <c r="O119" s="516"/>
      <c r="P119" s="516"/>
      <c r="Q119" s="327"/>
      <c r="R119" s="1429"/>
      <c r="S119" s="301"/>
      <c r="T119" s="516"/>
      <c r="U119" s="516"/>
      <c r="V119" s="516"/>
      <c r="W119" s="327"/>
      <c r="X119" s="1233" t="e">
        <f>SUM(C119:G119)/SUM(S119:W119)-1</f>
        <v>#DIV/0!</v>
      </c>
      <c r="Y119" s="301"/>
      <c r="Z119" s="516"/>
      <c r="AA119" s="516"/>
      <c r="AB119" s="516"/>
      <c r="AC119" s="516"/>
      <c r="AD119" s="1237" t="e">
        <f>SUM(H119:L119)/SUM(Y119:AC119)-1</f>
        <v>#DIV/0!</v>
      </c>
      <c r="AH119" s="305"/>
      <c r="AI119" s="521"/>
      <c r="AJ119" s="521"/>
      <c r="AK119" s="521"/>
      <c r="AL119" s="329"/>
      <c r="AM119" s="305"/>
      <c r="AN119" s="521"/>
      <c r="AO119" s="329"/>
    </row>
    <row r="120" spans="1:41">
      <c r="A120" s="308"/>
      <c r="B120" s="340" t="s">
        <v>598</v>
      </c>
      <c r="C120" s="301"/>
      <c r="D120" s="516"/>
      <c r="E120" s="516"/>
      <c r="F120" s="516"/>
      <c r="G120" s="327"/>
      <c r="H120" s="301"/>
      <c r="I120" s="516"/>
      <c r="J120" s="516"/>
      <c r="K120" s="516"/>
      <c r="L120" s="516"/>
      <c r="M120" s="301"/>
      <c r="N120" s="516"/>
      <c r="O120" s="516"/>
      <c r="P120" s="516"/>
      <c r="Q120" s="327"/>
      <c r="R120" s="1429"/>
      <c r="S120" s="301"/>
      <c r="T120" s="516"/>
      <c r="U120" s="516"/>
      <c r="V120" s="516"/>
      <c r="W120" s="327"/>
      <c r="X120" s="1233" t="e">
        <f>SUM(C120:G120)/SUM(S120:W120)-1</f>
        <v>#DIV/0!</v>
      </c>
      <c r="Y120" s="301"/>
      <c r="Z120" s="516"/>
      <c r="AA120" s="516"/>
      <c r="AB120" s="516"/>
      <c r="AC120" s="516"/>
      <c r="AD120" s="1237" t="e">
        <f>SUM(H120:L120)/SUM(Y120:AC120)-1</f>
        <v>#DIV/0!</v>
      </c>
      <c r="AH120" s="305"/>
      <c r="AI120" s="521"/>
      <c r="AJ120" s="521"/>
      <c r="AK120" s="521"/>
      <c r="AL120" s="329"/>
      <c r="AM120" s="305"/>
      <c r="AN120" s="521"/>
      <c r="AO120" s="329"/>
    </row>
    <row r="121" spans="1:41">
      <c r="A121" s="308"/>
      <c r="B121" s="340" t="s">
        <v>61</v>
      </c>
      <c r="C121" s="301"/>
      <c r="D121" s="516"/>
      <c r="E121" s="516"/>
      <c r="F121" s="516"/>
      <c r="G121" s="327"/>
      <c r="H121" s="301"/>
      <c r="I121" s="516"/>
      <c r="J121" s="516"/>
      <c r="K121" s="516"/>
      <c r="L121" s="516"/>
      <c r="M121" s="301"/>
      <c r="N121" s="516"/>
      <c r="O121" s="516"/>
      <c r="P121" s="516"/>
      <c r="Q121" s="327"/>
      <c r="R121" s="1429"/>
      <c r="S121" s="301"/>
      <c r="T121" s="516"/>
      <c r="U121" s="516"/>
      <c r="V121" s="516"/>
      <c r="W121" s="327"/>
      <c r="X121" s="1233" t="e">
        <f>SUM(C121:G121)/SUM(S121:W121)-1</f>
        <v>#DIV/0!</v>
      </c>
      <c r="Y121" s="301"/>
      <c r="Z121" s="516"/>
      <c r="AA121" s="516"/>
      <c r="AB121" s="516"/>
      <c r="AC121" s="516"/>
      <c r="AD121" s="1237" t="e">
        <f>SUM(H121:L121)/SUM(Y121:AC121)-1</f>
        <v>#DIV/0!</v>
      </c>
      <c r="AH121" s="305"/>
      <c r="AI121" s="521"/>
      <c r="AJ121" s="521"/>
      <c r="AK121" s="521"/>
      <c r="AL121" s="329"/>
      <c r="AM121" s="305"/>
      <c r="AN121" s="521"/>
      <c r="AO121" s="329"/>
    </row>
    <row r="122" spans="1:41">
      <c r="A122" s="308"/>
      <c r="B122" s="1698" t="s">
        <v>596</v>
      </c>
      <c r="C122" s="305">
        <f t="shared" ref="C122:W122" si="51">SUM(C119:C121)</f>
        <v>0</v>
      </c>
      <c r="D122" s="521">
        <f t="shared" si="51"/>
        <v>0</v>
      </c>
      <c r="E122" s="521">
        <f t="shared" si="51"/>
        <v>0</v>
      </c>
      <c r="F122" s="521">
        <f t="shared" si="51"/>
        <v>0</v>
      </c>
      <c r="G122" s="329">
        <f t="shared" si="51"/>
        <v>0</v>
      </c>
      <c r="H122" s="305">
        <f t="shared" si="51"/>
        <v>0</v>
      </c>
      <c r="I122" s="521">
        <f t="shared" si="51"/>
        <v>0</v>
      </c>
      <c r="J122" s="521">
        <f t="shared" si="51"/>
        <v>0</v>
      </c>
      <c r="K122" s="521">
        <f t="shared" si="51"/>
        <v>0</v>
      </c>
      <c r="L122" s="521">
        <f t="shared" si="51"/>
        <v>0</v>
      </c>
      <c r="M122" s="305">
        <f t="shared" si="51"/>
        <v>0</v>
      </c>
      <c r="N122" s="521">
        <f t="shared" si="51"/>
        <v>0</v>
      </c>
      <c r="O122" s="521">
        <f t="shared" si="51"/>
        <v>0</v>
      </c>
      <c r="P122" s="521">
        <f t="shared" si="51"/>
        <v>0</v>
      </c>
      <c r="Q122" s="329">
        <f t="shared" si="51"/>
        <v>0</v>
      </c>
      <c r="R122" s="1429"/>
      <c r="S122" s="305">
        <f t="shared" si="51"/>
        <v>0</v>
      </c>
      <c r="T122" s="521">
        <f t="shared" si="51"/>
        <v>0</v>
      </c>
      <c r="U122" s="521">
        <f t="shared" si="51"/>
        <v>0</v>
      </c>
      <c r="V122" s="521">
        <f t="shared" si="51"/>
        <v>0</v>
      </c>
      <c r="W122" s="329">
        <f t="shared" si="51"/>
        <v>0</v>
      </c>
      <c r="X122" s="1233" t="e">
        <f>SUM(C122:G122)/SUM(S122:W122)-1</f>
        <v>#DIV/0!</v>
      </c>
      <c r="Y122" s="305">
        <f t="shared" ref="Y122:AC122" si="52">SUM(Y119:Y121)</f>
        <v>0</v>
      </c>
      <c r="Z122" s="521">
        <f t="shared" si="52"/>
        <v>0</v>
      </c>
      <c r="AA122" s="521">
        <f t="shared" si="52"/>
        <v>0</v>
      </c>
      <c r="AB122" s="521">
        <f t="shared" si="52"/>
        <v>0</v>
      </c>
      <c r="AC122" s="521">
        <f t="shared" si="52"/>
        <v>0</v>
      </c>
      <c r="AD122" s="1237" t="e">
        <f>SUM(H122:L122)/SUM(Y122:AC122)-1</f>
        <v>#DIV/0!</v>
      </c>
      <c r="AH122" s="305">
        <f t="shared" ref="AH122:AO122" si="53">SUM(AH119:AH121)</f>
        <v>0</v>
      </c>
      <c r="AI122" s="521">
        <f t="shared" si="53"/>
        <v>0</v>
      </c>
      <c r="AJ122" s="521">
        <f t="shared" si="53"/>
        <v>0</v>
      </c>
      <c r="AK122" s="521">
        <f t="shared" si="53"/>
        <v>0</v>
      </c>
      <c r="AL122" s="329">
        <f t="shared" si="53"/>
        <v>0</v>
      </c>
      <c r="AM122" s="305">
        <f t="shared" si="53"/>
        <v>0</v>
      </c>
      <c r="AN122" s="521">
        <f t="shared" si="53"/>
        <v>0</v>
      </c>
      <c r="AO122" s="329">
        <f t="shared" si="53"/>
        <v>0</v>
      </c>
    </row>
    <row r="123" spans="1:41">
      <c r="A123" s="308"/>
      <c r="B123" s="1697" t="s">
        <v>600</v>
      </c>
      <c r="C123" s="1206"/>
      <c r="D123" s="1207"/>
      <c r="E123" s="1207"/>
      <c r="F123" s="1207"/>
      <c r="G123" s="1211"/>
      <c r="H123" s="1206"/>
      <c r="I123" s="1207"/>
      <c r="J123" s="1207"/>
      <c r="K123" s="1207"/>
      <c r="L123" s="1207"/>
      <c r="M123" s="1206"/>
      <c r="N123" s="1207"/>
      <c r="O123" s="1207"/>
      <c r="P123" s="1207"/>
      <c r="Q123" s="1211"/>
      <c r="R123" s="1429"/>
      <c r="S123" s="1206"/>
      <c r="T123" s="1207"/>
      <c r="U123" s="1207"/>
      <c r="V123" s="1207"/>
      <c r="W123" s="1211"/>
      <c r="X123" s="334"/>
      <c r="Y123" s="344"/>
      <c r="Z123" s="334"/>
      <c r="AA123" s="334"/>
      <c r="AB123" s="334"/>
      <c r="AC123" s="334"/>
      <c r="AD123" s="345"/>
      <c r="AH123" s="1206"/>
      <c r="AI123" s="1207"/>
      <c r="AJ123" s="1207"/>
      <c r="AK123" s="1207"/>
      <c r="AL123" s="1211"/>
      <c r="AM123" s="1206"/>
      <c r="AN123" s="1207"/>
      <c r="AO123" s="1211"/>
    </row>
    <row r="124" spans="1:41">
      <c r="A124" s="308"/>
      <c r="B124" s="1696" t="s">
        <v>57</v>
      </c>
      <c r="C124" s="301"/>
      <c r="D124" s="516"/>
      <c r="E124" s="516"/>
      <c r="F124" s="516"/>
      <c r="G124" s="327"/>
      <c r="H124" s="301"/>
      <c r="I124" s="516"/>
      <c r="J124" s="516"/>
      <c r="K124" s="516"/>
      <c r="L124" s="516"/>
      <c r="M124" s="301"/>
      <c r="N124" s="516"/>
      <c r="O124" s="516"/>
      <c r="P124" s="516"/>
      <c r="Q124" s="327"/>
      <c r="R124" s="1429"/>
      <c r="S124" s="301"/>
      <c r="T124" s="516"/>
      <c r="U124" s="516"/>
      <c r="V124" s="516"/>
      <c r="W124" s="327"/>
      <c r="X124" s="1233" t="e">
        <f>SUM(C124:G124)/SUM(S124:W124)-1</f>
        <v>#DIV/0!</v>
      </c>
      <c r="Y124" s="301"/>
      <c r="Z124" s="516"/>
      <c r="AA124" s="516"/>
      <c r="AB124" s="516"/>
      <c r="AC124" s="516"/>
      <c r="AD124" s="1237" t="e">
        <f>SUM(H124:L124)/SUM(Y124:AC124)-1</f>
        <v>#DIV/0!</v>
      </c>
      <c r="AH124" s="305"/>
      <c r="AI124" s="521"/>
      <c r="AJ124" s="521"/>
      <c r="AK124" s="521"/>
      <c r="AL124" s="329"/>
      <c r="AM124" s="305"/>
      <c r="AN124" s="521"/>
      <c r="AO124" s="329"/>
    </row>
    <row r="125" spans="1:41">
      <c r="A125" s="308"/>
      <c r="B125" s="1696" t="s">
        <v>598</v>
      </c>
      <c r="C125" s="301"/>
      <c r="D125" s="516"/>
      <c r="E125" s="516"/>
      <c r="F125" s="516"/>
      <c r="G125" s="327"/>
      <c r="H125" s="301"/>
      <c r="I125" s="516"/>
      <c r="J125" s="516"/>
      <c r="K125" s="516"/>
      <c r="L125" s="516"/>
      <c r="M125" s="301"/>
      <c r="N125" s="516"/>
      <c r="O125" s="516"/>
      <c r="P125" s="516"/>
      <c r="Q125" s="327"/>
      <c r="R125" s="1429"/>
      <c r="S125" s="301"/>
      <c r="T125" s="516"/>
      <c r="U125" s="516"/>
      <c r="V125" s="516"/>
      <c r="W125" s="327"/>
      <c r="X125" s="1233" t="e">
        <f>SUM(C125:G125)/SUM(S125:W125)-1</f>
        <v>#DIV/0!</v>
      </c>
      <c r="Y125" s="301"/>
      <c r="Z125" s="516"/>
      <c r="AA125" s="516"/>
      <c r="AB125" s="516"/>
      <c r="AC125" s="516"/>
      <c r="AD125" s="1237" t="e">
        <f>SUM(H125:L125)/SUM(Y125:AC125)-1</f>
        <v>#DIV/0!</v>
      </c>
      <c r="AH125" s="305"/>
      <c r="AI125" s="521"/>
      <c r="AJ125" s="521"/>
      <c r="AK125" s="521"/>
      <c r="AL125" s="329"/>
      <c r="AM125" s="305"/>
      <c r="AN125" s="521"/>
      <c r="AO125" s="329"/>
    </row>
    <row r="126" spans="1:41">
      <c r="A126" s="308"/>
      <c r="B126" s="1696" t="s">
        <v>61</v>
      </c>
      <c r="C126" s="301"/>
      <c r="D126" s="516"/>
      <c r="E126" s="516"/>
      <c r="F126" s="516"/>
      <c r="G126" s="327"/>
      <c r="H126" s="301"/>
      <c r="I126" s="516"/>
      <c r="J126" s="516"/>
      <c r="K126" s="516"/>
      <c r="L126" s="516"/>
      <c r="M126" s="301"/>
      <c r="N126" s="516"/>
      <c r="O126" s="516"/>
      <c r="P126" s="516"/>
      <c r="Q126" s="327"/>
      <c r="R126" s="1429"/>
      <c r="S126" s="301"/>
      <c r="T126" s="516"/>
      <c r="U126" s="516"/>
      <c r="V126" s="516"/>
      <c r="W126" s="327"/>
      <c r="X126" s="1233" t="e">
        <f>SUM(C126:G126)/SUM(S126:W126)-1</f>
        <v>#DIV/0!</v>
      </c>
      <c r="Y126" s="301"/>
      <c r="Z126" s="516"/>
      <c r="AA126" s="516"/>
      <c r="AB126" s="516"/>
      <c r="AC126" s="516"/>
      <c r="AD126" s="1237" t="e">
        <f>SUM(H126:L126)/SUM(Y126:AC126)-1</f>
        <v>#DIV/0!</v>
      </c>
      <c r="AH126" s="305"/>
      <c r="AI126" s="521"/>
      <c r="AJ126" s="521"/>
      <c r="AK126" s="521"/>
      <c r="AL126" s="329"/>
      <c r="AM126" s="305"/>
      <c r="AN126" s="521"/>
      <c r="AO126" s="329"/>
    </row>
    <row r="127" spans="1:41">
      <c r="A127" s="308"/>
      <c r="B127" s="1698" t="s">
        <v>604</v>
      </c>
      <c r="C127" s="346">
        <f t="shared" ref="C127:W127" si="54">SUM(C124:C126)</f>
        <v>0</v>
      </c>
      <c r="D127" s="1208">
        <f t="shared" si="54"/>
        <v>0</v>
      </c>
      <c r="E127" s="1208">
        <f t="shared" si="54"/>
        <v>0</v>
      </c>
      <c r="F127" s="1208">
        <f t="shared" si="54"/>
        <v>0</v>
      </c>
      <c r="G127" s="1212">
        <f t="shared" si="54"/>
        <v>0</v>
      </c>
      <c r="H127" s="346">
        <f t="shared" si="54"/>
        <v>0</v>
      </c>
      <c r="I127" s="1208">
        <f t="shared" si="54"/>
        <v>0</v>
      </c>
      <c r="J127" s="1208">
        <f t="shared" si="54"/>
        <v>0</v>
      </c>
      <c r="K127" s="1208">
        <f t="shared" si="54"/>
        <v>0</v>
      </c>
      <c r="L127" s="1208">
        <f t="shared" si="54"/>
        <v>0</v>
      </c>
      <c r="M127" s="346">
        <f t="shared" si="54"/>
        <v>0</v>
      </c>
      <c r="N127" s="1208">
        <f t="shared" si="54"/>
        <v>0</v>
      </c>
      <c r="O127" s="1208">
        <f t="shared" si="54"/>
        <v>0</v>
      </c>
      <c r="P127" s="1208">
        <f t="shared" si="54"/>
        <v>0</v>
      </c>
      <c r="Q127" s="1212">
        <f t="shared" si="54"/>
        <v>0</v>
      </c>
      <c r="R127" s="1429"/>
      <c r="S127" s="346">
        <f t="shared" si="54"/>
        <v>0</v>
      </c>
      <c r="T127" s="1208">
        <f t="shared" si="54"/>
        <v>0</v>
      </c>
      <c r="U127" s="1208">
        <f t="shared" si="54"/>
        <v>0</v>
      </c>
      <c r="V127" s="1208">
        <f t="shared" si="54"/>
        <v>0</v>
      </c>
      <c r="W127" s="1212">
        <f t="shared" si="54"/>
        <v>0</v>
      </c>
      <c r="X127" s="1240" t="e">
        <f>SUM(C127:G127)/SUM(S127:W127)-1</f>
        <v>#DIV/0!</v>
      </c>
      <c r="Y127" s="346">
        <f t="shared" ref="Y127:AC127" si="55">SUM(Y124:Y126)</f>
        <v>0</v>
      </c>
      <c r="Z127" s="335">
        <f t="shared" si="55"/>
        <v>0</v>
      </c>
      <c r="AA127" s="335">
        <f t="shared" si="55"/>
        <v>0</v>
      </c>
      <c r="AB127" s="335">
        <f t="shared" si="55"/>
        <v>0</v>
      </c>
      <c r="AC127" s="335">
        <f t="shared" si="55"/>
        <v>0</v>
      </c>
      <c r="AD127" s="347" t="e">
        <f>SUM(H127:L127)/SUM(Y127:AC127)-1</f>
        <v>#DIV/0!</v>
      </c>
      <c r="AH127" s="346">
        <f t="shared" ref="AH127:AO127" si="56">SUM(AH124:AH126)</f>
        <v>0</v>
      </c>
      <c r="AI127" s="1208">
        <f t="shared" si="56"/>
        <v>0</v>
      </c>
      <c r="AJ127" s="1208">
        <f t="shared" si="56"/>
        <v>0</v>
      </c>
      <c r="AK127" s="1208">
        <f t="shared" si="56"/>
        <v>0</v>
      </c>
      <c r="AL127" s="1212">
        <f t="shared" si="56"/>
        <v>0</v>
      </c>
      <c r="AM127" s="346">
        <f t="shared" si="56"/>
        <v>0</v>
      </c>
      <c r="AN127" s="1208">
        <f t="shared" si="56"/>
        <v>0</v>
      </c>
      <c r="AO127" s="1212">
        <f t="shared" si="56"/>
        <v>0</v>
      </c>
    </row>
    <row r="128" spans="1:41">
      <c r="A128" s="308"/>
      <c r="B128" s="1700" t="s">
        <v>602</v>
      </c>
      <c r="C128" s="1206"/>
      <c r="D128" s="1207"/>
      <c r="E128" s="1207"/>
      <c r="F128" s="1207"/>
      <c r="G128" s="1211"/>
      <c r="H128" s="1206"/>
      <c r="I128" s="1207"/>
      <c r="J128" s="1207"/>
      <c r="K128" s="1207"/>
      <c r="L128" s="1207"/>
      <c r="M128" s="1206"/>
      <c r="N128" s="1207"/>
      <c r="O128" s="1207"/>
      <c r="P128" s="1207"/>
      <c r="Q128" s="1211"/>
      <c r="R128" s="1429"/>
      <c r="S128" s="1206"/>
      <c r="T128" s="1207"/>
      <c r="U128" s="1207"/>
      <c r="V128" s="1207"/>
      <c r="W128" s="1211"/>
      <c r="X128" s="334"/>
      <c r="Y128" s="344"/>
      <c r="Z128" s="334"/>
      <c r="AA128" s="334"/>
      <c r="AB128" s="334"/>
      <c r="AC128" s="334"/>
      <c r="AD128" s="345"/>
      <c r="AH128" s="1206"/>
      <c r="AI128" s="1207"/>
      <c r="AJ128" s="1207"/>
      <c r="AK128" s="1207"/>
      <c r="AL128" s="1211"/>
      <c r="AM128" s="1206"/>
      <c r="AN128" s="1207"/>
      <c r="AO128" s="1211"/>
    </row>
    <row r="129" spans="1:41">
      <c r="A129" s="308"/>
      <c r="B129" s="1701" t="s">
        <v>57</v>
      </c>
      <c r="C129" s="348">
        <f t="shared" ref="C129:W131" si="57">C119+C114+C124</f>
        <v>0</v>
      </c>
      <c r="D129" s="330">
        <f t="shared" si="57"/>
        <v>0</v>
      </c>
      <c r="E129" s="330">
        <f t="shared" si="57"/>
        <v>0</v>
      </c>
      <c r="F129" s="330">
        <f t="shared" si="57"/>
        <v>0</v>
      </c>
      <c r="G129" s="1197">
        <f t="shared" si="57"/>
        <v>0</v>
      </c>
      <c r="H129" s="348">
        <f t="shared" si="57"/>
        <v>0</v>
      </c>
      <c r="I129" s="330">
        <f t="shared" si="57"/>
        <v>0</v>
      </c>
      <c r="J129" s="330">
        <f t="shared" si="57"/>
        <v>0</v>
      </c>
      <c r="K129" s="330">
        <f t="shared" si="57"/>
        <v>0</v>
      </c>
      <c r="L129" s="330">
        <f t="shared" si="57"/>
        <v>0</v>
      </c>
      <c r="M129" s="348">
        <f t="shared" si="57"/>
        <v>0</v>
      </c>
      <c r="N129" s="330">
        <f t="shared" si="57"/>
        <v>0</v>
      </c>
      <c r="O129" s="330">
        <f t="shared" si="57"/>
        <v>0</v>
      </c>
      <c r="P129" s="330">
        <f t="shared" si="57"/>
        <v>0</v>
      </c>
      <c r="Q129" s="1197">
        <f t="shared" si="57"/>
        <v>0</v>
      </c>
      <c r="R129" s="1429"/>
      <c r="S129" s="348">
        <f t="shared" si="57"/>
        <v>0</v>
      </c>
      <c r="T129" s="330">
        <f t="shared" si="57"/>
        <v>0</v>
      </c>
      <c r="U129" s="330">
        <f t="shared" si="57"/>
        <v>0</v>
      </c>
      <c r="V129" s="330">
        <f t="shared" si="57"/>
        <v>0</v>
      </c>
      <c r="W129" s="1197">
        <f t="shared" si="57"/>
        <v>0</v>
      </c>
      <c r="X129" s="331" t="e">
        <f t="shared" ref="X129:X135" si="58">SUM(C129:G129)/SUM(S129:W129)-1</f>
        <v>#DIV/0!</v>
      </c>
      <c r="Y129" s="348">
        <f t="shared" ref="Y129:AC131" si="59">Y119+Y114+Y124</f>
        <v>0</v>
      </c>
      <c r="Z129" s="330">
        <f t="shared" si="59"/>
        <v>0</v>
      </c>
      <c r="AA129" s="330">
        <f t="shared" si="59"/>
        <v>0</v>
      </c>
      <c r="AB129" s="330">
        <f t="shared" si="59"/>
        <v>0</v>
      </c>
      <c r="AC129" s="330">
        <f t="shared" si="59"/>
        <v>0</v>
      </c>
      <c r="AD129" s="350" t="e">
        <f t="shared" ref="AD129:AD135" si="60">SUM(H129:L129)/SUM(Y129:AC129)-1</f>
        <v>#DIV/0!</v>
      </c>
      <c r="AH129" s="348">
        <f t="shared" ref="AH129:AO129" si="61">AH119+AH114+AH124</f>
        <v>0</v>
      </c>
      <c r="AI129" s="330">
        <f t="shared" si="61"/>
        <v>0</v>
      </c>
      <c r="AJ129" s="330">
        <f t="shared" si="61"/>
        <v>0</v>
      </c>
      <c r="AK129" s="330">
        <f t="shared" si="61"/>
        <v>0</v>
      </c>
      <c r="AL129" s="1197">
        <f t="shared" si="61"/>
        <v>0</v>
      </c>
      <c r="AM129" s="348">
        <f t="shared" si="61"/>
        <v>0</v>
      </c>
      <c r="AN129" s="330">
        <f t="shared" si="61"/>
        <v>0</v>
      </c>
      <c r="AO129" s="1197">
        <f t="shared" si="61"/>
        <v>0</v>
      </c>
    </row>
    <row r="130" spans="1:41">
      <c r="A130" s="308"/>
      <c r="B130" s="1701" t="s">
        <v>598</v>
      </c>
      <c r="C130" s="348">
        <f t="shared" si="57"/>
        <v>0</v>
      </c>
      <c r="D130" s="330">
        <f t="shared" si="57"/>
        <v>0</v>
      </c>
      <c r="E130" s="330">
        <f t="shared" si="57"/>
        <v>0</v>
      </c>
      <c r="F130" s="330">
        <f t="shared" si="57"/>
        <v>0</v>
      </c>
      <c r="G130" s="1197">
        <f t="shared" si="57"/>
        <v>0</v>
      </c>
      <c r="H130" s="348">
        <f t="shared" si="57"/>
        <v>0</v>
      </c>
      <c r="I130" s="330">
        <f t="shared" si="57"/>
        <v>0</v>
      </c>
      <c r="J130" s="330">
        <f t="shared" si="57"/>
        <v>0</v>
      </c>
      <c r="K130" s="330">
        <f t="shared" si="57"/>
        <v>0</v>
      </c>
      <c r="L130" s="330">
        <f t="shared" si="57"/>
        <v>0</v>
      </c>
      <c r="M130" s="348">
        <f t="shared" si="57"/>
        <v>0</v>
      </c>
      <c r="N130" s="330">
        <f t="shared" si="57"/>
        <v>0</v>
      </c>
      <c r="O130" s="330">
        <f t="shared" si="57"/>
        <v>0</v>
      </c>
      <c r="P130" s="330">
        <f t="shared" si="57"/>
        <v>0</v>
      </c>
      <c r="Q130" s="1197">
        <f t="shared" si="57"/>
        <v>0</v>
      </c>
      <c r="R130" s="1429"/>
      <c r="S130" s="348">
        <f t="shared" si="57"/>
        <v>0</v>
      </c>
      <c r="T130" s="330">
        <f t="shared" si="57"/>
        <v>0</v>
      </c>
      <c r="U130" s="330">
        <f t="shared" si="57"/>
        <v>0</v>
      </c>
      <c r="V130" s="330">
        <f t="shared" si="57"/>
        <v>0</v>
      </c>
      <c r="W130" s="1197">
        <f t="shared" si="57"/>
        <v>0</v>
      </c>
      <c r="X130" s="331" t="e">
        <f t="shared" si="58"/>
        <v>#DIV/0!</v>
      </c>
      <c r="Y130" s="348">
        <f t="shared" si="59"/>
        <v>0</v>
      </c>
      <c r="Z130" s="330">
        <f t="shared" si="59"/>
        <v>0</v>
      </c>
      <c r="AA130" s="330">
        <f t="shared" si="59"/>
        <v>0</v>
      </c>
      <c r="AB130" s="330">
        <f t="shared" si="59"/>
        <v>0</v>
      </c>
      <c r="AC130" s="330">
        <f t="shared" si="59"/>
        <v>0</v>
      </c>
      <c r="AD130" s="350" t="e">
        <f t="shared" si="60"/>
        <v>#DIV/0!</v>
      </c>
      <c r="AH130" s="348">
        <f t="shared" ref="AH130:AO130" si="62">AH120+AH115+AH125</f>
        <v>0</v>
      </c>
      <c r="AI130" s="330">
        <f t="shared" si="62"/>
        <v>0</v>
      </c>
      <c r="AJ130" s="330">
        <f t="shared" si="62"/>
        <v>0</v>
      </c>
      <c r="AK130" s="330">
        <f t="shared" si="62"/>
        <v>0</v>
      </c>
      <c r="AL130" s="1197">
        <f t="shared" si="62"/>
        <v>0</v>
      </c>
      <c r="AM130" s="348">
        <f t="shared" si="62"/>
        <v>0</v>
      </c>
      <c r="AN130" s="330">
        <f t="shared" si="62"/>
        <v>0</v>
      </c>
      <c r="AO130" s="1197">
        <f t="shared" si="62"/>
        <v>0</v>
      </c>
    </row>
    <row r="131" spans="1:41">
      <c r="A131" s="308"/>
      <c r="B131" s="1701" t="s">
        <v>61</v>
      </c>
      <c r="C131" s="348">
        <f t="shared" si="57"/>
        <v>0</v>
      </c>
      <c r="D131" s="330">
        <f t="shared" si="57"/>
        <v>0</v>
      </c>
      <c r="E131" s="330">
        <f t="shared" si="57"/>
        <v>0</v>
      </c>
      <c r="F131" s="330">
        <f t="shared" si="57"/>
        <v>0</v>
      </c>
      <c r="G131" s="1197">
        <f t="shared" si="57"/>
        <v>0</v>
      </c>
      <c r="H131" s="348">
        <f t="shared" si="57"/>
        <v>0</v>
      </c>
      <c r="I131" s="330">
        <f t="shared" si="57"/>
        <v>0</v>
      </c>
      <c r="J131" s="330">
        <f t="shared" si="57"/>
        <v>0</v>
      </c>
      <c r="K131" s="330">
        <f t="shared" si="57"/>
        <v>0</v>
      </c>
      <c r="L131" s="330">
        <f t="shared" si="57"/>
        <v>0</v>
      </c>
      <c r="M131" s="348">
        <f t="shared" si="57"/>
        <v>0</v>
      </c>
      <c r="N131" s="330">
        <f t="shared" si="57"/>
        <v>0</v>
      </c>
      <c r="O131" s="330">
        <f t="shared" si="57"/>
        <v>0</v>
      </c>
      <c r="P131" s="330">
        <f t="shared" si="57"/>
        <v>0</v>
      </c>
      <c r="Q131" s="1197">
        <f t="shared" si="57"/>
        <v>0</v>
      </c>
      <c r="R131" s="1429"/>
      <c r="S131" s="348">
        <f t="shared" si="57"/>
        <v>0</v>
      </c>
      <c r="T131" s="330">
        <f t="shared" si="57"/>
        <v>0</v>
      </c>
      <c r="U131" s="330">
        <f t="shared" si="57"/>
        <v>0</v>
      </c>
      <c r="V131" s="330">
        <f t="shared" si="57"/>
        <v>0</v>
      </c>
      <c r="W131" s="1197">
        <f t="shared" si="57"/>
        <v>0</v>
      </c>
      <c r="X131" s="331" t="e">
        <f t="shared" si="58"/>
        <v>#DIV/0!</v>
      </c>
      <c r="Y131" s="348">
        <f t="shared" si="59"/>
        <v>0</v>
      </c>
      <c r="Z131" s="330">
        <f t="shared" si="59"/>
        <v>0</v>
      </c>
      <c r="AA131" s="330">
        <f t="shared" si="59"/>
        <v>0</v>
      </c>
      <c r="AB131" s="330">
        <f t="shared" si="59"/>
        <v>0</v>
      </c>
      <c r="AC131" s="330">
        <f t="shared" si="59"/>
        <v>0</v>
      </c>
      <c r="AD131" s="350" t="e">
        <f t="shared" si="60"/>
        <v>#DIV/0!</v>
      </c>
      <c r="AH131" s="348">
        <f t="shared" ref="AH131:AO131" si="63">AH121+AH116+AH126</f>
        <v>0</v>
      </c>
      <c r="AI131" s="330">
        <f t="shared" si="63"/>
        <v>0</v>
      </c>
      <c r="AJ131" s="330">
        <f t="shared" si="63"/>
        <v>0</v>
      </c>
      <c r="AK131" s="330">
        <f t="shared" si="63"/>
        <v>0</v>
      </c>
      <c r="AL131" s="1197">
        <f t="shared" si="63"/>
        <v>0</v>
      </c>
      <c r="AM131" s="348">
        <f t="shared" si="63"/>
        <v>0</v>
      </c>
      <c r="AN131" s="330">
        <f t="shared" si="63"/>
        <v>0</v>
      </c>
      <c r="AO131" s="1197">
        <f t="shared" si="63"/>
        <v>0</v>
      </c>
    </row>
    <row r="132" spans="1:41">
      <c r="A132" s="308"/>
      <c r="B132" s="1702" t="s">
        <v>602</v>
      </c>
      <c r="C132" s="349">
        <f>SUM(C129:C131)</f>
        <v>0</v>
      </c>
      <c r="D132" s="1209">
        <f t="shared" ref="D132:V132" si="64">SUM(D129:D131)</f>
        <v>0</v>
      </c>
      <c r="E132" s="1209">
        <f t="shared" si="64"/>
        <v>0</v>
      </c>
      <c r="F132" s="1209">
        <f t="shared" si="64"/>
        <v>0</v>
      </c>
      <c r="G132" s="1213">
        <f t="shared" si="64"/>
        <v>0</v>
      </c>
      <c r="H132" s="349">
        <f t="shared" si="64"/>
        <v>0</v>
      </c>
      <c r="I132" s="1209">
        <f t="shared" si="64"/>
        <v>0</v>
      </c>
      <c r="J132" s="1209">
        <f t="shared" si="64"/>
        <v>0</v>
      </c>
      <c r="K132" s="1209">
        <f t="shared" si="64"/>
        <v>0</v>
      </c>
      <c r="L132" s="1209">
        <f t="shared" si="64"/>
        <v>0</v>
      </c>
      <c r="M132" s="349">
        <f t="shared" si="64"/>
        <v>0</v>
      </c>
      <c r="N132" s="1209">
        <f t="shared" si="64"/>
        <v>0</v>
      </c>
      <c r="O132" s="1209">
        <f t="shared" si="64"/>
        <v>0</v>
      </c>
      <c r="P132" s="1209">
        <f t="shared" si="64"/>
        <v>0</v>
      </c>
      <c r="Q132" s="1213">
        <f t="shared" si="64"/>
        <v>0</v>
      </c>
      <c r="R132" s="1429"/>
      <c r="S132" s="349">
        <f t="shared" si="64"/>
        <v>0</v>
      </c>
      <c r="T132" s="1209">
        <f t="shared" si="64"/>
        <v>0</v>
      </c>
      <c r="U132" s="1209">
        <f t="shared" si="64"/>
        <v>0</v>
      </c>
      <c r="V132" s="1209">
        <f t="shared" si="64"/>
        <v>0</v>
      </c>
      <c r="W132" s="1213">
        <f>SUM(W129:W131)</f>
        <v>0</v>
      </c>
      <c r="X132" s="1240" t="e">
        <f t="shared" si="58"/>
        <v>#DIV/0!</v>
      </c>
      <c r="Y132" s="349">
        <f t="shared" ref="Y132:AC132" si="65">SUM(Y129:Y131)</f>
        <v>0</v>
      </c>
      <c r="Z132" s="336">
        <f t="shared" si="65"/>
        <v>0</v>
      </c>
      <c r="AA132" s="336">
        <f t="shared" si="65"/>
        <v>0</v>
      </c>
      <c r="AB132" s="336">
        <f t="shared" si="65"/>
        <v>0</v>
      </c>
      <c r="AC132" s="336">
        <f t="shared" si="65"/>
        <v>0</v>
      </c>
      <c r="AD132" s="347" t="e">
        <f t="shared" si="60"/>
        <v>#DIV/0!</v>
      </c>
      <c r="AH132" s="349">
        <f>SUM(AH129:AH131)</f>
        <v>0</v>
      </c>
      <c r="AI132" s="1209">
        <f t="shared" ref="AI132:AO132" si="66">SUM(AI129:AI131)</f>
        <v>0</v>
      </c>
      <c r="AJ132" s="1209">
        <f t="shared" si="66"/>
        <v>0</v>
      </c>
      <c r="AK132" s="1209">
        <f t="shared" si="66"/>
        <v>0</v>
      </c>
      <c r="AL132" s="1213">
        <f t="shared" si="66"/>
        <v>0</v>
      </c>
      <c r="AM132" s="349">
        <f t="shared" si="66"/>
        <v>0</v>
      </c>
      <c r="AN132" s="1209">
        <f t="shared" si="66"/>
        <v>0</v>
      </c>
      <c r="AO132" s="1213">
        <f t="shared" si="66"/>
        <v>0</v>
      </c>
    </row>
    <row r="133" spans="1:41">
      <c r="A133" s="308"/>
      <c r="B133" s="1699" t="s">
        <v>603</v>
      </c>
      <c r="C133" s="354"/>
      <c r="D133" s="333"/>
      <c r="E133" s="333"/>
      <c r="F133" s="333"/>
      <c r="G133" s="355"/>
      <c r="H133" s="354"/>
      <c r="I133" s="333"/>
      <c r="J133" s="333"/>
      <c r="K133" s="333"/>
      <c r="L133" s="333"/>
      <c r="M133" s="354"/>
      <c r="N133" s="333"/>
      <c r="O133" s="333"/>
      <c r="P133" s="333"/>
      <c r="Q133" s="355"/>
      <c r="R133" s="1429"/>
      <c r="S133" s="354"/>
      <c r="T133" s="333"/>
      <c r="U133" s="333"/>
      <c r="V133" s="333"/>
      <c r="W133" s="355"/>
      <c r="X133" s="331" t="e">
        <f t="shared" si="58"/>
        <v>#DIV/0!</v>
      </c>
      <c r="Y133" s="351"/>
      <c r="Z133" s="337"/>
      <c r="AA133" s="337"/>
      <c r="AB133" s="337"/>
      <c r="AC133" s="337"/>
      <c r="AD133" s="350" t="e">
        <f t="shared" si="60"/>
        <v>#DIV/0!</v>
      </c>
      <c r="AH133" s="348"/>
      <c r="AI133" s="330"/>
      <c r="AJ133" s="330"/>
      <c r="AK133" s="330"/>
      <c r="AL133" s="1197"/>
      <c r="AM133" s="348"/>
      <c r="AN133" s="330"/>
      <c r="AO133" s="1197"/>
    </row>
    <row r="134" spans="1:41">
      <c r="A134" s="308"/>
      <c r="B134" s="356" t="s">
        <v>159</v>
      </c>
      <c r="C134" s="354"/>
      <c r="D134" s="333"/>
      <c r="E134" s="333"/>
      <c r="F134" s="333"/>
      <c r="G134" s="355"/>
      <c r="H134" s="354"/>
      <c r="I134" s="333"/>
      <c r="J134" s="333"/>
      <c r="K134" s="333"/>
      <c r="L134" s="333"/>
      <c r="M134" s="354"/>
      <c r="N134" s="333"/>
      <c r="O134" s="333"/>
      <c r="P134" s="333"/>
      <c r="Q134" s="355"/>
      <c r="R134" s="1429"/>
      <c r="S134" s="354"/>
      <c r="T134" s="333"/>
      <c r="U134" s="333"/>
      <c r="V134" s="333"/>
      <c r="W134" s="355"/>
      <c r="X134" s="331" t="e">
        <f t="shared" si="58"/>
        <v>#DIV/0!</v>
      </c>
      <c r="Y134" s="351"/>
      <c r="Z134" s="337"/>
      <c r="AA134" s="337"/>
      <c r="AB134" s="337"/>
      <c r="AC134" s="337"/>
      <c r="AD134" s="350" t="e">
        <f t="shared" si="60"/>
        <v>#DIV/0!</v>
      </c>
      <c r="AH134" s="348"/>
      <c r="AI134" s="330"/>
      <c r="AJ134" s="330"/>
      <c r="AK134" s="330"/>
      <c r="AL134" s="1197"/>
      <c r="AM134" s="348"/>
      <c r="AN134" s="330"/>
      <c r="AO134" s="1197"/>
    </row>
    <row r="135" spans="1:41">
      <c r="A135" s="308"/>
      <c r="B135" s="558" t="str">
        <f>CONCATENATE("Tottal Gross expenditure on new ", B25, " connections")</f>
        <v>Tottal Gross expenditure on new New homes connections</v>
      </c>
      <c r="C135" s="352">
        <f>SUM(C132,C133,C134)</f>
        <v>0</v>
      </c>
      <c r="D135" s="332">
        <f t="shared" ref="D135:Q135" si="67">SUM(D132,D133,D134)</f>
        <v>0</v>
      </c>
      <c r="E135" s="332">
        <f t="shared" si="67"/>
        <v>0</v>
      </c>
      <c r="F135" s="332">
        <f t="shared" si="67"/>
        <v>0</v>
      </c>
      <c r="G135" s="353">
        <f t="shared" si="67"/>
        <v>0</v>
      </c>
      <c r="H135" s="352">
        <f t="shared" si="67"/>
        <v>0</v>
      </c>
      <c r="I135" s="332">
        <f t="shared" si="67"/>
        <v>0</v>
      </c>
      <c r="J135" s="332">
        <f t="shared" si="67"/>
        <v>0</v>
      </c>
      <c r="K135" s="332">
        <f t="shared" si="67"/>
        <v>0</v>
      </c>
      <c r="L135" s="332">
        <f t="shared" si="67"/>
        <v>0</v>
      </c>
      <c r="M135" s="352">
        <f t="shared" si="67"/>
        <v>0</v>
      </c>
      <c r="N135" s="332">
        <f t="shared" si="67"/>
        <v>0</v>
      </c>
      <c r="O135" s="332">
        <f t="shared" si="67"/>
        <v>0</v>
      </c>
      <c r="P135" s="332">
        <f t="shared" si="67"/>
        <v>0</v>
      </c>
      <c r="Q135" s="353">
        <f t="shared" si="67"/>
        <v>0</v>
      </c>
      <c r="R135" s="1429"/>
      <c r="S135" s="352">
        <f t="shared" ref="S135:W135" si="68">SUM(S132,S133,S134)</f>
        <v>0</v>
      </c>
      <c r="T135" s="332">
        <f t="shared" si="68"/>
        <v>0</v>
      </c>
      <c r="U135" s="332">
        <f t="shared" si="68"/>
        <v>0</v>
      </c>
      <c r="V135" s="332">
        <f t="shared" si="68"/>
        <v>0</v>
      </c>
      <c r="W135" s="353">
        <f t="shared" si="68"/>
        <v>0</v>
      </c>
      <c r="X135" s="1235" t="e">
        <f t="shared" si="58"/>
        <v>#DIV/0!</v>
      </c>
      <c r="Y135" s="352">
        <f t="shared" ref="Y135:AC135" si="69">SUM(Y132,Y133,Y134)</f>
        <v>0</v>
      </c>
      <c r="Z135" s="332">
        <f t="shared" si="69"/>
        <v>0</v>
      </c>
      <c r="AA135" s="332">
        <f t="shared" si="69"/>
        <v>0</v>
      </c>
      <c r="AB135" s="332">
        <f t="shared" si="69"/>
        <v>0</v>
      </c>
      <c r="AC135" s="332">
        <f t="shared" si="69"/>
        <v>0</v>
      </c>
      <c r="AD135" s="1238" t="e">
        <f t="shared" si="60"/>
        <v>#DIV/0!</v>
      </c>
      <c r="AH135" s="352">
        <f>SUM(AH132,AH133,AH134)</f>
        <v>0</v>
      </c>
      <c r="AI135" s="332">
        <f t="shared" ref="AI135:AO135" si="70">SUM(AI132,AI133,AI134)</f>
        <v>0</v>
      </c>
      <c r="AJ135" s="332">
        <f t="shared" si="70"/>
        <v>0</v>
      </c>
      <c r="AK135" s="332">
        <f t="shared" si="70"/>
        <v>0</v>
      </c>
      <c r="AL135" s="353">
        <f t="shared" si="70"/>
        <v>0</v>
      </c>
      <c r="AM135" s="352">
        <f t="shared" si="70"/>
        <v>0</v>
      </c>
      <c r="AN135" s="332">
        <f t="shared" si="70"/>
        <v>0</v>
      </c>
      <c r="AO135" s="353">
        <f t="shared" si="70"/>
        <v>0</v>
      </c>
    </row>
    <row r="136" spans="1:41">
      <c r="A136" s="308"/>
      <c r="B136" s="1688" t="s">
        <v>35</v>
      </c>
      <c r="C136" s="354"/>
      <c r="D136" s="333"/>
      <c r="E136" s="333"/>
      <c r="F136" s="333"/>
      <c r="G136" s="355"/>
      <c r="H136" s="354"/>
      <c r="I136" s="333"/>
      <c r="J136" s="333"/>
      <c r="K136" s="333"/>
      <c r="L136" s="333"/>
      <c r="M136" s="354"/>
      <c r="N136" s="333"/>
      <c r="O136" s="333"/>
      <c r="P136" s="333"/>
      <c r="Q136" s="355"/>
      <c r="R136" s="1429"/>
      <c r="S136" s="354"/>
      <c r="T136" s="333"/>
      <c r="U136" s="333"/>
      <c r="V136" s="333"/>
      <c r="W136" s="355"/>
      <c r="X136" s="1236"/>
      <c r="Y136" s="354"/>
      <c r="Z136" s="333"/>
      <c r="AA136" s="333"/>
      <c r="AB136" s="333"/>
      <c r="AC136" s="333"/>
      <c r="AD136" s="1239"/>
      <c r="AH136" s="348"/>
      <c r="AI136" s="330"/>
      <c r="AJ136" s="330"/>
      <c r="AK136" s="330"/>
      <c r="AL136" s="1197"/>
      <c r="AM136" s="348"/>
      <c r="AN136" s="330"/>
      <c r="AO136" s="1197"/>
    </row>
    <row r="137" spans="1:41" ht="13.5" thickBot="1">
      <c r="A137" s="308"/>
      <c r="B137" s="1693" t="str">
        <f>CONCATENATE("Total Net expenditure on new ", B25, " connections")</f>
        <v>Total Net expenditure on new New homes connections</v>
      </c>
      <c r="C137" s="1199">
        <f>C135-C136</f>
        <v>0</v>
      </c>
      <c r="D137" s="1200">
        <f t="shared" ref="D137:V137" si="71">D135-D136</f>
        <v>0</v>
      </c>
      <c r="E137" s="1200">
        <f t="shared" si="71"/>
        <v>0</v>
      </c>
      <c r="F137" s="1200">
        <f t="shared" si="71"/>
        <v>0</v>
      </c>
      <c r="G137" s="1201">
        <f t="shared" si="71"/>
        <v>0</v>
      </c>
      <c r="H137" s="1199">
        <f t="shared" si="71"/>
        <v>0</v>
      </c>
      <c r="I137" s="1200">
        <f t="shared" si="71"/>
        <v>0</v>
      </c>
      <c r="J137" s="1200">
        <f t="shared" si="71"/>
        <v>0</v>
      </c>
      <c r="K137" s="1200">
        <f t="shared" si="71"/>
        <v>0</v>
      </c>
      <c r="L137" s="1200">
        <f t="shared" si="71"/>
        <v>0</v>
      </c>
      <c r="M137" s="1199">
        <f t="shared" si="71"/>
        <v>0</v>
      </c>
      <c r="N137" s="1200">
        <f t="shared" si="71"/>
        <v>0</v>
      </c>
      <c r="O137" s="1200">
        <f t="shared" si="71"/>
        <v>0</v>
      </c>
      <c r="P137" s="1200">
        <f t="shared" si="71"/>
        <v>0</v>
      </c>
      <c r="Q137" s="1201">
        <f t="shared" si="71"/>
        <v>0</v>
      </c>
      <c r="R137" s="1429"/>
      <c r="S137" s="1199">
        <f t="shared" si="71"/>
        <v>0</v>
      </c>
      <c r="T137" s="1200">
        <f t="shared" si="71"/>
        <v>0</v>
      </c>
      <c r="U137" s="1200">
        <f t="shared" si="71"/>
        <v>0</v>
      </c>
      <c r="V137" s="1200">
        <f t="shared" si="71"/>
        <v>0</v>
      </c>
      <c r="W137" s="1201">
        <f>W135-W136</f>
        <v>0</v>
      </c>
      <c r="X137" s="1241" t="e">
        <f>SUM(C137:G137)/SUM(S137:W137)-1</f>
        <v>#DIV/0!</v>
      </c>
      <c r="Y137" s="1199">
        <f t="shared" ref="Y137:AC137" si="72">Y135-Y136</f>
        <v>0</v>
      </c>
      <c r="Z137" s="1200">
        <f t="shared" si="72"/>
        <v>0</v>
      </c>
      <c r="AA137" s="1200">
        <f t="shared" si="72"/>
        <v>0</v>
      </c>
      <c r="AB137" s="1200">
        <f t="shared" si="72"/>
        <v>0</v>
      </c>
      <c r="AC137" s="1200">
        <f t="shared" si="72"/>
        <v>0</v>
      </c>
      <c r="AD137" s="1242" t="e">
        <f>SUM(H137:L137)/SUM(Y137:AC137)-1</f>
        <v>#DIV/0!</v>
      </c>
      <c r="AH137" s="2102">
        <f>AH135-AH136</f>
        <v>0</v>
      </c>
      <c r="AI137" s="1200">
        <f t="shared" ref="AI137:AO137" si="73">AI135-AI136</f>
        <v>0</v>
      </c>
      <c r="AJ137" s="1200">
        <f t="shared" si="73"/>
        <v>0</v>
      </c>
      <c r="AK137" s="1200">
        <f t="shared" si="73"/>
        <v>0</v>
      </c>
      <c r="AL137" s="1201">
        <f t="shared" si="73"/>
        <v>0</v>
      </c>
      <c r="AM137" s="2102">
        <f t="shared" si="73"/>
        <v>0</v>
      </c>
      <c r="AN137" s="1200">
        <f t="shared" si="73"/>
        <v>0</v>
      </c>
      <c r="AO137" s="1201">
        <f t="shared" si="73"/>
        <v>0</v>
      </c>
    </row>
    <row r="138" spans="1:41" s="176" customFormat="1" ht="31.5" customHeight="1" thickBot="1">
      <c r="A138" s="862"/>
      <c r="B138" s="1724" t="s">
        <v>125</v>
      </c>
      <c r="C138" s="309"/>
      <c r="D138" s="1247"/>
      <c r="E138" s="1247"/>
      <c r="F138" s="1247"/>
      <c r="G138" s="1247"/>
      <c r="H138" s="1247"/>
      <c r="I138" s="1247"/>
      <c r="J138" s="1247"/>
      <c r="K138" s="1247"/>
      <c r="L138" s="1247"/>
      <c r="M138" s="1247"/>
      <c r="N138" s="1247"/>
      <c r="O138" s="1247"/>
      <c r="P138" s="1247"/>
      <c r="Q138" s="1248"/>
      <c r="R138" s="1429"/>
      <c r="S138" s="309"/>
      <c r="T138" s="1247"/>
      <c r="U138" s="1247"/>
      <c r="V138" s="1247"/>
      <c r="W138" s="1247"/>
      <c r="X138" s="1247"/>
      <c r="Y138" s="1247"/>
      <c r="Z138" s="1247"/>
      <c r="AA138" s="1247"/>
      <c r="AB138" s="1247"/>
      <c r="AC138" s="1247"/>
      <c r="AD138" s="1248"/>
      <c r="AE138"/>
      <c r="AH138" s="2107"/>
      <c r="AI138" s="2108"/>
      <c r="AJ138" s="2108"/>
      <c r="AK138" s="2108"/>
      <c r="AL138" s="2108"/>
      <c r="AM138" s="2108"/>
      <c r="AN138" s="2108"/>
      <c r="AO138" s="2109"/>
    </row>
    <row r="139" spans="1:41" ht="13.5" thickBot="1">
      <c r="A139" s="1429"/>
      <c r="B139" s="1429"/>
      <c r="C139" s="1429"/>
      <c r="D139" s="1429"/>
      <c r="E139" s="1429"/>
      <c r="F139" s="1429"/>
      <c r="G139" s="1429"/>
      <c r="H139" s="1429"/>
      <c r="I139" s="1429"/>
      <c r="J139" s="1429"/>
      <c r="K139" s="1429"/>
      <c r="L139" s="1429"/>
      <c r="M139" s="1429"/>
      <c r="N139" s="1429"/>
      <c r="O139" s="1429"/>
      <c r="P139" s="1429"/>
      <c r="Q139" s="1429"/>
      <c r="R139" s="1429"/>
      <c r="S139" s="1429"/>
      <c r="T139" s="1429"/>
      <c r="U139" s="1429"/>
      <c r="V139" s="1429"/>
      <c r="W139" s="1429"/>
      <c r="X139" s="1429"/>
      <c r="Y139" s="1429"/>
      <c r="Z139" s="1429"/>
      <c r="AA139" s="1429"/>
      <c r="AB139" s="1429"/>
      <c r="AC139" s="1429"/>
      <c r="AD139" s="1429"/>
      <c r="AH139" s="1429"/>
      <c r="AI139" s="1429"/>
      <c r="AJ139" s="1429"/>
      <c r="AK139" s="1429"/>
      <c r="AL139" s="1429"/>
      <c r="AM139" s="1429"/>
      <c r="AN139" s="1429"/>
      <c r="AO139" s="1429"/>
    </row>
    <row r="140" spans="1:41" ht="16.5" thickBot="1">
      <c r="A140" s="993"/>
      <c r="B140" s="298" t="str">
        <f>CONCATENATE("Table 4.2.4 - ", B26)</f>
        <v>Table 4.2.4 - New medium density / high rise</v>
      </c>
      <c r="C140" s="315"/>
      <c r="D140" s="315"/>
      <c r="E140" s="315"/>
      <c r="F140" s="315"/>
      <c r="G140" s="315"/>
      <c r="H140" s="315"/>
      <c r="I140" s="315"/>
      <c r="J140" s="315"/>
      <c r="K140" s="315"/>
      <c r="L140" s="315"/>
      <c r="M140" s="315"/>
      <c r="N140" s="315"/>
      <c r="O140" s="315"/>
      <c r="P140" s="315"/>
      <c r="Q140" s="316"/>
      <c r="R140" s="1429"/>
      <c r="S140" s="298"/>
      <c r="T140" s="315"/>
      <c r="U140" s="315"/>
      <c r="V140" s="315"/>
      <c r="W140" s="315"/>
      <c r="X140" s="315"/>
      <c r="Y140" s="315"/>
      <c r="Z140" s="315"/>
      <c r="AA140" s="315"/>
      <c r="AB140" s="315"/>
      <c r="AC140" s="315"/>
      <c r="AD140" s="316"/>
      <c r="AH140" s="298"/>
      <c r="AI140" s="315"/>
      <c r="AJ140" s="315"/>
      <c r="AK140" s="315"/>
      <c r="AL140" s="315"/>
      <c r="AM140" s="315"/>
      <c r="AN140" s="315"/>
      <c r="AO140" s="316"/>
    </row>
    <row r="141" spans="1:41">
      <c r="A141" s="308"/>
      <c r="B141" s="339" t="str">
        <f>CONCATENATE("Number of new ", B26, " connections")</f>
        <v>Number of new New medium density / high rise connections</v>
      </c>
      <c r="C141" s="341">
        <f t="shared" ref="C141:Q141" si="74">C26</f>
        <v>0</v>
      </c>
      <c r="D141" s="342">
        <f t="shared" si="74"/>
        <v>0</v>
      </c>
      <c r="E141" s="342">
        <f t="shared" si="74"/>
        <v>0</v>
      </c>
      <c r="F141" s="342">
        <f t="shared" si="74"/>
        <v>0</v>
      </c>
      <c r="G141" s="1195">
        <f t="shared" si="74"/>
        <v>0</v>
      </c>
      <c r="H141" s="341">
        <f t="shared" si="74"/>
        <v>0</v>
      </c>
      <c r="I141" s="342">
        <f t="shared" si="74"/>
        <v>0</v>
      </c>
      <c r="J141" s="342">
        <f t="shared" si="74"/>
        <v>0</v>
      </c>
      <c r="K141" s="342">
        <f t="shared" si="74"/>
        <v>0</v>
      </c>
      <c r="L141" s="342">
        <f t="shared" si="74"/>
        <v>0</v>
      </c>
      <c r="M141" s="341">
        <f t="shared" si="74"/>
        <v>0</v>
      </c>
      <c r="N141" s="342">
        <f t="shared" si="74"/>
        <v>0</v>
      </c>
      <c r="O141" s="342">
        <f t="shared" si="74"/>
        <v>0</v>
      </c>
      <c r="P141" s="342">
        <f t="shared" si="74"/>
        <v>0</v>
      </c>
      <c r="Q141" s="1195">
        <f t="shared" si="74"/>
        <v>0</v>
      </c>
      <c r="R141" s="1429"/>
      <c r="S141" s="341">
        <f t="shared" ref="S141:X141" si="75">S26</f>
        <v>0</v>
      </c>
      <c r="T141" s="342">
        <f t="shared" si="75"/>
        <v>0</v>
      </c>
      <c r="U141" s="342">
        <f t="shared" si="75"/>
        <v>0</v>
      </c>
      <c r="V141" s="342">
        <f t="shared" si="75"/>
        <v>0</v>
      </c>
      <c r="W141" s="1195">
        <f t="shared" si="75"/>
        <v>0</v>
      </c>
      <c r="X141" s="1232" t="e">
        <f t="shared" si="75"/>
        <v>#DIV/0!</v>
      </c>
      <c r="Y141" s="341"/>
      <c r="Z141" s="342"/>
      <c r="AA141" s="342"/>
      <c r="AB141" s="342"/>
      <c r="AC141" s="342"/>
      <c r="AD141" s="343" t="e">
        <f>SUM(H141:L141)/SUM(Y141:AC141)-1</f>
        <v>#DIV/0!</v>
      </c>
      <c r="AH141" s="2101">
        <f t="shared" ref="AH141:AO141" si="76">AH26</f>
        <v>0</v>
      </c>
      <c r="AI141" s="342">
        <f t="shared" si="76"/>
        <v>0</v>
      </c>
      <c r="AJ141" s="342">
        <f t="shared" si="76"/>
        <v>0</v>
      </c>
      <c r="AK141" s="342">
        <f t="shared" si="76"/>
        <v>0</v>
      </c>
      <c r="AL141" s="1195">
        <f t="shared" si="76"/>
        <v>0</v>
      </c>
      <c r="AM141" s="2101">
        <f t="shared" si="76"/>
        <v>0</v>
      </c>
      <c r="AN141" s="342">
        <f t="shared" si="76"/>
        <v>0</v>
      </c>
      <c r="AO141" s="1195">
        <f t="shared" si="76"/>
        <v>0</v>
      </c>
    </row>
    <row r="142" spans="1:41">
      <c r="A142" s="308"/>
      <c r="B142" s="1695" t="s">
        <v>594</v>
      </c>
      <c r="C142" s="344"/>
      <c r="D142" s="334"/>
      <c r="E142" s="334"/>
      <c r="F142" s="334"/>
      <c r="G142" s="345"/>
      <c r="H142" s="344"/>
      <c r="I142" s="334"/>
      <c r="J142" s="334"/>
      <c r="K142" s="334"/>
      <c r="L142" s="334"/>
      <c r="M142" s="344"/>
      <c r="N142" s="334"/>
      <c r="O142" s="334"/>
      <c r="P142" s="334"/>
      <c r="Q142" s="345"/>
      <c r="R142" s="1429"/>
      <c r="S142" s="344"/>
      <c r="T142" s="334"/>
      <c r="U142" s="334"/>
      <c r="V142" s="334"/>
      <c r="W142" s="345"/>
      <c r="X142" s="334"/>
      <c r="Y142" s="344"/>
      <c r="Z142" s="334"/>
      <c r="AA142" s="334"/>
      <c r="AB142" s="334"/>
      <c r="AC142" s="334"/>
      <c r="AD142" s="345"/>
      <c r="AH142" s="344"/>
      <c r="AI142" s="334"/>
      <c r="AJ142" s="334"/>
      <c r="AK142" s="334"/>
      <c r="AL142" s="345"/>
      <c r="AM142" s="344"/>
      <c r="AN142" s="334"/>
      <c r="AO142" s="345"/>
    </row>
    <row r="143" spans="1:41">
      <c r="A143" s="308"/>
      <c r="B143" s="1696" t="s">
        <v>57</v>
      </c>
      <c r="C143" s="301"/>
      <c r="D143" s="516"/>
      <c r="E143" s="516"/>
      <c r="F143" s="516"/>
      <c r="G143" s="327"/>
      <c r="H143" s="301"/>
      <c r="I143" s="516"/>
      <c r="J143" s="516"/>
      <c r="K143" s="516"/>
      <c r="L143" s="516"/>
      <c r="M143" s="301"/>
      <c r="N143" s="516"/>
      <c r="O143" s="516"/>
      <c r="P143" s="516"/>
      <c r="Q143" s="327"/>
      <c r="R143" s="1429"/>
      <c r="S143" s="301"/>
      <c r="T143" s="516"/>
      <c r="U143" s="516"/>
      <c r="V143" s="516"/>
      <c r="W143" s="327"/>
      <c r="X143" s="1233" t="e">
        <f>SUM(C143:G143)/SUM(S143:W143)-1</f>
        <v>#DIV/0!</v>
      </c>
      <c r="Y143" s="301"/>
      <c r="Z143" s="516"/>
      <c r="AA143" s="516"/>
      <c r="AB143" s="516"/>
      <c r="AC143" s="516"/>
      <c r="AD143" s="1237" t="e">
        <f>SUM(H143:L143)/SUM(Y143:AC143)-1</f>
        <v>#DIV/0!</v>
      </c>
      <c r="AH143" s="305"/>
      <c r="AI143" s="521"/>
      <c r="AJ143" s="521"/>
      <c r="AK143" s="521"/>
      <c r="AL143" s="329"/>
      <c r="AM143" s="305"/>
      <c r="AN143" s="521"/>
      <c r="AO143" s="329"/>
    </row>
    <row r="144" spans="1:41">
      <c r="A144" s="308"/>
      <c r="B144" s="1696" t="s">
        <v>598</v>
      </c>
      <c r="C144" s="301"/>
      <c r="D144" s="516"/>
      <c r="E144" s="516"/>
      <c r="F144" s="516"/>
      <c r="G144" s="327"/>
      <c r="H144" s="301"/>
      <c r="I144" s="516"/>
      <c r="J144" s="516"/>
      <c r="K144" s="516"/>
      <c r="L144" s="516"/>
      <c r="M144" s="301"/>
      <c r="N144" s="516"/>
      <c r="O144" s="516"/>
      <c r="P144" s="516"/>
      <c r="Q144" s="327"/>
      <c r="R144" s="1429"/>
      <c r="S144" s="301"/>
      <c r="T144" s="516"/>
      <c r="U144" s="516"/>
      <c r="V144" s="516"/>
      <c r="W144" s="327"/>
      <c r="X144" s="1233" t="e">
        <f>SUM(C144:G144)/SUM(S144:W144)-1</f>
        <v>#DIV/0!</v>
      </c>
      <c r="Y144" s="301"/>
      <c r="Z144" s="516"/>
      <c r="AA144" s="516"/>
      <c r="AB144" s="516"/>
      <c r="AC144" s="516"/>
      <c r="AD144" s="1237" t="e">
        <f>SUM(H144:L144)/SUM(Y144:AC144)-1</f>
        <v>#DIV/0!</v>
      </c>
      <c r="AH144" s="305"/>
      <c r="AI144" s="521"/>
      <c r="AJ144" s="521"/>
      <c r="AK144" s="521"/>
      <c r="AL144" s="329"/>
      <c r="AM144" s="305"/>
      <c r="AN144" s="521"/>
      <c r="AO144" s="329"/>
    </row>
    <row r="145" spans="1:41">
      <c r="A145" s="308"/>
      <c r="B145" s="1696" t="s">
        <v>61</v>
      </c>
      <c r="C145" s="301"/>
      <c r="D145" s="516"/>
      <c r="E145" s="516"/>
      <c r="F145" s="516"/>
      <c r="G145" s="327"/>
      <c r="H145" s="301"/>
      <c r="I145" s="516"/>
      <c r="J145" s="516"/>
      <c r="K145" s="516"/>
      <c r="L145" s="516"/>
      <c r="M145" s="301"/>
      <c r="N145" s="516"/>
      <c r="O145" s="516"/>
      <c r="P145" s="516"/>
      <c r="Q145" s="327"/>
      <c r="R145" s="1429"/>
      <c r="S145" s="301"/>
      <c r="T145" s="516"/>
      <c r="U145" s="516"/>
      <c r="V145" s="516"/>
      <c r="W145" s="327"/>
      <c r="X145" s="1233" t="e">
        <f>SUM(C145:G145)/SUM(S145:W145)-1</f>
        <v>#DIV/0!</v>
      </c>
      <c r="Y145" s="301"/>
      <c r="Z145" s="516"/>
      <c r="AA145" s="516"/>
      <c r="AB145" s="516"/>
      <c r="AC145" s="516"/>
      <c r="AD145" s="1237" t="e">
        <f>SUM(H145:L145)/SUM(Y145:AC145)-1</f>
        <v>#DIV/0!</v>
      </c>
      <c r="AH145" s="305"/>
      <c r="AI145" s="521"/>
      <c r="AJ145" s="521"/>
      <c r="AK145" s="521"/>
      <c r="AL145" s="329"/>
      <c r="AM145" s="305"/>
      <c r="AN145" s="521"/>
      <c r="AO145" s="329"/>
    </row>
    <row r="146" spans="1:41">
      <c r="A146" s="308"/>
      <c r="B146" s="1698" t="s">
        <v>599</v>
      </c>
      <c r="C146" s="305">
        <f t="shared" ref="C146:W146" si="77">SUM(C143:C145)</f>
        <v>0</v>
      </c>
      <c r="D146" s="521">
        <f t="shared" si="77"/>
        <v>0</v>
      </c>
      <c r="E146" s="521">
        <f t="shared" si="77"/>
        <v>0</v>
      </c>
      <c r="F146" s="521">
        <f t="shared" si="77"/>
        <v>0</v>
      </c>
      <c r="G146" s="329">
        <f t="shared" si="77"/>
        <v>0</v>
      </c>
      <c r="H146" s="305">
        <f t="shared" si="77"/>
        <v>0</v>
      </c>
      <c r="I146" s="521">
        <f t="shared" si="77"/>
        <v>0</v>
      </c>
      <c r="J146" s="521">
        <f t="shared" si="77"/>
        <v>0</v>
      </c>
      <c r="K146" s="521">
        <f t="shared" si="77"/>
        <v>0</v>
      </c>
      <c r="L146" s="521">
        <f t="shared" si="77"/>
        <v>0</v>
      </c>
      <c r="M146" s="305">
        <f t="shared" si="77"/>
        <v>0</v>
      </c>
      <c r="N146" s="521">
        <f t="shared" si="77"/>
        <v>0</v>
      </c>
      <c r="O146" s="521">
        <f t="shared" si="77"/>
        <v>0</v>
      </c>
      <c r="P146" s="521">
        <f t="shared" si="77"/>
        <v>0</v>
      </c>
      <c r="Q146" s="329">
        <f t="shared" si="77"/>
        <v>0</v>
      </c>
      <c r="R146" s="1429"/>
      <c r="S146" s="305">
        <f t="shared" si="77"/>
        <v>0</v>
      </c>
      <c r="T146" s="521">
        <f t="shared" si="77"/>
        <v>0</v>
      </c>
      <c r="U146" s="521">
        <f t="shared" si="77"/>
        <v>0</v>
      </c>
      <c r="V146" s="521">
        <f t="shared" si="77"/>
        <v>0</v>
      </c>
      <c r="W146" s="329">
        <f t="shared" si="77"/>
        <v>0</v>
      </c>
      <c r="X146" s="1233" t="e">
        <f>SUM(C146:G146)/SUM(S146:W146)-1</f>
        <v>#DIV/0!</v>
      </c>
      <c r="Y146" s="305">
        <f t="shared" ref="Y146:AC146" si="78">SUM(Y143:Y145)</f>
        <v>0</v>
      </c>
      <c r="Z146" s="521">
        <f t="shared" si="78"/>
        <v>0</v>
      </c>
      <c r="AA146" s="521">
        <f t="shared" si="78"/>
        <v>0</v>
      </c>
      <c r="AB146" s="521">
        <f t="shared" si="78"/>
        <v>0</v>
      </c>
      <c r="AC146" s="521">
        <f t="shared" si="78"/>
        <v>0</v>
      </c>
      <c r="AD146" s="1237" t="e">
        <f>SUM(H146:L146)/SUM(Y146:AC146)-1</f>
        <v>#DIV/0!</v>
      </c>
      <c r="AH146" s="305">
        <f t="shared" ref="AH146:AO146" si="79">SUM(AH143:AH145)</f>
        <v>0</v>
      </c>
      <c r="AI146" s="521">
        <f t="shared" si="79"/>
        <v>0</v>
      </c>
      <c r="AJ146" s="521">
        <f t="shared" si="79"/>
        <v>0</v>
      </c>
      <c r="AK146" s="521">
        <f t="shared" si="79"/>
        <v>0</v>
      </c>
      <c r="AL146" s="329">
        <f t="shared" si="79"/>
        <v>0</v>
      </c>
      <c r="AM146" s="305">
        <f t="shared" si="79"/>
        <v>0</v>
      </c>
      <c r="AN146" s="521">
        <f t="shared" si="79"/>
        <v>0</v>
      </c>
      <c r="AO146" s="329">
        <f t="shared" si="79"/>
        <v>0</v>
      </c>
    </row>
    <row r="147" spans="1:41">
      <c r="A147" s="308"/>
      <c r="B147" s="1694" t="s">
        <v>595</v>
      </c>
      <c r="C147" s="344"/>
      <c r="D147" s="334"/>
      <c r="E147" s="334"/>
      <c r="F147" s="334"/>
      <c r="G147" s="345"/>
      <c r="H147" s="344"/>
      <c r="I147" s="334"/>
      <c r="J147" s="334"/>
      <c r="K147" s="334"/>
      <c r="L147" s="334"/>
      <c r="M147" s="344"/>
      <c r="N147" s="334"/>
      <c r="O147" s="334"/>
      <c r="P147" s="334"/>
      <c r="Q147" s="345"/>
      <c r="R147" s="1429"/>
      <c r="S147" s="344"/>
      <c r="T147" s="334"/>
      <c r="U147" s="334"/>
      <c r="V147" s="334"/>
      <c r="W147" s="345"/>
      <c r="X147" s="334"/>
      <c r="Y147" s="344"/>
      <c r="Z147" s="334"/>
      <c r="AA147" s="334"/>
      <c r="AB147" s="334"/>
      <c r="AC147" s="334"/>
      <c r="AD147" s="345"/>
      <c r="AH147" s="344"/>
      <c r="AI147" s="334"/>
      <c r="AJ147" s="334"/>
      <c r="AK147" s="334"/>
      <c r="AL147" s="345"/>
      <c r="AM147" s="344"/>
      <c r="AN147" s="334"/>
      <c r="AO147" s="345"/>
    </row>
    <row r="148" spans="1:41">
      <c r="A148" s="308"/>
      <c r="B148" s="340" t="s">
        <v>57</v>
      </c>
      <c r="C148" s="301"/>
      <c r="D148" s="516"/>
      <c r="E148" s="516"/>
      <c r="F148" s="516"/>
      <c r="G148" s="327"/>
      <c r="H148" s="301"/>
      <c r="I148" s="516"/>
      <c r="J148" s="516"/>
      <c r="K148" s="516"/>
      <c r="L148" s="516"/>
      <c r="M148" s="301"/>
      <c r="N148" s="516"/>
      <c r="O148" s="516"/>
      <c r="P148" s="516"/>
      <c r="Q148" s="327"/>
      <c r="R148" s="1429"/>
      <c r="S148" s="301"/>
      <c r="T148" s="516"/>
      <c r="U148" s="516"/>
      <c r="V148" s="516"/>
      <c r="W148" s="327"/>
      <c r="X148" s="1233" t="e">
        <f>SUM(C148:G148)/SUM(S148:W148)-1</f>
        <v>#DIV/0!</v>
      </c>
      <c r="Y148" s="301"/>
      <c r="Z148" s="516"/>
      <c r="AA148" s="516"/>
      <c r="AB148" s="516"/>
      <c r="AC148" s="516"/>
      <c r="AD148" s="1237" t="e">
        <f>SUM(H148:L148)/SUM(Y148:AC148)-1</f>
        <v>#DIV/0!</v>
      </c>
      <c r="AH148" s="305"/>
      <c r="AI148" s="521"/>
      <c r="AJ148" s="521"/>
      <c r="AK148" s="521"/>
      <c r="AL148" s="329"/>
      <c r="AM148" s="305"/>
      <c r="AN148" s="521"/>
      <c r="AO148" s="329"/>
    </row>
    <row r="149" spans="1:41">
      <c r="A149" s="308"/>
      <c r="B149" s="340" t="s">
        <v>598</v>
      </c>
      <c r="C149" s="301"/>
      <c r="D149" s="516"/>
      <c r="E149" s="516"/>
      <c r="F149" s="516"/>
      <c r="G149" s="327"/>
      <c r="H149" s="301"/>
      <c r="I149" s="516"/>
      <c r="J149" s="516"/>
      <c r="K149" s="516"/>
      <c r="L149" s="516"/>
      <c r="M149" s="301"/>
      <c r="N149" s="516"/>
      <c r="O149" s="516"/>
      <c r="P149" s="516"/>
      <c r="Q149" s="327"/>
      <c r="R149" s="1429"/>
      <c r="S149" s="301"/>
      <c r="T149" s="516"/>
      <c r="U149" s="516"/>
      <c r="V149" s="516"/>
      <c r="W149" s="327"/>
      <c r="X149" s="1233" t="e">
        <f>SUM(C149:G149)/SUM(S149:W149)-1</f>
        <v>#DIV/0!</v>
      </c>
      <c r="Y149" s="301"/>
      <c r="Z149" s="516"/>
      <c r="AA149" s="516"/>
      <c r="AB149" s="516"/>
      <c r="AC149" s="516"/>
      <c r="AD149" s="1237" t="e">
        <f>SUM(H149:L149)/SUM(Y149:AC149)-1</f>
        <v>#DIV/0!</v>
      </c>
      <c r="AH149" s="305"/>
      <c r="AI149" s="521"/>
      <c r="AJ149" s="521"/>
      <c r="AK149" s="521"/>
      <c r="AL149" s="329"/>
      <c r="AM149" s="305"/>
      <c r="AN149" s="521"/>
      <c r="AO149" s="329"/>
    </row>
    <row r="150" spans="1:41">
      <c r="A150" s="308"/>
      <c r="B150" s="340" t="s">
        <v>61</v>
      </c>
      <c r="C150" s="301"/>
      <c r="D150" s="516"/>
      <c r="E150" s="516"/>
      <c r="F150" s="516"/>
      <c r="G150" s="327"/>
      <c r="H150" s="301"/>
      <c r="I150" s="516"/>
      <c r="J150" s="516"/>
      <c r="K150" s="516"/>
      <c r="L150" s="516"/>
      <c r="M150" s="301"/>
      <c r="N150" s="516"/>
      <c r="O150" s="516"/>
      <c r="P150" s="516"/>
      <c r="Q150" s="327"/>
      <c r="R150" s="1429"/>
      <c r="S150" s="301"/>
      <c r="T150" s="516"/>
      <c r="U150" s="516"/>
      <c r="V150" s="516"/>
      <c r="W150" s="327"/>
      <c r="X150" s="1233" t="e">
        <f>SUM(C150:G150)/SUM(S150:W150)-1</f>
        <v>#DIV/0!</v>
      </c>
      <c r="Y150" s="301"/>
      <c r="Z150" s="516"/>
      <c r="AA150" s="516"/>
      <c r="AB150" s="516"/>
      <c r="AC150" s="516"/>
      <c r="AD150" s="1237" t="e">
        <f>SUM(H150:L150)/SUM(Y150:AC150)-1</f>
        <v>#DIV/0!</v>
      </c>
      <c r="AH150" s="305"/>
      <c r="AI150" s="521"/>
      <c r="AJ150" s="521"/>
      <c r="AK150" s="521"/>
      <c r="AL150" s="329"/>
      <c r="AM150" s="305"/>
      <c r="AN150" s="521"/>
      <c r="AO150" s="329"/>
    </row>
    <row r="151" spans="1:41">
      <c r="A151" s="308"/>
      <c r="B151" s="1698" t="s">
        <v>596</v>
      </c>
      <c r="C151" s="305">
        <f t="shared" ref="C151:W151" si="80">SUM(C148:C150)</f>
        <v>0</v>
      </c>
      <c r="D151" s="521">
        <f t="shared" si="80"/>
        <v>0</v>
      </c>
      <c r="E151" s="521">
        <f t="shared" si="80"/>
        <v>0</v>
      </c>
      <c r="F151" s="521">
        <f t="shared" si="80"/>
        <v>0</v>
      </c>
      <c r="G151" s="329">
        <f t="shared" si="80"/>
        <v>0</v>
      </c>
      <c r="H151" s="305">
        <f t="shared" si="80"/>
        <v>0</v>
      </c>
      <c r="I151" s="521">
        <f t="shared" si="80"/>
        <v>0</v>
      </c>
      <c r="J151" s="521">
        <f t="shared" si="80"/>
        <v>0</v>
      </c>
      <c r="K151" s="521">
        <f t="shared" si="80"/>
        <v>0</v>
      </c>
      <c r="L151" s="521">
        <f t="shared" si="80"/>
        <v>0</v>
      </c>
      <c r="M151" s="305">
        <f t="shared" si="80"/>
        <v>0</v>
      </c>
      <c r="N151" s="521">
        <f t="shared" si="80"/>
        <v>0</v>
      </c>
      <c r="O151" s="521">
        <f t="shared" si="80"/>
        <v>0</v>
      </c>
      <c r="P151" s="521">
        <f t="shared" si="80"/>
        <v>0</v>
      </c>
      <c r="Q151" s="329">
        <f t="shared" si="80"/>
        <v>0</v>
      </c>
      <c r="R151" s="1429"/>
      <c r="S151" s="305">
        <f t="shared" si="80"/>
        <v>0</v>
      </c>
      <c r="T151" s="521">
        <f t="shared" si="80"/>
        <v>0</v>
      </c>
      <c r="U151" s="521">
        <f t="shared" si="80"/>
        <v>0</v>
      </c>
      <c r="V151" s="521">
        <f t="shared" si="80"/>
        <v>0</v>
      </c>
      <c r="W151" s="329">
        <f t="shared" si="80"/>
        <v>0</v>
      </c>
      <c r="X151" s="1233" t="e">
        <f>SUM(C151:G151)/SUM(S151:W151)-1</f>
        <v>#DIV/0!</v>
      </c>
      <c r="Y151" s="305">
        <f t="shared" ref="Y151:AC151" si="81">SUM(Y148:Y150)</f>
        <v>0</v>
      </c>
      <c r="Z151" s="521">
        <f t="shared" si="81"/>
        <v>0</v>
      </c>
      <c r="AA151" s="521">
        <f t="shared" si="81"/>
        <v>0</v>
      </c>
      <c r="AB151" s="521">
        <f t="shared" si="81"/>
        <v>0</v>
      </c>
      <c r="AC151" s="521">
        <f t="shared" si="81"/>
        <v>0</v>
      </c>
      <c r="AD151" s="1237" t="e">
        <f>SUM(H151:L151)/SUM(Y151:AC151)-1</f>
        <v>#DIV/0!</v>
      </c>
      <c r="AH151" s="305">
        <f t="shared" ref="AH151:AO151" si="82">SUM(AH148:AH150)</f>
        <v>0</v>
      </c>
      <c r="AI151" s="521">
        <f t="shared" si="82"/>
        <v>0</v>
      </c>
      <c r="AJ151" s="521">
        <f t="shared" si="82"/>
        <v>0</v>
      </c>
      <c r="AK151" s="521">
        <f t="shared" si="82"/>
        <v>0</v>
      </c>
      <c r="AL151" s="329">
        <f t="shared" si="82"/>
        <v>0</v>
      </c>
      <c r="AM151" s="305">
        <f t="shared" si="82"/>
        <v>0</v>
      </c>
      <c r="AN151" s="521">
        <f t="shared" si="82"/>
        <v>0</v>
      </c>
      <c r="AO151" s="329">
        <f t="shared" si="82"/>
        <v>0</v>
      </c>
    </row>
    <row r="152" spans="1:41">
      <c r="A152" s="308"/>
      <c r="B152" s="1697" t="s">
        <v>600</v>
      </c>
      <c r="C152" s="344"/>
      <c r="D152" s="334"/>
      <c r="E152" s="334"/>
      <c r="F152" s="334"/>
      <c r="G152" s="345"/>
      <c r="H152" s="344"/>
      <c r="I152" s="334"/>
      <c r="J152" s="334"/>
      <c r="K152" s="334"/>
      <c r="L152" s="334"/>
      <c r="M152" s="344"/>
      <c r="N152" s="334"/>
      <c r="O152" s="334"/>
      <c r="P152" s="334"/>
      <c r="Q152" s="345"/>
      <c r="R152" s="1429"/>
      <c r="S152" s="344"/>
      <c r="T152" s="334"/>
      <c r="U152" s="334"/>
      <c r="V152" s="334"/>
      <c r="W152" s="345"/>
      <c r="X152" s="334"/>
      <c r="Y152" s="344"/>
      <c r="Z152" s="334"/>
      <c r="AA152" s="334"/>
      <c r="AB152" s="334"/>
      <c r="AC152" s="334"/>
      <c r="AD152" s="345"/>
      <c r="AH152" s="344"/>
      <c r="AI152" s="334"/>
      <c r="AJ152" s="334"/>
      <c r="AK152" s="334"/>
      <c r="AL152" s="345"/>
      <c r="AM152" s="344"/>
      <c r="AN152" s="334"/>
      <c r="AO152" s="345"/>
    </row>
    <row r="153" spans="1:41">
      <c r="A153" s="308"/>
      <c r="B153" s="1696" t="s">
        <v>57</v>
      </c>
      <c r="C153" s="301"/>
      <c r="D153" s="516"/>
      <c r="E153" s="516"/>
      <c r="F153" s="516"/>
      <c r="G153" s="327"/>
      <c r="H153" s="301"/>
      <c r="I153" s="516"/>
      <c r="J153" s="516"/>
      <c r="K153" s="516"/>
      <c r="L153" s="516"/>
      <c r="M153" s="301"/>
      <c r="N153" s="516"/>
      <c r="O153" s="516"/>
      <c r="P153" s="516"/>
      <c r="Q153" s="327"/>
      <c r="R153" s="1429"/>
      <c r="S153" s="301"/>
      <c r="T153" s="516"/>
      <c r="U153" s="516"/>
      <c r="V153" s="516"/>
      <c r="W153" s="327"/>
      <c r="X153" s="1233" t="e">
        <f>SUM(C153:G153)/SUM(S153:W153)-1</f>
        <v>#DIV/0!</v>
      </c>
      <c r="Y153" s="301"/>
      <c r="Z153" s="516"/>
      <c r="AA153" s="516"/>
      <c r="AB153" s="516"/>
      <c r="AC153" s="516"/>
      <c r="AD153" s="1237" t="e">
        <f>SUM(H153:L153)/SUM(Y153:AC153)-1</f>
        <v>#DIV/0!</v>
      </c>
      <c r="AH153" s="305"/>
      <c r="AI153" s="521"/>
      <c r="AJ153" s="521"/>
      <c r="AK153" s="521"/>
      <c r="AL153" s="329"/>
      <c r="AM153" s="305"/>
      <c r="AN153" s="521"/>
      <c r="AO153" s="329"/>
    </row>
    <row r="154" spans="1:41">
      <c r="A154" s="308"/>
      <c r="B154" s="1696" t="s">
        <v>598</v>
      </c>
      <c r="C154" s="301"/>
      <c r="D154" s="516"/>
      <c r="E154" s="516"/>
      <c r="F154" s="516"/>
      <c r="G154" s="327"/>
      <c r="H154" s="301"/>
      <c r="I154" s="516"/>
      <c r="J154" s="516"/>
      <c r="K154" s="516"/>
      <c r="L154" s="516"/>
      <c r="M154" s="301"/>
      <c r="N154" s="516"/>
      <c r="O154" s="516"/>
      <c r="P154" s="516"/>
      <c r="Q154" s="327"/>
      <c r="R154" s="1429"/>
      <c r="S154" s="301"/>
      <c r="T154" s="516"/>
      <c r="U154" s="516"/>
      <c r="V154" s="516"/>
      <c r="W154" s="327"/>
      <c r="X154" s="1233" t="e">
        <f>SUM(C154:G154)/SUM(S154:W154)-1</f>
        <v>#DIV/0!</v>
      </c>
      <c r="Y154" s="301"/>
      <c r="Z154" s="516"/>
      <c r="AA154" s="516"/>
      <c r="AB154" s="516"/>
      <c r="AC154" s="516"/>
      <c r="AD154" s="1237" t="e">
        <f>SUM(H154:L154)/SUM(Y154:AC154)-1</f>
        <v>#DIV/0!</v>
      </c>
      <c r="AH154" s="305"/>
      <c r="AI154" s="521"/>
      <c r="AJ154" s="521"/>
      <c r="AK154" s="521"/>
      <c r="AL154" s="329"/>
      <c r="AM154" s="305"/>
      <c r="AN154" s="521"/>
      <c r="AO154" s="329"/>
    </row>
    <row r="155" spans="1:41">
      <c r="A155" s="308"/>
      <c r="B155" s="1696" t="s">
        <v>61</v>
      </c>
      <c r="C155" s="301"/>
      <c r="D155" s="516"/>
      <c r="E155" s="516"/>
      <c r="F155" s="516"/>
      <c r="G155" s="327"/>
      <c r="H155" s="301"/>
      <c r="I155" s="516"/>
      <c r="J155" s="516"/>
      <c r="K155" s="516"/>
      <c r="L155" s="516"/>
      <c r="M155" s="301"/>
      <c r="N155" s="516"/>
      <c r="O155" s="516"/>
      <c r="P155" s="516"/>
      <c r="Q155" s="327"/>
      <c r="R155" s="1429"/>
      <c r="S155" s="301"/>
      <c r="T155" s="516"/>
      <c r="U155" s="516"/>
      <c r="V155" s="516"/>
      <c r="W155" s="327"/>
      <c r="X155" s="1233" t="e">
        <f>SUM(C155:G155)/SUM(S155:W155)-1</f>
        <v>#DIV/0!</v>
      </c>
      <c r="Y155" s="301"/>
      <c r="Z155" s="516"/>
      <c r="AA155" s="516"/>
      <c r="AB155" s="516"/>
      <c r="AC155" s="516"/>
      <c r="AD155" s="1237" t="e">
        <f>SUM(H155:L155)/SUM(Y155:AC155)-1</f>
        <v>#DIV/0!</v>
      </c>
      <c r="AH155" s="305"/>
      <c r="AI155" s="521"/>
      <c r="AJ155" s="521"/>
      <c r="AK155" s="521"/>
      <c r="AL155" s="329"/>
      <c r="AM155" s="305"/>
      <c r="AN155" s="521"/>
      <c r="AO155" s="329"/>
    </row>
    <row r="156" spans="1:41">
      <c r="A156" s="308"/>
      <c r="B156" s="1698" t="s">
        <v>601</v>
      </c>
      <c r="C156" s="305">
        <f t="shared" ref="C156:W156" si="83">SUM(C153:C155)</f>
        <v>0</v>
      </c>
      <c r="D156" s="521">
        <f t="shared" si="83"/>
        <v>0</v>
      </c>
      <c r="E156" s="521">
        <f t="shared" si="83"/>
        <v>0</v>
      </c>
      <c r="F156" s="521">
        <f t="shared" si="83"/>
        <v>0</v>
      </c>
      <c r="G156" s="329">
        <f t="shared" si="83"/>
        <v>0</v>
      </c>
      <c r="H156" s="305">
        <f t="shared" si="83"/>
        <v>0</v>
      </c>
      <c r="I156" s="521">
        <f t="shared" si="83"/>
        <v>0</v>
      </c>
      <c r="J156" s="521">
        <f t="shared" si="83"/>
        <v>0</v>
      </c>
      <c r="K156" s="521">
        <f t="shared" si="83"/>
        <v>0</v>
      </c>
      <c r="L156" s="521">
        <f t="shared" si="83"/>
        <v>0</v>
      </c>
      <c r="M156" s="305">
        <f t="shared" si="83"/>
        <v>0</v>
      </c>
      <c r="N156" s="521">
        <f t="shared" si="83"/>
        <v>0</v>
      </c>
      <c r="O156" s="521">
        <f t="shared" si="83"/>
        <v>0</v>
      </c>
      <c r="P156" s="521">
        <f t="shared" si="83"/>
        <v>0</v>
      </c>
      <c r="Q156" s="329">
        <f t="shared" si="83"/>
        <v>0</v>
      </c>
      <c r="R156" s="1429"/>
      <c r="S156" s="305">
        <f t="shared" si="83"/>
        <v>0</v>
      </c>
      <c r="T156" s="521">
        <f t="shared" si="83"/>
        <v>0</v>
      </c>
      <c r="U156" s="521">
        <f t="shared" si="83"/>
        <v>0</v>
      </c>
      <c r="V156" s="521">
        <f t="shared" si="83"/>
        <v>0</v>
      </c>
      <c r="W156" s="329">
        <f t="shared" si="83"/>
        <v>0</v>
      </c>
      <c r="X156" s="1233" t="e">
        <f>SUM(C156:G156)/SUM(S156:W156)-1</f>
        <v>#DIV/0!</v>
      </c>
      <c r="Y156" s="305">
        <f t="shared" ref="Y156:AC156" si="84">SUM(Y153:Y155)</f>
        <v>0</v>
      </c>
      <c r="Z156" s="521">
        <f t="shared" si="84"/>
        <v>0</v>
      </c>
      <c r="AA156" s="521">
        <f t="shared" si="84"/>
        <v>0</v>
      </c>
      <c r="AB156" s="521">
        <f t="shared" si="84"/>
        <v>0</v>
      </c>
      <c r="AC156" s="521">
        <f t="shared" si="84"/>
        <v>0</v>
      </c>
      <c r="AD156" s="1237" t="e">
        <f>SUM(H156:L156)/SUM(Y156:AC156)-1</f>
        <v>#DIV/0!</v>
      </c>
      <c r="AH156" s="305">
        <f t="shared" ref="AH156:AO156" si="85">SUM(AH153:AH155)</f>
        <v>0</v>
      </c>
      <c r="AI156" s="521">
        <f t="shared" si="85"/>
        <v>0</v>
      </c>
      <c r="AJ156" s="521">
        <f t="shared" si="85"/>
        <v>0</v>
      </c>
      <c r="AK156" s="521">
        <f t="shared" si="85"/>
        <v>0</v>
      </c>
      <c r="AL156" s="329">
        <f t="shared" si="85"/>
        <v>0</v>
      </c>
      <c r="AM156" s="305">
        <f t="shared" si="85"/>
        <v>0</v>
      </c>
      <c r="AN156" s="521">
        <f t="shared" si="85"/>
        <v>0</v>
      </c>
      <c r="AO156" s="329">
        <f t="shared" si="85"/>
        <v>0</v>
      </c>
    </row>
    <row r="157" spans="1:41">
      <c r="A157" s="308"/>
      <c r="B157" s="1700" t="s">
        <v>602</v>
      </c>
      <c r="C157" s="344"/>
      <c r="D157" s="334"/>
      <c r="E157" s="334"/>
      <c r="F157" s="334"/>
      <c r="G157" s="345"/>
      <c r="H157" s="344"/>
      <c r="I157" s="334"/>
      <c r="J157" s="334"/>
      <c r="K157" s="334"/>
      <c r="L157" s="334"/>
      <c r="M157" s="344"/>
      <c r="N157" s="334"/>
      <c r="O157" s="334"/>
      <c r="P157" s="334"/>
      <c r="Q157" s="345"/>
      <c r="R157" s="1429"/>
      <c r="S157" s="344"/>
      <c r="T157" s="334"/>
      <c r="U157" s="334"/>
      <c r="V157" s="334"/>
      <c r="W157" s="345"/>
      <c r="X157" s="334"/>
      <c r="Y157" s="344"/>
      <c r="Z157" s="334"/>
      <c r="AA157" s="334"/>
      <c r="AB157" s="334"/>
      <c r="AC157" s="334"/>
      <c r="AD157" s="345"/>
      <c r="AH157" s="344"/>
      <c r="AI157" s="334"/>
      <c r="AJ157" s="334"/>
      <c r="AK157" s="334"/>
      <c r="AL157" s="345"/>
      <c r="AM157" s="344"/>
      <c r="AN157" s="334"/>
      <c r="AO157" s="345"/>
    </row>
    <row r="158" spans="1:41">
      <c r="A158" s="308"/>
      <c r="B158" s="1701" t="s">
        <v>57</v>
      </c>
      <c r="C158" s="348">
        <f t="shared" ref="C158:W160" si="86">C148+C143+C153</f>
        <v>0</v>
      </c>
      <c r="D158" s="330">
        <f t="shared" si="86"/>
        <v>0</v>
      </c>
      <c r="E158" s="330">
        <f t="shared" si="86"/>
        <v>0</v>
      </c>
      <c r="F158" s="330">
        <f t="shared" si="86"/>
        <v>0</v>
      </c>
      <c r="G158" s="1197">
        <f t="shared" si="86"/>
        <v>0</v>
      </c>
      <c r="H158" s="348">
        <f t="shared" si="86"/>
        <v>0</v>
      </c>
      <c r="I158" s="330">
        <f t="shared" si="86"/>
        <v>0</v>
      </c>
      <c r="J158" s="330">
        <f t="shared" si="86"/>
        <v>0</v>
      </c>
      <c r="K158" s="330">
        <f t="shared" si="86"/>
        <v>0</v>
      </c>
      <c r="L158" s="330">
        <f t="shared" si="86"/>
        <v>0</v>
      </c>
      <c r="M158" s="348">
        <f t="shared" si="86"/>
        <v>0</v>
      </c>
      <c r="N158" s="330">
        <f t="shared" si="86"/>
        <v>0</v>
      </c>
      <c r="O158" s="330">
        <f t="shared" si="86"/>
        <v>0</v>
      </c>
      <c r="P158" s="330">
        <f t="shared" si="86"/>
        <v>0</v>
      </c>
      <c r="Q158" s="1197">
        <f t="shared" si="86"/>
        <v>0</v>
      </c>
      <c r="R158" s="1429"/>
      <c r="S158" s="348">
        <f t="shared" si="86"/>
        <v>0</v>
      </c>
      <c r="T158" s="330">
        <f t="shared" si="86"/>
        <v>0</v>
      </c>
      <c r="U158" s="330">
        <f t="shared" si="86"/>
        <v>0</v>
      </c>
      <c r="V158" s="330">
        <f t="shared" si="86"/>
        <v>0</v>
      </c>
      <c r="W158" s="1197">
        <f t="shared" si="86"/>
        <v>0</v>
      </c>
      <c r="X158" s="331" t="e">
        <f t="shared" ref="X158:X164" si="87">SUM(C158:G158)/SUM(S158:W158)-1</f>
        <v>#DIV/0!</v>
      </c>
      <c r="Y158" s="348">
        <f t="shared" ref="Y158:AC160" si="88">Y148+Y143+Y153</f>
        <v>0</v>
      </c>
      <c r="Z158" s="330">
        <f t="shared" si="88"/>
        <v>0</v>
      </c>
      <c r="AA158" s="330">
        <f t="shared" si="88"/>
        <v>0</v>
      </c>
      <c r="AB158" s="330">
        <f t="shared" si="88"/>
        <v>0</v>
      </c>
      <c r="AC158" s="330">
        <f t="shared" si="88"/>
        <v>0</v>
      </c>
      <c r="AD158" s="350" t="e">
        <f t="shared" ref="AD158:AD164" si="89">SUM(H158:L158)/SUM(Y158:AC158)-1</f>
        <v>#DIV/0!</v>
      </c>
      <c r="AH158" s="348">
        <f t="shared" ref="AH158:AO158" si="90">AH148+AH143+AH153</f>
        <v>0</v>
      </c>
      <c r="AI158" s="330">
        <f t="shared" si="90"/>
        <v>0</v>
      </c>
      <c r="AJ158" s="330">
        <f t="shared" si="90"/>
        <v>0</v>
      </c>
      <c r="AK158" s="330">
        <f t="shared" si="90"/>
        <v>0</v>
      </c>
      <c r="AL158" s="1197">
        <f t="shared" si="90"/>
        <v>0</v>
      </c>
      <c r="AM158" s="348">
        <f t="shared" si="90"/>
        <v>0</v>
      </c>
      <c r="AN158" s="330">
        <f t="shared" si="90"/>
        <v>0</v>
      </c>
      <c r="AO158" s="1197">
        <f t="shared" si="90"/>
        <v>0</v>
      </c>
    </row>
    <row r="159" spans="1:41">
      <c r="A159" s="308"/>
      <c r="B159" s="1701" t="s">
        <v>598</v>
      </c>
      <c r="C159" s="348">
        <f t="shared" si="86"/>
        <v>0</v>
      </c>
      <c r="D159" s="330">
        <f t="shared" si="86"/>
        <v>0</v>
      </c>
      <c r="E159" s="330">
        <f t="shared" si="86"/>
        <v>0</v>
      </c>
      <c r="F159" s="330">
        <f t="shared" si="86"/>
        <v>0</v>
      </c>
      <c r="G159" s="1197">
        <f t="shared" si="86"/>
        <v>0</v>
      </c>
      <c r="H159" s="348">
        <f t="shared" si="86"/>
        <v>0</v>
      </c>
      <c r="I159" s="330">
        <f t="shared" si="86"/>
        <v>0</v>
      </c>
      <c r="J159" s="330">
        <f t="shared" si="86"/>
        <v>0</v>
      </c>
      <c r="K159" s="330">
        <f t="shared" si="86"/>
        <v>0</v>
      </c>
      <c r="L159" s="330">
        <f t="shared" si="86"/>
        <v>0</v>
      </c>
      <c r="M159" s="348">
        <f t="shared" si="86"/>
        <v>0</v>
      </c>
      <c r="N159" s="330">
        <f t="shared" si="86"/>
        <v>0</v>
      </c>
      <c r="O159" s="330">
        <f t="shared" si="86"/>
        <v>0</v>
      </c>
      <c r="P159" s="330">
        <f t="shared" si="86"/>
        <v>0</v>
      </c>
      <c r="Q159" s="1197">
        <f t="shared" si="86"/>
        <v>0</v>
      </c>
      <c r="R159" s="1429"/>
      <c r="S159" s="348">
        <f t="shared" si="86"/>
        <v>0</v>
      </c>
      <c r="T159" s="330">
        <f t="shared" si="86"/>
        <v>0</v>
      </c>
      <c r="U159" s="330">
        <f t="shared" si="86"/>
        <v>0</v>
      </c>
      <c r="V159" s="330">
        <f t="shared" si="86"/>
        <v>0</v>
      </c>
      <c r="W159" s="1197">
        <f t="shared" si="86"/>
        <v>0</v>
      </c>
      <c r="X159" s="331" t="e">
        <f t="shared" si="87"/>
        <v>#DIV/0!</v>
      </c>
      <c r="Y159" s="348">
        <f t="shared" si="88"/>
        <v>0</v>
      </c>
      <c r="Z159" s="330">
        <f t="shared" si="88"/>
        <v>0</v>
      </c>
      <c r="AA159" s="330">
        <f t="shared" si="88"/>
        <v>0</v>
      </c>
      <c r="AB159" s="330">
        <f t="shared" si="88"/>
        <v>0</v>
      </c>
      <c r="AC159" s="330">
        <f t="shared" si="88"/>
        <v>0</v>
      </c>
      <c r="AD159" s="350" t="e">
        <f t="shared" si="89"/>
        <v>#DIV/0!</v>
      </c>
      <c r="AH159" s="348">
        <f t="shared" ref="AH159:AO159" si="91">AH149+AH144+AH154</f>
        <v>0</v>
      </c>
      <c r="AI159" s="330">
        <f t="shared" si="91"/>
        <v>0</v>
      </c>
      <c r="AJ159" s="330">
        <f t="shared" si="91"/>
        <v>0</v>
      </c>
      <c r="AK159" s="330">
        <f t="shared" si="91"/>
        <v>0</v>
      </c>
      <c r="AL159" s="1197">
        <f t="shared" si="91"/>
        <v>0</v>
      </c>
      <c r="AM159" s="348">
        <f t="shared" si="91"/>
        <v>0</v>
      </c>
      <c r="AN159" s="330">
        <f t="shared" si="91"/>
        <v>0</v>
      </c>
      <c r="AO159" s="1197">
        <f t="shared" si="91"/>
        <v>0</v>
      </c>
    </row>
    <row r="160" spans="1:41">
      <c r="A160" s="308"/>
      <c r="B160" s="1701" t="s">
        <v>61</v>
      </c>
      <c r="C160" s="348">
        <f t="shared" si="86"/>
        <v>0</v>
      </c>
      <c r="D160" s="330">
        <f t="shared" si="86"/>
        <v>0</v>
      </c>
      <c r="E160" s="330">
        <f t="shared" si="86"/>
        <v>0</v>
      </c>
      <c r="F160" s="330">
        <f t="shared" si="86"/>
        <v>0</v>
      </c>
      <c r="G160" s="1197">
        <f t="shared" si="86"/>
        <v>0</v>
      </c>
      <c r="H160" s="348">
        <f t="shared" si="86"/>
        <v>0</v>
      </c>
      <c r="I160" s="330">
        <f t="shared" si="86"/>
        <v>0</v>
      </c>
      <c r="J160" s="330">
        <f t="shared" si="86"/>
        <v>0</v>
      </c>
      <c r="K160" s="330">
        <f t="shared" si="86"/>
        <v>0</v>
      </c>
      <c r="L160" s="330">
        <f t="shared" si="86"/>
        <v>0</v>
      </c>
      <c r="M160" s="348">
        <f t="shared" si="86"/>
        <v>0</v>
      </c>
      <c r="N160" s="330">
        <f t="shared" si="86"/>
        <v>0</v>
      </c>
      <c r="O160" s="330">
        <f t="shared" si="86"/>
        <v>0</v>
      </c>
      <c r="P160" s="330">
        <f t="shared" si="86"/>
        <v>0</v>
      </c>
      <c r="Q160" s="1197">
        <f t="shared" si="86"/>
        <v>0</v>
      </c>
      <c r="R160" s="1429"/>
      <c r="S160" s="348">
        <f t="shared" si="86"/>
        <v>0</v>
      </c>
      <c r="T160" s="330">
        <f t="shared" si="86"/>
        <v>0</v>
      </c>
      <c r="U160" s="330">
        <f t="shared" si="86"/>
        <v>0</v>
      </c>
      <c r="V160" s="330">
        <f t="shared" si="86"/>
        <v>0</v>
      </c>
      <c r="W160" s="1197">
        <f t="shared" si="86"/>
        <v>0</v>
      </c>
      <c r="X160" s="331" t="e">
        <f t="shared" si="87"/>
        <v>#DIV/0!</v>
      </c>
      <c r="Y160" s="348">
        <f t="shared" si="88"/>
        <v>0</v>
      </c>
      <c r="Z160" s="330">
        <f t="shared" si="88"/>
        <v>0</v>
      </c>
      <c r="AA160" s="330">
        <f t="shared" si="88"/>
        <v>0</v>
      </c>
      <c r="AB160" s="330">
        <f t="shared" si="88"/>
        <v>0</v>
      </c>
      <c r="AC160" s="330">
        <f t="shared" si="88"/>
        <v>0</v>
      </c>
      <c r="AD160" s="350" t="e">
        <f t="shared" si="89"/>
        <v>#DIV/0!</v>
      </c>
      <c r="AH160" s="348">
        <f t="shared" ref="AH160:AO160" si="92">AH150+AH145+AH155</f>
        <v>0</v>
      </c>
      <c r="AI160" s="330">
        <f t="shared" si="92"/>
        <v>0</v>
      </c>
      <c r="AJ160" s="330">
        <f t="shared" si="92"/>
        <v>0</v>
      </c>
      <c r="AK160" s="330">
        <f t="shared" si="92"/>
        <v>0</v>
      </c>
      <c r="AL160" s="1197">
        <f t="shared" si="92"/>
        <v>0</v>
      </c>
      <c r="AM160" s="348">
        <f t="shared" si="92"/>
        <v>0</v>
      </c>
      <c r="AN160" s="330">
        <f t="shared" si="92"/>
        <v>0</v>
      </c>
      <c r="AO160" s="1197">
        <f t="shared" si="92"/>
        <v>0</v>
      </c>
    </row>
    <row r="161" spans="1:41">
      <c r="A161" s="308"/>
      <c r="B161" s="1702" t="s">
        <v>602</v>
      </c>
      <c r="C161" s="357">
        <f>SUM(C158:C160)</f>
        <v>0</v>
      </c>
      <c r="D161" s="358">
        <f t="shared" ref="D161:V161" si="93">SUM(D158:D160)</f>
        <v>0</v>
      </c>
      <c r="E161" s="358">
        <f t="shared" si="93"/>
        <v>0</v>
      </c>
      <c r="F161" s="358">
        <f t="shared" si="93"/>
        <v>0</v>
      </c>
      <c r="G161" s="359">
        <f t="shared" si="93"/>
        <v>0</v>
      </c>
      <c r="H161" s="357">
        <f t="shared" si="93"/>
        <v>0</v>
      </c>
      <c r="I161" s="358">
        <f t="shared" si="93"/>
        <v>0</v>
      </c>
      <c r="J161" s="358">
        <f t="shared" si="93"/>
        <v>0</v>
      </c>
      <c r="K161" s="358">
        <f t="shared" si="93"/>
        <v>0</v>
      </c>
      <c r="L161" s="358">
        <f t="shared" si="93"/>
        <v>0</v>
      </c>
      <c r="M161" s="357">
        <f t="shared" si="93"/>
        <v>0</v>
      </c>
      <c r="N161" s="358">
        <f t="shared" si="93"/>
        <v>0</v>
      </c>
      <c r="O161" s="358">
        <f t="shared" si="93"/>
        <v>0</v>
      </c>
      <c r="P161" s="358">
        <f t="shared" si="93"/>
        <v>0</v>
      </c>
      <c r="Q161" s="359">
        <f t="shared" si="93"/>
        <v>0</v>
      </c>
      <c r="R161" s="1429"/>
      <c r="S161" s="357">
        <f t="shared" si="93"/>
        <v>0</v>
      </c>
      <c r="T161" s="358">
        <f t="shared" si="93"/>
        <v>0</v>
      </c>
      <c r="U161" s="358">
        <f t="shared" si="93"/>
        <v>0</v>
      </c>
      <c r="V161" s="358">
        <f t="shared" si="93"/>
        <v>0</v>
      </c>
      <c r="W161" s="359">
        <f>SUM(W158:W160)</f>
        <v>0</v>
      </c>
      <c r="X161" s="1234" t="e">
        <f t="shared" si="87"/>
        <v>#DIV/0!</v>
      </c>
      <c r="Y161" s="357">
        <f t="shared" ref="Y161:AC161" si="94">SUM(Y158:Y160)</f>
        <v>0</v>
      </c>
      <c r="Z161" s="358">
        <f t="shared" si="94"/>
        <v>0</v>
      </c>
      <c r="AA161" s="358">
        <f t="shared" si="94"/>
        <v>0</v>
      </c>
      <c r="AB161" s="358">
        <f t="shared" si="94"/>
        <v>0</v>
      </c>
      <c r="AC161" s="358">
        <f t="shared" si="94"/>
        <v>0</v>
      </c>
      <c r="AD161" s="359" t="e">
        <f t="shared" si="89"/>
        <v>#DIV/0!</v>
      </c>
      <c r="AH161" s="357">
        <f>SUM(AH158:AH160)</f>
        <v>0</v>
      </c>
      <c r="AI161" s="358">
        <f t="shared" ref="AI161:AO161" si="95">SUM(AI158:AI160)</f>
        <v>0</v>
      </c>
      <c r="AJ161" s="358">
        <f t="shared" si="95"/>
        <v>0</v>
      </c>
      <c r="AK161" s="358">
        <f t="shared" si="95"/>
        <v>0</v>
      </c>
      <c r="AL161" s="359">
        <f t="shared" si="95"/>
        <v>0</v>
      </c>
      <c r="AM161" s="357">
        <f t="shared" si="95"/>
        <v>0</v>
      </c>
      <c r="AN161" s="358">
        <f t="shared" si="95"/>
        <v>0</v>
      </c>
      <c r="AO161" s="359">
        <f t="shared" si="95"/>
        <v>0</v>
      </c>
    </row>
    <row r="162" spans="1:41">
      <c r="A162" s="308"/>
      <c r="B162" s="1699" t="s">
        <v>603</v>
      </c>
      <c r="C162" s="351"/>
      <c r="D162" s="337"/>
      <c r="E162" s="337"/>
      <c r="F162" s="337"/>
      <c r="G162" s="1198"/>
      <c r="H162" s="351"/>
      <c r="I162" s="337"/>
      <c r="J162" s="337"/>
      <c r="K162" s="337"/>
      <c r="L162" s="337"/>
      <c r="M162" s="351"/>
      <c r="N162" s="337"/>
      <c r="O162" s="337"/>
      <c r="P162" s="337"/>
      <c r="Q162" s="1198"/>
      <c r="R162" s="1429"/>
      <c r="S162" s="351"/>
      <c r="T162" s="337"/>
      <c r="U162" s="337"/>
      <c r="V162" s="337"/>
      <c r="W162" s="1198"/>
      <c r="X162" s="331" t="e">
        <f t="shared" si="87"/>
        <v>#DIV/0!</v>
      </c>
      <c r="Y162" s="351"/>
      <c r="Z162" s="337"/>
      <c r="AA162" s="337"/>
      <c r="AB162" s="337"/>
      <c r="AC162" s="337"/>
      <c r="AD162" s="350" t="e">
        <f t="shared" si="89"/>
        <v>#DIV/0!</v>
      </c>
      <c r="AH162" s="2110"/>
      <c r="AI162" s="2111"/>
      <c r="AJ162" s="2111"/>
      <c r="AK162" s="2111"/>
      <c r="AL162" s="2112"/>
      <c r="AM162" s="2110"/>
      <c r="AN162" s="2111"/>
      <c r="AO162" s="2112"/>
    </row>
    <row r="163" spans="1:41">
      <c r="A163" s="308"/>
      <c r="B163" s="356" t="s">
        <v>159</v>
      </c>
      <c r="C163" s="351"/>
      <c r="D163" s="337"/>
      <c r="E163" s="337"/>
      <c r="F163" s="337"/>
      <c r="G163" s="1198"/>
      <c r="H163" s="351"/>
      <c r="I163" s="337"/>
      <c r="J163" s="337"/>
      <c r="K163" s="337"/>
      <c r="L163" s="337"/>
      <c r="M163" s="351"/>
      <c r="N163" s="337"/>
      <c r="O163" s="337"/>
      <c r="P163" s="337"/>
      <c r="Q163" s="1198"/>
      <c r="R163" s="1429"/>
      <c r="S163" s="351"/>
      <c r="T163" s="337"/>
      <c r="U163" s="337"/>
      <c r="V163" s="337"/>
      <c r="W163" s="1198"/>
      <c r="X163" s="331" t="e">
        <f t="shared" si="87"/>
        <v>#DIV/0!</v>
      </c>
      <c r="Y163" s="351"/>
      <c r="Z163" s="337"/>
      <c r="AA163" s="337"/>
      <c r="AB163" s="337"/>
      <c r="AC163" s="337"/>
      <c r="AD163" s="350" t="e">
        <f t="shared" si="89"/>
        <v>#DIV/0!</v>
      </c>
      <c r="AH163" s="2110"/>
      <c r="AI163" s="2111"/>
      <c r="AJ163" s="2111"/>
      <c r="AK163" s="2111"/>
      <c r="AL163" s="2112"/>
      <c r="AM163" s="2110"/>
      <c r="AN163" s="2111"/>
      <c r="AO163" s="2112"/>
    </row>
    <row r="164" spans="1:41">
      <c r="A164" s="308"/>
      <c r="B164" s="558" t="str">
        <f>CONCATENATE("Tottal Gross expenditure on new ", B26, " connections")</f>
        <v>Tottal Gross expenditure on new New medium density / high rise connections</v>
      </c>
      <c r="C164" s="352">
        <f>SUM(C161,C162,C163)</f>
        <v>0</v>
      </c>
      <c r="D164" s="332">
        <f t="shared" ref="D164:Q164" si="96">SUM(D161,D162,D163)</f>
        <v>0</v>
      </c>
      <c r="E164" s="332">
        <f t="shared" si="96"/>
        <v>0</v>
      </c>
      <c r="F164" s="332">
        <f t="shared" si="96"/>
        <v>0</v>
      </c>
      <c r="G164" s="353">
        <f t="shared" si="96"/>
        <v>0</v>
      </c>
      <c r="H164" s="352">
        <f t="shared" si="96"/>
        <v>0</v>
      </c>
      <c r="I164" s="332">
        <f t="shared" si="96"/>
        <v>0</v>
      </c>
      <c r="J164" s="332">
        <f t="shared" si="96"/>
        <v>0</v>
      </c>
      <c r="K164" s="332">
        <f t="shared" si="96"/>
        <v>0</v>
      </c>
      <c r="L164" s="332">
        <f t="shared" si="96"/>
        <v>0</v>
      </c>
      <c r="M164" s="352">
        <f t="shared" si="96"/>
        <v>0</v>
      </c>
      <c r="N164" s="332">
        <f t="shared" si="96"/>
        <v>0</v>
      </c>
      <c r="O164" s="332">
        <f t="shared" si="96"/>
        <v>0</v>
      </c>
      <c r="P164" s="332">
        <f t="shared" si="96"/>
        <v>0</v>
      </c>
      <c r="Q164" s="353">
        <f t="shared" si="96"/>
        <v>0</v>
      </c>
      <c r="R164" s="1429"/>
      <c r="S164" s="352">
        <f t="shared" ref="S164:W164" si="97">SUM(S161,S162,S163)</f>
        <v>0</v>
      </c>
      <c r="T164" s="332">
        <f t="shared" si="97"/>
        <v>0</v>
      </c>
      <c r="U164" s="332">
        <f t="shared" si="97"/>
        <v>0</v>
      </c>
      <c r="V164" s="332">
        <f t="shared" si="97"/>
        <v>0</v>
      </c>
      <c r="W164" s="353">
        <f t="shared" si="97"/>
        <v>0</v>
      </c>
      <c r="X164" s="1235" t="e">
        <f t="shared" si="87"/>
        <v>#DIV/0!</v>
      </c>
      <c r="Y164" s="352">
        <f t="shared" ref="Y164:AC164" si="98">SUM(Y161,Y162,Y163)</f>
        <v>0</v>
      </c>
      <c r="Z164" s="332">
        <f t="shared" si="98"/>
        <v>0</v>
      </c>
      <c r="AA164" s="332">
        <f t="shared" si="98"/>
        <v>0</v>
      </c>
      <c r="AB164" s="332">
        <f t="shared" si="98"/>
        <v>0</v>
      </c>
      <c r="AC164" s="332">
        <f t="shared" si="98"/>
        <v>0</v>
      </c>
      <c r="AD164" s="1238" t="e">
        <f t="shared" si="89"/>
        <v>#DIV/0!</v>
      </c>
      <c r="AH164" s="352">
        <f>SUM(AH161,AH162,AH163)</f>
        <v>0</v>
      </c>
      <c r="AI164" s="332">
        <f t="shared" ref="AI164:AO164" si="99">SUM(AI161,AI162,AI163)</f>
        <v>0</v>
      </c>
      <c r="AJ164" s="332">
        <f t="shared" si="99"/>
        <v>0</v>
      </c>
      <c r="AK164" s="332">
        <f t="shared" si="99"/>
        <v>0</v>
      </c>
      <c r="AL164" s="353">
        <f t="shared" si="99"/>
        <v>0</v>
      </c>
      <c r="AM164" s="352">
        <f t="shared" si="99"/>
        <v>0</v>
      </c>
      <c r="AN164" s="332">
        <f t="shared" si="99"/>
        <v>0</v>
      </c>
      <c r="AO164" s="353">
        <f t="shared" si="99"/>
        <v>0</v>
      </c>
    </row>
    <row r="165" spans="1:41">
      <c r="A165" s="308"/>
      <c r="B165" s="1688" t="s">
        <v>35</v>
      </c>
      <c r="C165" s="354"/>
      <c r="D165" s="333"/>
      <c r="E165" s="333"/>
      <c r="F165" s="333"/>
      <c r="G165" s="355"/>
      <c r="H165" s="354"/>
      <c r="I165" s="333"/>
      <c r="J165" s="333"/>
      <c r="K165" s="333"/>
      <c r="L165" s="333"/>
      <c r="M165" s="354"/>
      <c r="N165" s="333"/>
      <c r="O165" s="333"/>
      <c r="P165" s="333"/>
      <c r="Q165" s="355"/>
      <c r="R165" s="1429"/>
      <c r="S165" s="354"/>
      <c r="T165" s="333"/>
      <c r="U165" s="333"/>
      <c r="V165" s="333"/>
      <c r="W165" s="355"/>
      <c r="X165" s="1236"/>
      <c r="Y165" s="354"/>
      <c r="Z165" s="333"/>
      <c r="AA165" s="333"/>
      <c r="AB165" s="333"/>
      <c r="AC165" s="333"/>
      <c r="AD165" s="1239"/>
      <c r="AH165" s="348"/>
      <c r="AI165" s="330"/>
      <c r="AJ165" s="330"/>
      <c r="AK165" s="330"/>
      <c r="AL165" s="1197"/>
      <c r="AM165" s="348"/>
      <c r="AN165" s="330"/>
      <c r="AO165" s="1197"/>
    </row>
    <row r="166" spans="1:41" ht="13.5" thickBot="1">
      <c r="A166" s="308"/>
      <c r="B166" s="1693" t="str">
        <f>CONCATENATE("Total Net expenditure on new ", B26, " connections")</f>
        <v>Total Net expenditure on new New medium density / high rise connections</v>
      </c>
      <c r="C166" s="1199">
        <f>C164-C165</f>
        <v>0</v>
      </c>
      <c r="D166" s="1200">
        <f t="shared" ref="D166:V166" si="100">D164-D165</f>
        <v>0</v>
      </c>
      <c r="E166" s="1200">
        <f t="shared" si="100"/>
        <v>0</v>
      </c>
      <c r="F166" s="1200">
        <f t="shared" si="100"/>
        <v>0</v>
      </c>
      <c r="G166" s="1201">
        <f t="shared" si="100"/>
        <v>0</v>
      </c>
      <c r="H166" s="1199">
        <f t="shared" si="100"/>
        <v>0</v>
      </c>
      <c r="I166" s="1200">
        <f t="shared" si="100"/>
        <v>0</v>
      </c>
      <c r="J166" s="1200">
        <f t="shared" si="100"/>
        <v>0</v>
      </c>
      <c r="K166" s="1200">
        <f t="shared" si="100"/>
        <v>0</v>
      </c>
      <c r="L166" s="1200">
        <f t="shared" si="100"/>
        <v>0</v>
      </c>
      <c r="M166" s="1199">
        <f t="shared" si="100"/>
        <v>0</v>
      </c>
      <c r="N166" s="1200">
        <f t="shared" si="100"/>
        <v>0</v>
      </c>
      <c r="O166" s="1200">
        <f t="shared" si="100"/>
        <v>0</v>
      </c>
      <c r="P166" s="1200">
        <f t="shared" si="100"/>
        <v>0</v>
      </c>
      <c r="Q166" s="1201">
        <f t="shared" si="100"/>
        <v>0</v>
      </c>
      <c r="R166" s="1429"/>
      <c r="S166" s="1199">
        <f t="shared" si="100"/>
        <v>0</v>
      </c>
      <c r="T166" s="1200">
        <f t="shared" si="100"/>
        <v>0</v>
      </c>
      <c r="U166" s="1200">
        <f t="shared" si="100"/>
        <v>0</v>
      </c>
      <c r="V166" s="1200">
        <f t="shared" si="100"/>
        <v>0</v>
      </c>
      <c r="W166" s="1201">
        <f>W164-W165</f>
        <v>0</v>
      </c>
      <c r="X166" s="1235" t="e">
        <f>SUM(C166:G166)/SUM(S166:W166)-1</f>
        <v>#DIV/0!</v>
      </c>
      <c r="Y166" s="1199">
        <f t="shared" ref="Y166:AC166" si="101">Y164-Y165</f>
        <v>0</v>
      </c>
      <c r="Z166" s="1200">
        <f t="shared" si="101"/>
        <v>0</v>
      </c>
      <c r="AA166" s="1200">
        <f t="shared" si="101"/>
        <v>0</v>
      </c>
      <c r="AB166" s="1200">
        <f t="shared" si="101"/>
        <v>0</v>
      </c>
      <c r="AC166" s="1200">
        <f t="shared" si="101"/>
        <v>0</v>
      </c>
      <c r="AD166" s="1238" t="e">
        <f>SUM(H166:L166)/SUM(Y166:AC166)-1</f>
        <v>#DIV/0!</v>
      </c>
      <c r="AH166" s="2102">
        <f>AH164-AH165</f>
        <v>0</v>
      </c>
      <c r="AI166" s="1200">
        <f t="shared" ref="AI166:AO166" si="102">AI164-AI165</f>
        <v>0</v>
      </c>
      <c r="AJ166" s="1200">
        <f t="shared" si="102"/>
        <v>0</v>
      </c>
      <c r="AK166" s="1200">
        <f t="shared" si="102"/>
        <v>0</v>
      </c>
      <c r="AL166" s="1201">
        <f t="shared" si="102"/>
        <v>0</v>
      </c>
      <c r="AM166" s="2102">
        <f t="shared" si="102"/>
        <v>0</v>
      </c>
      <c r="AN166" s="1200">
        <f t="shared" si="102"/>
        <v>0</v>
      </c>
      <c r="AO166" s="1201">
        <f t="shared" si="102"/>
        <v>0</v>
      </c>
    </row>
    <row r="167" spans="1:41" s="176" customFormat="1" ht="31.5" customHeight="1" thickBot="1">
      <c r="A167" s="862"/>
      <c r="B167" s="1724" t="s">
        <v>125</v>
      </c>
      <c r="C167" s="309"/>
      <c r="D167" s="1247"/>
      <c r="E167" s="1247"/>
      <c r="F167" s="1247"/>
      <c r="G167" s="1247"/>
      <c r="H167" s="1247"/>
      <c r="I167" s="1247"/>
      <c r="J167" s="1247"/>
      <c r="K167" s="1247"/>
      <c r="L167" s="1247"/>
      <c r="M167" s="1247"/>
      <c r="N167" s="1247"/>
      <c r="O167" s="1247"/>
      <c r="P167" s="1247"/>
      <c r="Q167" s="1248"/>
      <c r="R167" s="1429"/>
      <c r="S167" s="309"/>
      <c r="T167" s="1247"/>
      <c r="U167" s="1247"/>
      <c r="V167" s="1247"/>
      <c r="W167" s="1247"/>
      <c r="X167" s="1247"/>
      <c r="Y167" s="1247"/>
      <c r="Z167" s="1247"/>
      <c r="AA167" s="1247"/>
      <c r="AB167" s="1247"/>
      <c r="AC167" s="1247"/>
      <c r="AD167" s="1248"/>
      <c r="AE167"/>
      <c r="AH167" s="2107"/>
      <c r="AI167" s="2108"/>
      <c r="AJ167" s="2108"/>
      <c r="AK167" s="2108"/>
      <c r="AL167" s="2108"/>
      <c r="AM167" s="2108"/>
      <c r="AN167" s="2108"/>
      <c r="AO167" s="2109"/>
    </row>
    <row r="168" spans="1:41" ht="13.5" thickBot="1">
      <c r="A168" s="1429"/>
      <c r="B168" s="1429"/>
      <c r="C168" s="1429"/>
      <c r="D168" s="1429"/>
      <c r="E168" s="1429"/>
      <c r="F168" s="1429"/>
      <c r="G168" s="1429"/>
      <c r="H168" s="1429"/>
      <c r="I168" s="1429"/>
      <c r="J168" s="1429"/>
      <c r="K168" s="1429"/>
      <c r="L168" s="1429"/>
      <c r="M168" s="1429"/>
      <c r="N168" s="1429"/>
      <c r="O168" s="1429"/>
      <c r="P168" s="1429"/>
      <c r="Q168" s="1429"/>
      <c r="R168" s="1429"/>
      <c r="S168" s="1429"/>
      <c r="T168" s="1429"/>
      <c r="U168" s="1429"/>
      <c r="V168" s="1429"/>
      <c r="W168" s="1429"/>
      <c r="X168" s="1429"/>
      <c r="Y168" s="1429"/>
      <c r="Z168" s="1429"/>
      <c r="AA168" s="1429"/>
      <c r="AB168" s="1429"/>
      <c r="AC168" s="1429"/>
      <c r="AD168" s="1429"/>
      <c r="AH168" s="1429"/>
      <c r="AI168" s="1429"/>
      <c r="AJ168" s="1429"/>
      <c r="AK168" s="1429"/>
      <c r="AL168" s="1429"/>
      <c r="AM168" s="1429"/>
      <c r="AN168" s="1429"/>
      <c r="AO168" s="1429"/>
    </row>
    <row r="169" spans="1:41" ht="16.5" thickBot="1">
      <c r="A169" s="993"/>
      <c r="B169" s="298" t="s">
        <v>463</v>
      </c>
      <c r="C169" s="315"/>
      <c r="D169" s="315"/>
      <c r="E169" s="315"/>
      <c r="F169" s="315"/>
      <c r="G169" s="315"/>
      <c r="H169" s="315"/>
      <c r="I169" s="315"/>
      <c r="J169" s="315"/>
      <c r="K169" s="315"/>
      <c r="L169" s="315"/>
      <c r="M169" s="315"/>
      <c r="N169" s="315"/>
      <c r="O169" s="315"/>
      <c r="P169" s="315"/>
      <c r="Q169" s="316"/>
      <c r="R169" s="1429"/>
      <c r="S169" s="298"/>
      <c r="T169" s="315"/>
      <c r="U169" s="315"/>
      <c r="V169" s="315"/>
      <c r="W169" s="315"/>
      <c r="X169" s="315"/>
      <c r="Y169" s="315"/>
      <c r="Z169" s="315"/>
      <c r="AA169" s="315"/>
      <c r="AB169" s="315"/>
      <c r="AC169" s="315"/>
      <c r="AD169" s="316"/>
      <c r="AH169" s="298"/>
      <c r="AI169" s="315"/>
      <c r="AJ169" s="315"/>
      <c r="AK169" s="315"/>
      <c r="AL169" s="315"/>
      <c r="AM169" s="315"/>
      <c r="AN169" s="315"/>
      <c r="AO169" s="316"/>
    </row>
    <row r="170" spans="1:41">
      <c r="A170" s="308"/>
      <c r="B170" s="339" t="s">
        <v>120</v>
      </c>
      <c r="C170" s="341">
        <f t="shared" ref="C170:Q170" si="103">C27</f>
        <v>0</v>
      </c>
      <c r="D170" s="342">
        <f t="shared" si="103"/>
        <v>0</v>
      </c>
      <c r="E170" s="342">
        <f t="shared" si="103"/>
        <v>0</v>
      </c>
      <c r="F170" s="342">
        <f t="shared" si="103"/>
        <v>0</v>
      </c>
      <c r="G170" s="1195">
        <f t="shared" si="103"/>
        <v>0</v>
      </c>
      <c r="H170" s="341">
        <f t="shared" si="103"/>
        <v>0</v>
      </c>
      <c r="I170" s="342">
        <f t="shared" si="103"/>
        <v>0</v>
      </c>
      <c r="J170" s="342">
        <f t="shared" si="103"/>
        <v>0</v>
      </c>
      <c r="K170" s="342">
        <f t="shared" si="103"/>
        <v>0</v>
      </c>
      <c r="L170" s="342">
        <f t="shared" si="103"/>
        <v>0</v>
      </c>
      <c r="M170" s="341">
        <f t="shared" si="103"/>
        <v>0</v>
      </c>
      <c r="N170" s="342">
        <f t="shared" si="103"/>
        <v>0</v>
      </c>
      <c r="O170" s="342">
        <f t="shared" si="103"/>
        <v>0</v>
      </c>
      <c r="P170" s="342">
        <f t="shared" si="103"/>
        <v>0</v>
      </c>
      <c r="Q170" s="1195">
        <f t="shared" si="103"/>
        <v>0</v>
      </c>
      <c r="R170" s="1429"/>
      <c r="S170" s="341">
        <f t="shared" ref="S170:AC170" si="104">S27</f>
        <v>0</v>
      </c>
      <c r="T170" s="342">
        <f t="shared" si="104"/>
        <v>0</v>
      </c>
      <c r="U170" s="342">
        <f t="shared" si="104"/>
        <v>0</v>
      </c>
      <c r="V170" s="342">
        <f t="shared" si="104"/>
        <v>0</v>
      </c>
      <c r="W170" s="1195">
        <f t="shared" si="104"/>
        <v>0</v>
      </c>
      <c r="X170" s="1232" t="e">
        <f t="shared" si="104"/>
        <v>#DIV/0!</v>
      </c>
      <c r="Y170" s="341">
        <f t="shared" si="104"/>
        <v>0</v>
      </c>
      <c r="Z170" s="342">
        <f t="shared" si="104"/>
        <v>0</v>
      </c>
      <c r="AA170" s="342">
        <f t="shared" si="104"/>
        <v>0</v>
      </c>
      <c r="AB170" s="342">
        <f t="shared" si="104"/>
        <v>0</v>
      </c>
      <c r="AC170" s="342">
        <f t="shared" si="104"/>
        <v>0</v>
      </c>
      <c r="AD170" s="343" t="e">
        <f>SUM(H170:L170)/SUM(Y170:AC170)-1</f>
        <v>#DIV/0!</v>
      </c>
      <c r="AH170" s="2101">
        <f t="shared" ref="AH170:AO170" si="105">AH27</f>
        <v>0</v>
      </c>
      <c r="AI170" s="342">
        <f t="shared" si="105"/>
        <v>0</v>
      </c>
      <c r="AJ170" s="342">
        <f t="shared" si="105"/>
        <v>0</v>
      </c>
      <c r="AK170" s="342">
        <f t="shared" si="105"/>
        <v>0</v>
      </c>
      <c r="AL170" s="1195">
        <f t="shared" si="105"/>
        <v>0</v>
      </c>
      <c r="AM170" s="2101">
        <f t="shared" si="105"/>
        <v>0</v>
      </c>
      <c r="AN170" s="342">
        <f t="shared" si="105"/>
        <v>0</v>
      </c>
      <c r="AO170" s="1195">
        <f t="shared" si="105"/>
        <v>0</v>
      </c>
    </row>
    <row r="171" spans="1:41">
      <c r="A171" s="308"/>
      <c r="B171" s="1695" t="s">
        <v>594</v>
      </c>
      <c r="C171" s="344"/>
      <c r="D171" s="334"/>
      <c r="E171" s="334"/>
      <c r="F171" s="334"/>
      <c r="G171" s="345"/>
      <c r="H171" s="344"/>
      <c r="I171" s="334"/>
      <c r="J171" s="334"/>
      <c r="K171" s="334"/>
      <c r="L171" s="334"/>
      <c r="M171" s="344"/>
      <c r="N171" s="334"/>
      <c r="O171" s="334"/>
      <c r="P171" s="334"/>
      <c r="Q171" s="345"/>
      <c r="R171" s="1429"/>
      <c r="S171" s="344"/>
      <c r="T171" s="334"/>
      <c r="U171" s="334"/>
      <c r="V171" s="334"/>
      <c r="W171" s="345"/>
      <c r="X171" s="334"/>
      <c r="Y171" s="344"/>
      <c r="Z171" s="334"/>
      <c r="AA171" s="334"/>
      <c r="AB171" s="334"/>
      <c r="AC171" s="334"/>
      <c r="AD171" s="345"/>
      <c r="AH171" s="344"/>
      <c r="AI171" s="334"/>
      <c r="AJ171" s="334"/>
      <c r="AK171" s="334"/>
      <c r="AL171" s="345"/>
      <c r="AM171" s="344"/>
      <c r="AN171" s="334"/>
      <c r="AO171" s="345"/>
    </row>
    <row r="172" spans="1:41">
      <c r="A172" s="308"/>
      <c r="B172" s="1696" t="s">
        <v>57</v>
      </c>
      <c r="C172" s="301"/>
      <c r="D172" s="516"/>
      <c r="E172" s="516"/>
      <c r="F172" s="516"/>
      <c r="G172" s="327"/>
      <c r="H172" s="301"/>
      <c r="I172" s="516"/>
      <c r="J172" s="516"/>
      <c r="K172" s="516"/>
      <c r="L172" s="516"/>
      <c r="M172" s="301"/>
      <c r="N172" s="516"/>
      <c r="O172" s="516"/>
      <c r="P172" s="516"/>
      <c r="Q172" s="327"/>
      <c r="R172" s="1429"/>
      <c r="S172" s="301"/>
      <c r="T172" s="516"/>
      <c r="U172" s="516"/>
      <c r="V172" s="516"/>
      <c r="W172" s="327"/>
      <c r="X172" s="1233" t="e">
        <f>SUM(C172:G172)/SUM(S172:W172)-1</f>
        <v>#DIV/0!</v>
      </c>
      <c r="Y172" s="301"/>
      <c r="Z172" s="516"/>
      <c r="AA172" s="516"/>
      <c r="AB172" s="516"/>
      <c r="AC172" s="516"/>
      <c r="AD172" s="1237" t="e">
        <f>SUM(H172:L172)/SUM(Y172:AC172)-1</f>
        <v>#DIV/0!</v>
      </c>
      <c r="AH172" s="305"/>
      <c r="AI172" s="521"/>
      <c r="AJ172" s="521"/>
      <c r="AK172" s="521"/>
      <c r="AL172" s="329"/>
      <c r="AM172" s="305"/>
      <c r="AN172" s="521"/>
      <c r="AO172" s="329"/>
    </row>
    <row r="173" spans="1:41">
      <c r="A173" s="308"/>
      <c r="B173" s="1696" t="s">
        <v>60</v>
      </c>
      <c r="C173" s="301"/>
      <c r="D173" s="516"/>
      <c r="E173" s="516"/>
      <c r="F173" s="516"/>
      <c r="G173" s="327"/>
      <c r="H173" s="301"/>
      <c r="I173" s="516"/>
      <c r="J173" s="516"/>
      <c r="K173" s="516"/>
      <c r="L173" s="516"/>
      <c r="M173" s="301"/>
      <c r="N173" s="516"/>
      <c r="O173" s="516"/>
      <c r="P173" s="516"/>
      <c r="Q173" s="327"/>
      <c r="R173" s="1429"/>
      <c r="S173" s="301"/>
      <c r="T173" s="516"/>
      <c r="U173" s="516"/>
      <c r="V173" s="516"/>
      <c r="W173" s="327"/>
      <c r="X173" s="1233" t="e">
        <f>SUM(C173:G173)/SUM(S173:W173)-1</f>
        <v>#DIV/0!</v>
      </c>
      <c r="Y173" s="301"/>
      <c r="Z173" s="516"/>
      <c r="AA173" s="516"/>
      <c r="AB173" s="516"/>
      <c r="AC173" s="516"/>
      <c r="AD173" s="1237" t="e">
        <f>SUM(H173:L173)/SUM(Y173:AC173)-1</f>
        <v>#DIV/0!</v>
      </c>
      <c r="AH173" s="305"/>
      <c r="AI173" s="521"/>
      <c r="AJ173" s="521"/>
      <c r="AK173" s="521"/>
      <c r="AL173" s="329"/>
      <c r="AM173" s="305"/>
      <c r="AN173" s="521"/>
      <c r="AO173" s="329"/>
    </row>
    <row r="174" spans="1:41">
      <c r="A174" s="308"/>
      <c r="B174" s="1696" t="s">
        <v>61</v>
      </c>
      <c r="C174" s="301"/>
      <c r="D174" s="516"/>
      <c r="E174" s="516"/>
      <c r="F174" s="516"/>
      <c r="G174" s="327"/>
      <c r="H174" s="301"/>
      <c r="I174" s="516"/>
      <c r="J174" s="516"/>
      <c r="K174" s="516"/>
      <c r="L174" s="516"/>
      <c r="M174" s="301"/>
      <c r="N174" s="516"/>
      <c r="O174" s="516"/>
      <c r="P174" s="516"/>
      <c r="Q174" s="327"/>
      <c r="R174" s="1429"/>
      <c r="S174" s="301"/>
      <c r="T174" s="516"/>
      <c r="U174" s="516"/>
      <c r="V174" s="516"/>
      <c r="W174" s="327"/>
      <c r="X174" s="1233" t="e">
        <f>SUM(C174:G174)/SUM(S174:W174)-1</f>
        <v>#DIV/0!</v>
      </c>
      <c r="Y174" s="301"/>
      <c r="Z174" s="516"/>
      <c r="AA174" s="516"/>
      <c r="AB174" s="516"/>
      <c r="AC174" s="516"/>
      <c r="AD174" s="1237" t="e">
        <f>SUM(H174:L174)/SUM(Y174:AC174)-1</f>
        <v>#DIV/0!</v>
      </c>
      <c r="AH174" s="305"/>
      <c r="AI174" s="521"/>
      <c r="AJ174" s="521"/>
      <c r="AK174" s="521"/>
      <c r="AL174" s="329"/>
      <c r="AM174" s="305"/>
      <c r="AN174" s="521"/>
      <c r="AO174" s="329"/>
    </row>
    <row r="175" spans="1:41">
      <c r="A175" s="308"/>
      <c r="B175" s="1698" t="s">
        <v>599</v>
      </c>
      <c r="C175" s="305">
        <f t="shared" ref="C175:W175" si="106">SUM(C172:C174)</f>
        <v>0</v>
      </c>
      <c r="D175" s="521">
        <f t="shared" si="106"/>
        <v>0</v>
      </c>
      <c r="E175" s="521">
        <f t="shared" si="106"/>
        <v>0</v>
      </c>
      <c r="F175" s="521">
        <f t="shared" si="106"/>
        <v>0</v>
      </c>
      <c r="G175" s="329">
        <f t="shared" si="106"/>
        <v>0</v>
      </c>
      <c r="H175" s="305">
        <f t="shared" si="106"/>
        <v>0</v>
      </c>
      <c r="I175" s="521">
        <f t="shared" si="106"/>
        <v>0</v>
      </c>
      <c r="J175" s="521">
        <f t="shared" si="106"/>
        <v>0</v>
      </c>
      <c r="K175" s="521">
        <f t="shared" si="106"/>
        <v>0</v>
      </c>
      <c r="L175" s="521">
        <f t="shared" si="106"/>
        <v>0</v>
      </c>
      <c r="M175" s="305">
        <f t="shared" si="106"/>
        <v>0</v>
      </c>
      <c r="N175" s="521">
        <f t="shared" si="106"/>
        <v>0</v>
      </c>
      <c r="O175" s="521">
        <f t="shared" si="106"/>
        <v>0</v>
      </c>
      <c r="P175" s="521">
        <f t="shared" si="106"/>
        <v>0</v>
      </c>
      <c r="Q175" s="329">
        <f t="shared" si="106"/>
        <v>0</v>
      </c>
      <c r="R175" s="1429"/>
      <c r="S175" s="305">
        <f t="shared" si="106"/>
        <v>0</v>
      </c>
      <c r="T175" s="521">
        <f t="shared" si="106"/>
        <v>0</v>
      </c>
      <c r="U175" s="521">
        <f t="shared" si="106"/>
        <v>0</v>
      </c>
      <c r="V175" s="521">
        <f t="shared" si="106"/>
        <v>0</v>
      </c>
      <c r="W175" s="329">
        <f t="shared" si="106"/>
        <v>0</v>
      </c>
      <c r="X175" s="1233" t="e">
        <f>SUM(C175:G175)/SUM(S175:W175)-1</f>
        <v>#DIV/0!</v>
      </c>
      <c r="Y175" s="305">
        <f t="shared" ref="Y175:AC175" si="107">SUM(Y172:Y174)</f>
        <v>0</v>
      </c>
      <c r="Z175" s="521">
        <f t="shared" si="107"/>
        <v>0</v>
      </c>
      <c r="AA175" s="521">
        <f t="shared" si="107"/>
        <v>0</v>
      </c>
      <c r="AB175" s="521">
        <f t="shared" si="107"/>
        <v>0</v>
      </c>
      <c r="AC175" s="521">
        <f t="shared" si="107"/>
        <v>0</v>
      </c>
      <c r="AD175" s="1237" t="e">
        <f>SUM(H175:L175)/SUM(Y175:AC175)-1</f>
        <v>#DIV/0!</v>
      </c>
      <c r="AH175" s="305">
        <f t="shared" ref="AH175:AO175" si="108">SUM(AH172:AH174)</f>
        <v>0</v>
      </c>
      <c r="AI175" s="521">
        <f t="shared" si="108"/>
        <v>0</v>
      </c>
      <c r="AJ175" s="521">
        <f t="shared" si="108"/>
        <v>0</v>
      </c>
      <c r="AK175" s="521">
        <f t="shared" si="108"/>
        <v>0</v>
      </c>
      <c r="AL175" s="329">
        <f t="shared" si="108"/>
        <v>0</v>
      </c>
      <c r="AM175" s="305">
        <f t="shared" si="108"/>
        <v>0</v>
      </c>
      <c r="AN175" s="521">
        <f t="shared" si="108"/>
        <v>0</v>
      </c>
      <c r="AO175" s="329">
        <f t="shared" si="108"/>
        <v>0</v>
      </c>
    </row>
    <row r="176" spans="1:41">
      <c r="A176" s="308"/>
      <c r="B176" s="1694" t="s">
        <v>595</v>
      </c>
      <c r="C176" s="344"/>
      <c r="D176" s="334"/>
      <c r="E176" s="334"/>
      <c r="F176" s="334"/>
      <c r="G176" s="345"/>
      <c r="H176" s="344"/>
      <c r="I176" s="334"/>
      <c r="J176" s="334"/>
      <c r="K176" s="334"/>
      <c r="L176" s="334"/>
      <c r="M176" s="344"/>
      <c r="N176" s="334"/>
      <c r="O176" s="334"/>
      <c r="P176" s="334"/>
      <c r="Q176" s="345"/>
      <c r="R176" s="1429"/>
      <c r="S176" s="344"/>
      <c r="T176" s="334"/>
      <c r="U176" s="334"/>
      <c r="V176" s="334"/>
      <c r="W176" s="345"/>
      <c r="X176" s="334"/>
      <c r="Y176" s="344"/>
      <c r="Z176" s="334"/>
      <c r="AA176" s="334"/>
      <c r="AB176" s="334"/>
      <c r="AC176" s="334"/>
      <c r="AD176" s="345"/>
      <c r="AH176" s="344"/>
      <c r="AI176" s="334"/>
      <c r="AJ176" s="334"/>
      <c r="AK176" s="334"/>
      <c r="AL176" s="345"/>
      <c r="AM176" s="344"/>
      <c r="AN176" s="334"/>
      <c r="AO176" s="345"/>
    </row>
    <row r="177" spans="1:41">
      <c r="A177" s="308"/>
      <c r="B177" s="340" t="s">
        <v>57</v>
      </c>
      <c r="C177" s="301"/>
      <c r="D177" s="516"/>
      <c r="E177" s="516"/>
      <c r="F177" s="516"/>
      <c r="G177" s="327"/>
      <c r="H177" s="301"/>
      <c r="I177" s="516"/>
      <c r="J177" s="516"/>
      <c r="K177" s="516"/>
      <c r="L177" s="516"/>
      <c r="M177" s="301"/>
      <c r="N177" s="516"/>
      <c r="O177" s="516"/>
      <c r="P177" s="516"/>
      <c r="Q177" s="327"/>
      <c r="R177" s="1429"/>
      <c r="S177" s="301"/>
      <c r="T177" s="516"/>
      <c r="U177" s="516"/>
      <c r="V177" s="516"/>
      <c r="W177" s="327"/>
      <c r="X177" s="1233" t="e">
        <f>SUM(C177:G177)/SUM(S177:W177)-1</f>
        <v>#DIV/0!</v>
      </c>
      <c r="Y177" s="301"/>
      <c r="Z177" s="516"/>
      <c r="AA177" s="516"/>
      <c r="AB177" s="516"/>
      <c r="AC177" s="516"/>
      <c r="AD177" s="1237" t="e">
        <f>SUM(H177:L177)/SUM(Y177:AC177)-1</f>
        <v>#DIV/0!</v>
      </c>
      <c r="AH177" s="305"/>
      <c r="AI177" s="521"/>
      <c r="AJ177" s="521"/>
      <c r="AK177" s="521"/>
      <c r="AL177" s="329"/>
      <c r="AM177" s="305"/>
      <c r="AN177" s="521"/>
      <c r="AO177" s="329"/>
    </row>
    <row r="178" spans="1:41">
      <c r="A178" s="308"/>
      <c r="B178" s="340" t="s">
        <v>60</v>
      </c>
      <c r="C178" s="301"/>
      <c r="D178" s="516"/>
      <c r="E178" s="516"/>
      <c r="F178" s="516"/>
      <c r="G178" s="327"/>
      <c r="H178" s="301"/>
      <c r="I178" s="516"/>
      <c r="J178" s="516"/>
      <c r="K178" s="516"/>
      <c r="L178" s="516"/>
      <c r="M178" s="301"/>
      <c r="N178" s="516"/>
      <c r="O178" s="516"/>
      <c r="P178" s="516"/>
      <c r="Q178" s="327"/>
      <c r="R178" s="1429"/>
      <c r="S178" s="301"/>
      <c r="T178" s="516"/>
      <c r="U178" s="516"/>
      <c r="V178" s="516"/>
      <c r="W178" s="327"/>
      <c r="X178" s="1233" t="e">
        <f>SUM(C178:G178)/SUM(S178:W178)-1</f>
        <v>#DIV/0!</v>
      </c>
      <c r="Y178" s="301"/>
      <c r="Z178" s="516"/>
      <c r="AA178" s="516"/>
      <c r="AB178" s="516"/>
      <c r="AC178" s="516"/>
      <c r="AD178" s="1237" t="e">
        <f>SUM(H178:L178)/SUM(Y178:AC178)-1</f>
        <v>#DIV/0!</v>
      </c>
      <c r="AH178" s="305"/>
      <c r="AI178" s="521"/>
      <c r="AJ178" s="521"/>
      <c r="AK178" s="521"/>
      <c r="AL178" s="329"/>
      <c r="AM178" s="305"/>
      <c r="AN178" s="521"/>
      <c r="AO178" s="329"/>
    </row>
    <row r="179" spans="1:41">
      <c r="A179" s="308"/>
      <c r="B179" s="340" t="s">
        <v>61</v>
      </c>
      <c r="C179" s="301"/>
      <c r="D179" s="516"/>
      <c r="E179" s="516"/>
      <c r="F179" s="516"/>
      <c r="G179" s="327"/>
      <c r="H179" s="301"/>
      <c r="I179" s="516"/>
      <c r="J179" s="516"/>
      <c r="K179" s="516"/>
      <c r="L179" s="516"/>
      <c r="M179" s="301"/>
      <c r="N179" s="516"/>
      <c r="O179" s="516"/>
      <c r="P179" s="516"/>
      <c r="Q179" s="327"/>
      <c r="R179" s="1429"/>
      <c r="S179" s="301"/>
      <c r="T179" s="516"/>
      <c r="U179" s="516"/>
      <c r="V179" s="516"/>
      <c r="W179" s="327"/>
      <c r="X179" s="1233" t="e">
        <f>SUM(C179:G179)/SUM(S179:W179)-1</f>
        <v>#DIV/0!</v>
      </c>
      <c r="Y179" s="301"/>
      <c r="Z179" s="516"/>
      <c r="AA179" s="516"/>
      <c r="AB179" s="516"/>
      <c r="AC179" s="516"/>
      <c r="AD179" s="1237" t="e">
        <f>SUM(H179:L179)/SUM(Y179:AC179)-1</f>
        <v>#DIV/0!</v>
      </c>
      <c r="AH179" s="305"/>
      <c r="AI179" s="521"/>
      <c r="AJ179" s="521"/>
      <c r="AK179" s="521"/>
      <c r="AL179" s="329"/>
      <c r="AM179" s="305"/>
      <c r="AN179" s="521"/>
      <c r="AO179" s="329"/>
    </row>
    <row r="180" spans="1:41">
      <c r="A180" s="308"/>
      <c r="B180" s="1698" t="s">
        <v>596</v>
      </c>
      <c r="C180" s="305">
        <f t="shared" ref="C180:W180" si="109">SUM(C177:C179)</f>
        <v>0</v>
      </c>
      <c r="D180" s="521">
        <f t="shared" si="109"/>
        <v>0</v>
      </c>
      <c r="E180" s="521">
        <f t="shared" si="109"/>
        <v>0</v>
      </c>
      <c r="F180" s="521">
        <f t="shared" si="109"/>
        <v>0</v>
      </c>
      <c r="G180" s="329">
        <f t="shared" si="109"/>
        <v>0</v>
      </c>
      <c r="H180" s="305">
        <f t="shared" si="109"/>
        <v>0</v>
      </c>
      <c r="I180" s="521">
        <f t="shared" si="109"/>
        <v>0</v>
      </c>
      <c r="J180" s="521">
        <f t="shared" si="109"/>
        <v>0</v>
      </c>
      <c r="K180" s="521">
        <f t="shared" si="109"/>
        <v>0</v>
      </c>
      <c r="L180" s="521">
        <f t="shared" si="109"/>
        <v>0</v>
      </c>
      <c r="M180" s="305">
        <f t="shared" si="109"/>
        <v>0</v>
      </c>
      <c r="N180" s="521">
        <f t="shared" si="109"/>
        <v>0</v>
      </c>
      <c r="O180" s="521">
        <f t="shared" si="109"/>
        <v>0</v>
      </c>
      <c r="P180" s="521">
        <f t="shared" si="109"/>
        <v>0</v>
      </c>
      <c r="Q180" s="329">
        <f t="shared" si="109"/>
        <v>0</v>
      </c>
      <c r="R180" s="1429"/>
      <c r="S180" s="305">
        <f t="shared" si="109"/>
        <v>0</v>
      </c>
      <c r="T180" s="521">
        <f t="shared" si="109"/>
        <v>0</v>
      </c>
      <c r="U180" s="521">
        <f t="shared" si="109"/>
        <v>0</v>
      </c>
      <c r="V180" s="521">
        <f t="shared" si="109"/>
        <v>0</v>
      </c>
      <c r="W180" s="329">
        <f t="shared" si="109"/>
        <v>0</v>
      </c>
      <c r="X180" s="1233" t="e">
        <f>SUM(C180:G180)/SUM(S180:W180)-1</f>
        <v>#DIV/0!</v>
      </c>
      <c r="Y180" s="305">
        <f t="shared" ref="Y180:AC180" si="110">SUM(Y177:Y179)</f>
        <v>0</v>
      </c>
      <c r="Z180" s="521">
        <f t="shared" si="110"/>
        <v>0</v>
      </c>
      <c r="AA180" s="521">
        <f t="shared" si="110"/>
        <v>0</v>
      </c>
      <c r="AB180" s="521">
        <f t="shared" si="110"/>
        <v>0</v>
      </c>
      <c r="AC180" s="521">
        <f t="shared" si="110"/>
        <v>0</v>
      </c>
      <c r="AD180" s="1237" t="e">
        <f>SUM(H180:L180)/SUM(Y180:AC180)-1</f>
        <v>#DIV/0!</v>
      </c>
      <c r="AH180" s="305">
        <f t="shared" ref="AH180:AO180" si="111">SUM(AH177:AH179)</f>
        <v>0</v>
      </c>
      <c r="AI180" s="521">
        <f t="shared" si="111"/>
        <v>0</v>
      </c>
      <c r="AJ180" s="521">
        <f t="shared" si="111"/>
        <v>0</v>
      </c>
      <c r="AK180" s="521">
        <f t="shared" si="111"/>
        <v>0</v>
      </c>
      <c r="AL180" s="329">
        <f t="shared" si="111"/>
        <v>0</v>
      </c>
      <c r="AM180" s="305">
        <f t="shared" si="111"/>
        <v>0</v>
      </c>
      <c r="AN180" s="521">
        <f t="shared" si="111"/>
        <v>0</v>
      </c>
      <c r="AO180" s="329">
        <f t="shared" si="111"/>
        <v>0</v>
      </c>
    </row>
    <row r="181" spans="1:41">
      <c r="A181" s="308"/>
      <c r="B181" s="1697" t="s">
        <v>600</v>
      </c>
      <c r="C181" s="344"/>
      <c r="D181" s="334"/>
      <c r="E181" s="334"/>
      <c r="F181" s="334"/>
      <c r="G181" s="345"/>
      <c r="H181" s="344"/>
      <c r="I181" s="334"/>
      <c r="J181" s="334"/>
      <c r="K181" s="334"/>
      <c r="L181" s="334"/>
      <c r="M181" s="344"/>
      <c r="N181" s="334"/>
      <c r="O181" s="334"/>
      <c r="P181" s="334"/>
      <c r="Q181" s="345"/>
      <c r="R181" s="1429"/>
      <c r="S181" s="344"/>
      <c r="T181" s="334"/>
      <c r="U181" s="334"/>
      <c r="V181" s="334"/>
      <c r="W181" s="345"/>
      <c r="X181" s="334"/>
      <c r="Y181" s="344"/>
      <c r="Z181" s="334"/>
      <c r="AA181" s="334"/>
      <c r="AB181" s="334"/>
      <c r="AC181" s="334"/>
      <c r="AD181" s="345"/>
      <c r="AH181" s="344"/>
      <c r="AI181" s="334"/>
      <c r="AJ181" s="334"/>
      <c r="AK181" s="334"/>
      <c r="AL181" s="345"/>
      <c r="AM181" s="344"/>
      <c r="AN181" s="334"/>
      <c r="AO181" s="345"/>
    </row>
    <row r="182" spans="1:41">
      <c r="A182" s="308"/>
      <c r="B182" s="1696" t="s">
        <v>57</v>
      </c>
      <c r="C182" s="301"/>
      <c r="D182" s="516"/>
      <c r="E182" s="516"/>
      <c r="F182" s="516"/>
      <c r="G182" s="327"/>
      <c r="H182" s="301"/>
      <c r="I182" s="516"/>
      <c r="J182" s="516"/>
      <c r="K182" s="516"/>
      <c r="L182" s="516"/>
      <c r="M182" s="301"/>
      <c r="N182" s="516"/>
      <c r="O182" s="516"/>
      <c r="P182" s="516"/>
      <c r="Q182" s="327"/>
      <c r="R182" s="1429"/>
      <c r="S182" s="301"/>
      <c r="T182" s="516"/>
      <c r="U182" s="516"/>
      <c r="V182" s="516"/>
      <c r="W182" s="327"/>
      <c r="X182" s="1233" t="e">
        <f>SUM(C182:G182)/SUM(S182:W182)-1</f>
        <v>#DIV/0!</v>
      </c>
      <c r="Y182" s="301"/>
      <c r="Z182" s="516"/>
      <c r="AA182" s="516"/>
      <c r="AB182" s="516"/>
      <c r="AC182" s="516"/>
      <c r="AD182" s="1237" t="e">
        <f>SUM(H182:L182)/SUM(Y182:AC182)-1</f>
        <v>#DIV/0!</v>
      </c>
      <c r="AH182" s="305"/>
      <c r="AI182" s="521"/>
      <c r="AJ182" s="521"/>
      <c r="AK182" s="521"/>
      <c r="AL182" s="329"/>
      <c r="AM182" s="305"/>
      <c r="AN182" s="521"/>
      <c r="AO182" s="329"/>
    </row>
    <row r="183" spans="1:41">
      <c r="A183" s="308"/>
      <c r="B183" s="1696" t="s">
        <v>60</v>
      </c>
      <c r="C183" s="301"/>
      <c r="D183" s="516"/>
      <c r="E183" s="516"/>
      <c r="F183" s="516"/>
      <c r="G183" s="327"/>
      <c r="H183" s="301"/>
      <c r="I183" s="516"/>
      <c r="J183" s="516"/>
      <c r="K183" s="516"/>
      <c r="L183" s="516"/>
      <c r="M183" s="301"/>
      <c r="N183" s="516"/>
      <c r="O183" s="516"/>
      <c r="P183" s="516"/>
      <c r="Q183" s="327"/>
      <c r="R183" s="1429"/>
      <c r="S183" s="301"/>
      <c r="T183" s="516"/>
      <c r="U183" s="516"/>
      <c r="V183" s="516"/>
      <c r="W183" s="327"/>
      <c r="X183" s="1233" t="e">
        <f>SUM(C183:G183)/SUM(S183:W183)-1</f>
        <v>#DIV/0!</v>
      </c>
      <c r="Y183" s="301"/>
      <c r="Z183" s="516"/>
      <c r="AA183" s="516"/>
      <c r="AB183" s="516"/>
      <c r="AC183" s="516"/>
      <c r="AD183" s="1237" t="e">
        <f>SUM(H183:L183)/SUM(Y183:AC183)-1</f>
        <v>#DIV/0!</v>
      </c>
      <c r="AH183" s="305"/>
      <c r="AI183" s="521"/>
      <c r="AJ183" s="521"/>
      <c r="AK183" s="521"/>
      <c r="AL183" s="329"/>
      <c r="AM183" s="305"/>
      <c r="AN183" s="521"/>
      <c r="AO183" s="329"/>
    </row>
    <row r="184" spans="1:41">
      <c r="A184" s="308"/>
      <c r="B184" s="1696" t="s">
        <v>61</v>
      </c>
      <c r="C184" s="301"/>
      <c r="D184" s="516"/>
      <c r="E184" s="516"/>
      <c r="F184" s="516"/>
      <c r="G184" s="327"/>
      <c r="H184" s="301"/>
      <c r="I184" s="516"/>
      <c r="J184" s="516"/>
      <c r="K184" s="516"/>
      <c r="L184" s="516"/>
      <c r="M184" s="301"/>
      <c r="N184" s="516"/>
      <c r="O184" s="516"/>
      <c r="P184" s="516"/>
      <c r="Q184" s="327"/>
      <c r="R184" s="1429"/>
      <c r="S184" s="301"/>
      <c r="T184" s="516"/>
      <c r="U184" s="516"/>
      <c r="V184" s="516"/>
      <c r="W184" s="327"/>
      <c r="X184" s="1233" t="e">
        <f>SUM(C184:G184)/SUM(S184:W184)-1</f>
        <v>#DIV/0!</v>
      </c>
      <c r="Y184" s="301"/>
      <c r="Z184" s="516"/>
      <c r="AA184" s="516"/>
      <c r="AB184" s="516"/>
      <c r="AC184" s="516"/>
      <c r="AD184" s="1237" t="e">
        <f>SUM(H184:L184)/SUM(Y184:AC184)-1</f>
        <v>#DIV/0!</v>
      </c>
      <c r="AH184" s="305"/>
      <c r="AI184" s="521"/>
      <c r="AJ184" s="521"/>
      <c r="AK184" s="521"/>
      <c r="AL184" s="329"/>
      <c r="AM184" s="305"/>
      <c r="AN184" s="521"/>
      <c r="AO184" s="329"/>
    </row>
    <row r="185" spans="1:41">
      <c r="A185" s="308"/>
      <c r="B185" s="1698" t="s">
        <v>601</v>
      </c>
      <c r="C185" s="305">
        <f t="shared" ref="C185:W185" si="112">SUM(C182:C184)</f>
        <v>0</v>
      </c>
      <c r="D185" s="521">
        <f t="shared" si="112"/>
        <v>0</v>
      </c>
      <c r="E185" s="521">
        <f t="shared" si="112"/>
        <v>0</v>
      </c>
      <c r="F185" s="521">
        <f t="shared" si="112"/>
        <v>0</v>
      </c>
      <c r="G185" s="329">
        <f t="shared" si="112"/>
        <v>0</v>
      </c>
      <c r="H185" s="305">
        <f t="shared" si="112"/>
        <v>0</v>
      </c>
      <c r="I185" s="521">
        <f t="shared" si="112"/>
        <v>0</v>
      </c>
      <c r="J185" s="521">
        <f t="shared" si="112"/>
        <v>0</v>
      </c>
      <c r="K185" s="521">
        <f t="shared" si="112"/>
        <v>0</v>
      </c>
      <c r="L185" s="521">
        <f t="shared" si="112"/>
        <v>0</v>
      </c>
      <c r="M185" s="305">
        <f t="shared" si="112"/>
        <v>0</v>
      </c>
      <c r="N185" s="521">
        <f t="shared" si="112"/>
        <v>0</v>
      </c>
      <c r="O185" s="521">
        <f t="shared" si="112"/>
        <v>0</v>
      </c>
      <c r="P185" s="521">
        <f t="shared" si="112"/>
        <v>0</v>
      </c>
      <c r="Q185" s="329">
        <f t="shared" si="112"/>
        <v>0</v>
      </c>
      <c r="R185" s="1429"/>
      <c r="S185" s="305">
        <f t="shared" si="112"/>
        <v>0</v>
      </c>
      <c r="T185" s="521">
        <f t="shared" si="112"/>
        <v>0</v>
      </c>
      <c r="U185" s="521">
        <f t="shared" si="112"/>
        <v>0</v>
      </c>
      <c r="V185" s="521">
        <f t="shared" si="112"/>
        <v>0</v>
      </c>
      <c r="W185" s="329">
        <f t="shared" si="112"/>
        <v>0</v>
      </c>
      <c r="X185" s="1233" t="e">
        <f>SUM(C185:G185)/SUM(S185:W185)-1</f>
        <v>#DIV/0!</v>
      </c>
      <c r="Y185" s="305">
        <f t="shared" ref="Y185:AC185" si="113">SUM(Y182:Y184)</f>
        <v>0</v>
      </c>
      <c r="Z185" s="521">
        <f t="shared" si="113"/>
        <v>0</v>
      </c>
      <c r="AA185" s="521">
        <f t="shared" si="113"/>
        <v>0</v>
      </c>
      <c r="AB185" s="521">
        <f t="shared" si="113"/>
        <v>0</v>
      </c>
      <c r="AC185" s="521">
        <f t="shared" si="113"/>
        <v>0</v>
      </c>
      <c r="AD185" s="1237" t="e">
        <f>SUM(H185:L185)/SUM(Y185:AC185)-1</f>
        <v>#DIV/0!</v>
      </c>
      <c r="AH185" s="305">
        <f t="shared" ref="AH185:AO185" si="114">SUM(AH182:AH184)</f>
        <v>0</v>
      </c>
      <c r="AI185" s="521">
        <f t="shared" si="114"/>
        <v>0</v>
      </c>
      <c r="AJ185" s="521">
        <f t="shared" si="114"/>
        <v>0</v>
      </c>
      <c r="AK185" s="521">
        <f t="shared" si="114"/>
        <v>0</v>
      </c>
      <c r="AL185" s="329">
        <f t="shared" si="114"/>
        <v>0</v>
      </c>
      <c r="AM185" s="305">
        <f t="shared" si="114"/>
        <v>0</v>
      </c>
      <c r="AN185" s="521">
        <f t="shared" si="114"/>
        <v>0</v>
      </c>
      <c r="AO185" s="329">
        <f t="shared" si="114"/>
        <v>0</v>
      </c>
    </row>
    <row r="186" spans="1:41">
      <c r="A186" s="308"/>
      <c r="B186" s="1700" t="s">
        <v>602</v>
      </c>
      <c r="C186" s="344"/>
      <c r="D186" s="334"/>
      <c r="E186" s="334"/>
      <c r="F186" s="334"/>
      <c r="G186" s="345"/>
      <c r="H186" s="344"/>
      <c r="I186" s="334"/>
      <c r="J186" s="334"/>
      <c r="K186" s="334"/>
      <c r="L186" s="334"/>
      <c r="M186" s="344"/>
      <c r="N186" s="334"/>
      <c r="O186" s="334"/>
      <c r="P186" s="334"/>
      <c r="Q186" s="345"/>
      <c r="R186" s="1429"/>
      <c r="S186" s="344"/>
      <c r="T186" s="334"/>
      <c r="U186" s="334"/>
      <c r="V186" s="334"/>
      <c r="W186" s="345"/>
      <c r="X186" s="334"/>
      <c r="Y186" s="344"/>
      <c r="Z186" s="334"/>
      <c r="AA186" s="334"/>
      <c r="AB186" s="334"/>
      <c r="AC186" s="334"/>
      <c r="AD186" s="345"/>
      <c r="AH186" s="344"/>
      <c r="AI186" s="334"/>
      <c r="AJ186" s="334"/>
      <c r="AK186" s="334"/>
      <c r="AL186" s="345"/>
      <c r="AM186" s="344"/>
      <c r="AN186" s="334"/>
      <c r="AO186" s="345"/>
    </row>
    <row r="187" spans="1:41">
      <c r="A187" s="308"/>
      <c r="B187" s="1701" t="s">
        <v>57</v>
      </c>
      <c r="C187" s="348">
        <f t="shared" ref="C187:W189" si="115">C177+C172+C182</f>
        <v>0</v>
      </c>
      <c r="D187" s="330">
        <f t="shared" si="115"/>
        <v>0</v>
      </c>
      <c r="E187" s="330">
        <f t="shared" si="115"/>
        <v>0</v>
      </c>
      <c r="F187" s="330">
        <f t="shared" si="115"/>
        <v>0</v>
      </c>
      <c r="G187" s="1197">
        <f t="shared" si="115"/>
        <v>0</v>
      </c>
      <c r="H187" s="348">
        <f t="shared" si="115"/>
        <v>0</v>
      </c>
      <c r="I187" s="330">
        <f t="shared" si="115"/>
        <v>0</v>
      </c>
      <c r="J187" s="330">
        <f t="shared" si="115"/>
        <v>0</v>
      </c>
      <c r="K187" s="330">
        <f t="shared" si="115"/>
        <v>0</v>
      </c>
      <c r="L187" s="330">
        <f t="shared" si="115"/>
        <v>0</v>
      </c>
      <c r="M187" s="348">
        <f t="shared" si="115"/>
        <v>0</v>
      </c>
      <c r="N187" s="330">
        <f t="shared" si="115"/>
        <v>0</v>
      </c>
      <c r="O187" s="330">
        <f t="shared" si="115"/>
        <v>0</v>
      </c>
      <c r="P187" s="330">
        <f t="shared" si="115"/>
        <v>0</v>
      </c>
      <c r="Q187" s="1197">
        <f t="shared" si="115"/>
        <v>0</v>
      </c>
      <c r="R187" s="1429"/>
      <c r="S187" s="348">
        <f t="shared" si="115"/>
        <v>0</v>
      </c>
      <c r="T187" s="330">
        <f t="shared" si="115"/>
        <v>0</v>
      </c>
      <c r="U187" s="330">
        <f t="shared" si="115"/>
        <v>0</v>
      </c>
      <c r="V187" s="330">
        <f t="shared" si="115"/>
        <v>0</v>
      </c>
      <c r="W187" s="1197">
        <f t="shared" si="115"/>
        <v>0</v>
      </c>
      <c r="X187" s="331" t="e">
        <f t="shared" ref="X187:X193" si="116">SUM(C187:G187)/SUM(S187:W187)-1</f>
        <v>#DIV/0!</v>
      </c>
      <c r="Y187" s="348">
        <f t="shared" ref="Y187:AC189" si="117">Y177+Y172+Y182</f>
        <v>0</v>
      </c>
      <c r="Z187" s="330">
        <f t="shared" si="117"/>
        <v>0</v>
      </c>
      <c r="AA187" s="330">
        <f t="shared" si="117"/>
        <v>0</v>
      </c>
      <c r="AB187" s="330">
        <f t="shared" si="117"/>
        <v>0</v>
      </c>
      <c r="AC187" s="330">
        <f t="shared" si="117"/>
        <v>0</v>
      </c>
      <c r="AD187" s="350" t="e">
        <f t="shared" ref="AD187:AD193" si="118">SUM(H187:L187)/SUM(Y187:AC187)-1</f>
        <v>#DIV/0!</v>
      </c>
      <c r="AH187" s="348">
        <f t="shared" ref="AH187:AO187" si="119">AH177+AH172+AH182</f>
        <v>0</v>
      </c>
      <c r="AI187" s="330">
        <f t="shared" si="119"/>
        <v>0</v>
      </c>
      <c r="AJ187" s="330">
        <f t="shared" si="119"/>
        <v>0</v>
      </c>
      <c r="AK187" s="330">
        <f t="shared" si="119"/>
        <v>0</v>
      </c>
      <c r="AL187" s="1197">
        <f t="shared" si="119"/>
        <v>0</v>
      </c>
      <c r="AM187" s="348">
        <f t="shared" si="119"/>
        <v>0</v>
      </c>
      <c r="AN187" s="330">
        <f t="shared" si="119"/>
        <v>0</v>
      </c>
      <c r="AO187" s="1197">
        <f t="shared" si="119"/>
        <v>0</v>
      </c>
    </row>
    <row r="188" spans="1:41">
      <c r="A188" s="308"/>
      <c r="B188" s="1701" t="s">
        <v>60</v>
      </c>
      <c r="C188" s="348">
        <f t="shared" si="115"/>
        <v>0</v>
      </c>
      <c r="D188" s="330">
        <f t="shared" si="115"/>
        <v>0</v>
      </c>
      <c r="E188" s="330">
        <f t="shared" si="115"/>
        <v>0</v>
      </c>
      <c r="F188" s="330">
        <f t="shared" si="115"/>
        <v>0</v>
      </c>
      <c r="G188" s="1197">
        <f t="shared" si="115"/>
        <v>0</v>
      </c>
      <c r="H188" s="348">
        <f t="shared" si="115"/>
        <v>0</v>
      </c>
      <c r="I188" s="330">
        <f t="shared" si="115"/>
        <v>0</v>
      </c>
      <c r="J188" s="330">
        <f t="shared" si="115"/>
        <v>0</v>
      </c>
      <c r="K188" s="330">
        <f t="shared" si="115"/>
        <v>0</v>
      </c>
      <c r="L188" s="330">
        <f t="shared" si="115"/>
        <v>0</v>
      </c>
      <c r="M188" s="348">
        <f t="shared" si="115"/>
        <v>0</v>
      </c>
      <c r="N188" s="330">
        <f t="shared" si="115"/>
        <v>0</v>
      </c>
      <c r="O188" s="330">
        <f t="shared" si="115"/>
        <v>0</v>
      </c>
      <c r="P188" s="330">
        <f t="shared" si="115"/>
        <v>0</v>
      </c>
      <c r="Q188" s="1197">
        <f t="shared" si="115"/>
        <v>0</v>
      </c>
      <c r="R188" s="1429"/>
      <c r="S188" s="348">
        <f t="shared" si="115"/>
        <v>0</v>
      </c>
      <c r="T188" s="330">
        <f t="shared" si="115"/>
        <v>0</v>
      </c>
      <c r="U188" s="330">
        <f t="shared" si="115"/>
        <v>0</v>
      </c>
      <c r="V188" s="330">
        <f t="shared" si="115"/>
        <v>0</v>
      </c>
      <c r="W188" s="1197">
        <f t="shared" si="115"/>
        <v>0</v>
      </c>
      <c r="X188" s="331" t="e">
        <f t="shared" si="116"/>
        <v>#DIV/0!</v>
      </c>
      <c r="Y188" s="348">
        <f t="shared" si="117"/>
        <v>0</v>
      </c>
      <c r="Z188" s="330">
        <f t="shared" si="117"/>
        <v>0</v>
      </c>
      <c r="AA188" s="330">
        <f t="shared" si="117"/>
        <v>0</v>
      </c>
      <c r="AB188" s="330">
        <f t="shared" si="117"/>
        <v>0</v>
      </c>
      <c r="AC188" s="330">
        <f t="shared" si="117"/>
        <v>0</v>
      </c>
      <c r="AD188" s="350" t="e">
        <f t="shared" si="118"/>
        <v>#DIV/0!</v>
      </c>
      <c r="AH188" s="348">
        <f t="shared" ref="AH188:AO188" si="120">AH178+AH173+AH183</f>
        <v>0</v>
      </c>
      <c r="AI188" s="330">
        <f t="shared" si="120"/>
        <v>0</v>
      </c>
      <c r="AJ188" s="330">
        <f t="shared" si="120"/>
        <v>0</v>
      </c>
      <c r="AK188" s="330">
        <f t="shared" si="120"/>
        <v>0</v>
      </c>
      <c r="AL188" s="1197">
        <f t="shared" si="120"/>
        <v>0</v>
      </c>
      <c r="AM188" s="348">
        <f t="shared" si="120"/>
        <v>0</v>
      </c>
      <c r="AN188" s="330">
        <f t="shared" si="120"/>
        <v>0</v>
      </c>
      <c r="AO188" s="1197">
        <f t="shared" si="120"/>
        <v>0</v>
      </c>
    </row>
    <row r="189" spans="1:41">
      <c r="A189" s="308"/>
      <c r="B189" s="1701" t="s">
        <v>61</v>
      </c>
      <c r="C189" s="348">
        <f t="shared" si="115"/>
        <v>0</v>
      </c>
      <c r="D189" s="330">
        <f t="shared" si="115"/>
        <v>0</v>
      </c>
      <c r="E189" s="330">
        <f t="shared" si="115"/>
        <v>0</v>
      </c>
      <c r="F189" s="330">
        <f t="shared" si="115"/>
        <v>0</v>
      </c>
      <c r="G189" s="1197">
        <f t="shared" si="115"/>
        <v>0</v>
      </c>
      <c r="H189" s="348">
        <f t="shared" si="115"/>
        <v>0</v>
      </c>
      <c r="I189" s="330">
        <f t="shared" si="115"/>
        <v>0</v>
      </c>
      <c r="J189" s="330">
        <f t="shared" si="115"/>
        <v>0</v>
      </c>
      <c r="K189" s="330">
        <f t="shared" si="115"/>
        <v>0</v>
      </c>
      <c r="L189" s="330">
        <f t="shared" si="115"/>
        <v>0</v>
      </c>
      <c r="M189" s="348">
        <f t="shared" si="115"/>
        <v>0</v>
      </c>
      <c r="N189" s="330">
        <f t="shared" si="115"/>
        <v>0</v>
      </c>
      <c r="O189" s="330">
        <f t="shared" si="115"/>
        <v>0</v>
      </c>
      <c r="P189" s="330">
        <f t="shared" si="115"/>
        <v>0</v>
      </c>
      <c r="Q189" s="1197">
        <f t="shared" si="115"/>
        <v>0</v>
      </c>
      <c r="R189" s="1429"/>
      <c r="S189" s="348">
        <f t="shared" si="115"/>
        <v>0</v>
      </c>
      <c r="T189" s="330">
        <f t="shared" si="115"/>
        <v>0</v>
      </c>
      <c r="U189" s="330">
        <f t="shared" si="115"/>
        <v>0</v>
      </c>
      <c r="V189" s="330">
        <f t="shared" si="115"/>
        <v>0</v>
      </c>
      <c r="W189" s="1197">
        <f t="shared" si="115"/>
        <v>0</v>
      </c>
      <c r="X189" s="331" t="e">
        <f t="shared" si="116"/>
        <v>#DIV/0!</v>
      </c>
      <c r="Y189" s="348">
        <f t="shared" si="117"/>
        <v>0</v>
      </c>
      <c r="Z189" s="330">
        <f t="shared" si="117"/>
        <v>0</v>
      </c>
      <c r="AA189" s="330">
        <f t="shared" si="117"/>
        <v>0</v>
      </c>
      <c r="AB189" s="330">
        <f t="shared" si="117"/>
        <v>0</v>
      </c>
      <c r="AC189" s="330">
        <f t="shared" si="117"/>
        <v>0</v>
      </c>
      <c r="AD189" s="350" t="e">
        <f t="shared" si="118"/>
        <v>#DIV/0!</v>
      </c>
      <c r="AH189" s="348">
        <f t="shared" ref="AH189:AO189" si="121">AH179+AH174+AH184</f>
        <v>0</v>
      </c>
      <c r="AI189" s="330">
        <f t="shared" si="121"/>
        <v>0</v>
      </c>
      <c r="AJ189" s="330">
        <f t="shared" si="121"/>
        <v>0</v>
      </c>
      <c r="AK189" s="330">
        <f t="shared" si="121"/>
        <v>0</v>
      </c>
      <c r="AL189" s="1197">
        <f t="shared" si="121"/>
        <v>0</v>
      </c>
      <c r="AM189" s="348">
        <f t="shared" si="121"/>
        <v>0</v>
      </c>
      <c r="AN189" s="330">
        <f t="shared" si="121"/>
        <v>0</v>
      </c>
      <c r="AO189" s="1197">
        <f t="shared" si="121"/>
        <v>0</v>
      </c>
    </row>
    <row r="190" spans="1:41">
      <c r="A190" s="308"/>
      <c r="B190" s="1702" t="s">
        <v>602</v>
      </c>
      <c r="C190" s="357">
        <f>SUM(C187:C189)</f>
        <v>0</v>
      </c>
      <c r="D190" s="358">
        <f t="shared" ref="D190:V190" si="122">SUM(D187:D189)</f>
        <v>0</v>
      </c>
      <c r="E190" s="358">
        <f t="shared" si="122"/>
        <v>0</v>
      </c>
      <c r="F190" s="358">
        <f t="shared" si="122"/>
        <v>0</v>
      </c>
      <c r="G190" s="359">
        <f t="shared" si="122"/>
        <v>0</v>
      </c>
      <c r="H190" s="357">
        <f t="shared" si="122"/>
        <v>0</v>
      </c>
      <c r="I190" s="358">
        <f t="shared" si="122"/>
        <v>0</v>
      </c>
      <c r="J190" s="358">
        <f t="shared" si="122"/>
        <v>0</v>
      </c>
      <c r="K190" s="358">
        <f t="shared" si="122"/>
        <v>0</v>
      </c>
      <c r="L190" s="358">
        <f t="shared" si="122"/>
        <v>0</v>
      </c>
      <c r="M190" s="357">
        <f t="shared" si="122"/>
        <v>0</v>
      </c>
      <c r="N190" s="358">
        <f t="shared" si="122"/>
        <v>0</v>
      </c>
      <c r="O190" s="358">
        <f t="shared" si="122"/>
        <v>0</v>
      </c>
      <c r="P190" s="358">
        <f t="shared" si="122"/>
        <v>0</v>
      </c>
      <c r="Q190" s="359">
        <f t="shared" si="122"/>
        <v>0</v>
      </c>
      <c r="R190" s="1429"/>
      <c r="S190" s="357">
        <f t="shared" si="122"/>
        <v>0</v>
      </c>
      <c r="T190" s="358">
        <f t="shared" si="122"/>
        <v>0</v>
      </c>
      <c r="U190" s="358">
        <f t="shared" si="122"/>
        <v>0</v>
      </c>
      <c r="V190" s="358">
        <f t="shared" si="122"/>
        <v>0</v>
      </c>
      <c r="W190" s="359">
        <f>SUM(W187:W189)</f>
        <v>0</v>
      </c>
      <c r="X190" s="1234" t="e">
        <f t="shared" si="116"/>
        <v>#DIV/0!</v>
      </c>
      <c r="Y190" s="357">
        <f t="shared" ref="Y190:AC190" si="123">SUM(Y187:Y189)</f>
        <v>0</v>
      </c>
      <c r="Z190" s="358">
        <f t="shared" si="123"/>
        <v>0</v>
      </c>
      <c r="AA190" s="358">
        <f t="shared" si="123"/>
        <v>0</v>
      </c>
      <c r="AB190" s="358">
        <f t="shared" si="123"/>
        <v>0</v>
      </c>
      <c r="AC190" s="358">
        <f t="shared" si="123"/>
        <v>0</v>
      </c>
      <c r="AD190" s="359" t="e">
        <f t="shared" si="118"/>
        <v>#DIV/0!</v>
      </c>
      <c r="AH190" s="357">
        <f>SUM(AH187:AH189)</f>
        <v>0</v>
      </c>
      <c r="AI190" s="358">
        <f t="shared" ref="AI190:AO190" si="124">SUM(AI187:AI189)</f>
        <v>0</v>
      </c>
      <c r="AJ190" s="358">
        <f t="shared" si="124"/>
        <v>0</v>
      </c>
      <c r="AK190" s="358">
        <f t="shared" si="124"/>
        <v>0</v>
      </c>
      <c r="AL190" s="359">
        <f t="shared" si="124"/>
        <v>0</v>
      </c>
      <c r="AM190" s="357">
        <f t="shared" si="124"/>
        <v>0</v>
      </c>
      <c r="AN190" s="358">
        <f t="shared" si="124"/>
        <v>0</v>
      </c>
      <c r="AO190" s="359">
        <f t="shared" si="124"/>
        <v>0</v>
      </c>
    </row>
    <row r="191" spans="1:41">
      <c r="A191" s="308"/>
      <c r="B191" s="1699" t="s">
        <v>603</v>
      </c>
      <c r="C191" s="351"/>
      <c r="D191" s="337"/>
      <c r="E191" s="337"/>
      <c r="F191" s="337"/>
      <c r="G191" s="1198"/>
      <c r="H191" s="351"/>
      <c r="I191" s="337"/>
      <c r="J191" s="337"/>
      <c r="K191" s="337"/>
      <c r="L191" s="337"/>
      <c r="M191" s="351"/>
      <c r="N191" s="337"/>
      <c r="O191" s="337"/>
      <c r="P191" s="337"/>
      <c r="Q191" s="1198"/>
      <c r="R191" s="1429"/>
      <c r="S191" s="351"/>
      <c r="T191" s="337"/>
      <c r="U191" s="337"/>
      <c r="V191" s="337"/>
      <c r="W191" s="1198"/>
      <c r="X191" s="331" t="e">
        <f t="shared" si="116"/>
        <v>#DIV/0!</v>
      </c>
      <c r="Y191" s="351"/>
      <c r="Z191" s="337"/>
      <c r="AA191" s="337"/>
      <c r="AB191" s="337"/>
      <c r="AC191" s="337"/>
      <c r="AD191" s="350" t="e">
        <f t="shared" si="118"/>
        <v>#DIV/0!</v>
      </c>
      <c r="AH191" s="2110"/>
      <c r="AI191" s="2111"/>
      <c r="AJ191" s="2111"/>
      <c r="AK191" s="2111"/>
      <c r="AL191" s="2112"/>
      <c r="AM191" s="2110"/>
      <c r="AN191" s="2111"/>
      <c r="AO191" s="2112"/>
    </row>
    <row r="192" spans="1:41">
      <c r="A192" s="308"/>
      <c r="B192" s="356" t="s">
        <v>159</v>
      </c>
      <c r="C192" s="351"/>
      <c r="D192" s="337"/>
      <c r="E192" s="337"/>
      <c r="F192" s="337"/>
      <c r="G192" s="1198"/>
      <c r="H192" s="351"/>
      <c r="I192" s="337"/>
      <c r="J192" s="337"/>
      <c r="K192" s="337"/>
      <c r="L192" s="337"/>
      <c r="M192" s="351"/>
      <c r="N192" s="337"/>
      <c r="O192" s="337"/>
      <c r="P192" s="337"/>
      <c r="Q192" s="1198"/>
      <c r="R192" s="1429"/>
      <c r="S192" s="351"/>
      <c r="T192" s="337"/>
      <c r="U192" s="337"/>
      <c r="V192" s="337"/>
      <c r="W192" s="1198"/>
      <c r="X192" s="331" t="e">
        <f t="shared" si="116"/>
        <v>#DIV/0!</v>
      </c>
      <c r="Y192" s="351"/>
      <c r="Z192" s="337"/>
      <c r="AA192" s="337"/>
      <c r="AB192" s="337"/>
      <c r="AC192" s="337"/>
      <c r="AD192" s="350" t="e">
        <f t="shared" si="118"/>
        <v>#DIV/0!</v>
      </c>
      <c r="AH192" s="2110"/>
      <c r="AI192" s="2111"/>
      <c r="AJ192" s="2111"/>
      <c r="AK192" s="2111"/>
      <c r="AL192" s="2112"/>
      <c r="AM192" s="2110"/>
      <c r="AN192" s="2111"/>
      <c r="AO192" s="2112"/>
    </row>
    <row r="193" spans="1:41">
      <c r="A193" s="308"/>
      <c r="B193" s="558" t="s">
        <v>605</v>
      </c>
      <c r="C193" s="352">
        <f>SUM(C190,C191,C192)</f>
        <v>0</v>
      </c>
      <c r="D193" s="332">
        <f t="shared" ref="D193:Q193" si="125">SUM(D190,D191,D192)</f>
        <v>0</v>
      </c>
      <c r="E193" s="332">
        <f t="shared" si="125"/>
        <v>0</v>
      </c>
      <c r="F193" s="332">
        <f t="shared" si="125"/>
        <v>0</v>
      </c>
      <c r="G193" s="353">
        <f t="shared" si="125"/>
        <v>0</v>
      </c>
      <c r="H193" s="352">
        <f t="shared" si="125"/>
        <v>0</v>
      </c>
      <c r="I193" s="332">
        <f t="shared" si="125"/>
        <v>0</v>
      </c>
      <c r="J193" s="332">
        <f t="shared" si="125"/>
        <v>0</v>
      </c>
      <c r="K193" s="332">
        <f t="shared" si="125"/>
        <v>0</v>
      </c>
      <c r="L193" s="332">
        <f t="shared" si="125"/>
        <v>0</v>
      </c>
      <c r="M193" s="352">
        <f t="shared" si="125"/>
        <v>0</v>
      </c>
      <c r="N193" s="332">
        <f t="shared" si="125"/>
        <v>0</v>
      </c>
      <c r="O193" s="332">
        <f t="shared" si="125"/>
        <v>0</v>
      </c>
      <c r="P193" s="332">
        <f t="shared" si="125"/>
        <v>0</v>
      </c>
      <c r="Q193" s="353">
        <f t="shared" si="125"/>
        <v>0</v>
      </c>
      <c r="R193" s="1429"/>
      <c r="S193" s="352">
        <f t="shared" ref="S193:W193" si="126">SUM(S190,S191,S192)</f>
        <v>0</v>
      </c>
      <c r="T193" s="332">
        <f t="shared" si="126"/>
        <v>0</v>
      </c>
      <c r="U193" s="332">
        <f t="shared" si="126"/>
        <v>0</v>
      </c>
      <c r="V193" s="332">
        <f t="shared" si="126"/>
        <v>0</v>
      </c>
      <c r="W193" s="353">
        <f t="shared" si="126"/>
        <v>0</v>
      </c>
      <c r="X193" s="1235" t="e">
        <f t="shared" si="116"/>
        <v>#DIV/0!</v>
      </c>
      <c r="Y193" s="352">
        <f t="shared" ref="Y193:AC193" si="127">SUM(Y190,Y191,Y192)</f>
        <v>0</v>
      </c>
      <c r="Z193" s="332">
        <f t="shared" si="127"/>
        <v>0</v>
      </c>
      <c r="AA193" s="332">
        <f t="shared" si="127"/>
        <v>0</v>
      </c>
      <c r="AB193" s="332">
        <f t="shared" si="127"/>
        <v>0</v>
      </c>
      <c r="AC193" s="332">
        <f t="shared" si="127"/>
        <v>0</v>
      </c>
      <c r="AD193" s="1238" t="e">
        <f t="shared" si="118"/>
        <v>#DIV/0!</v>
      </c>
      <c r="AH193" s="352">
        <f>SUM(AH190,AH191,AH192)</f>
        <v>0</v>
      </c>
      <c r="AI193" s="332">
        <f t="shared" ref="AI193:AO193" si="128">SUM(AI190,AI191,AI192)</f>
        <v>0</v>
      </c>
      <c r="AJ193" s="332">
        <f t="shared" si="128"/>
        <v>0</v>
      </c>
      <c r="AK193" s="332">
        <f t="shared" si="128"/>
        <v>0</v>
      </c>
      <c r="AL193" s="353">
        <f t="shared" si="128"/>
        <v>0</v>
      </c>
      <c r="AM193" s="352">
        <f t="shared" si="128"/>
        <v>0</v>
      </c>
      <c r="AN193" s="332">
        <f t="shared" si="128"/>
        <v>0</v>
      </c>
      <c r="AO193" s="353">
        <f t="shared" si="128"/>
        <v>0</v>
      </c>
    </row>
    <row r="194" spans="1:41">
      <c r="A194" s="308"/>
      <c r="B194" s="1688" t="s">
        <v>35</v>
      </c>
      <c r="C194" s="354"/>
      <c r="D194" s="333"/>
      <c r="E194" s="333"/>
      <c r="F194" s="333"/>
      <c r="G194" s="355"/>
      <c r="H194" s="354"/>
      <c r="I194" s="333"/>
      <c r="J194" s="333"/>
      <c r="K194" s="333"/>
      <c r="L194" s="333"/>
      <c r="M194" s="354"/>
      <c r="N194" s="333"/>
      <c r="O194" s="333"/>
      <c r="P194" s="333"/>
      <c r="Q194" s="355"/>
      <c r="R194" s="1429"/>
      <c r="S194" s="354"/>
      <c r="T194" s="333"/>
      <c r="U194" s="333"/>
      <c r="V194" s="333"/>
      <c r="W194" s="355"/>
      <c r="X194" s="1236"/>
      <c r="Y194" s="354"/>
      <c r="Z194" s="333"/>
      <c r="AA194" s="333"/>
      <c r="AB194" s="333"/>
      <c r="AC194" s="333"/>
      <c r="AD194" s="1239"/>
      <c r="AH194" s="348"/>
      <c r="AI194" s="330"/>
      <c r="AJ194" s="330"/>
      <c r="AK194" s="330"/>
      <c r="AL194" s="1197"/>
      <c r="AM194" s="348"/>
      <c r="AN194" s="330"/>
      <c r="AO194" s="1197"/>
    </row>
    <row r="195" spans="1:41" ht="13.5" thickBot="1">
      <c r="A195" s="308"/>
      <c r="B195" s="1693" t="s">
        <v>606</v>
      </c>
      <c r="C195" s="1199">
        <f>C193-C194</f>
        <v>0</v>
      </c>
      <c r="D195" s="1200">
        <f t="shared" ref="D195:V195" si="129">D193-D194</f>
        <v>0</v>
      </c>
      <c r="E195" s="1200">
        <f t="shared" si="129"/>
        <v>0</v>
      </c>
      <c r="F195" s="1200">
        <f t="shared" si="129"/>
        <v>0</v>
      </c>
      <c r="G195" s="1201">
        <f t="shared" si="129"/>
        <v>0</v>
      </c>
      <c r="H195" s="1199">
        <f t="shared" si="129"/>
        <v>0</v>
      </c>
      <c r="I195" s="1200">
        <f t="shared" si="129"/>
        <v>0</v>
      </c>
      <c r="J195" s="1200">
        <f t="shared" si="129"/>
        <v>0</v>
      </c>
      <c r="K195" s="1200">
        <f t="shared" si="129"/>
        <v>0</v>
      </c>
      <c r="L195" s="1200">
        <f t="shared" si="129"/>
        <v>0</v>
      </c>
      <c r="M195" s="1199">
        <f t="shared" si="129"/>
        <v>0</v>
      </c>
      <c r="N195" s="1200">
        <f t="shared" si="129"/>
        <v>0</v>
      </c>
      <c r="O195" s="1200">
        <f t="shared" si="129"/>
        <v>0</v>
      </c>
      <c r="P195" s="1200">
        <f t="shared" si="129"/>
        <v>0</v>
      </c>
      <c r="Q195" s="1201">
        <f t="shared" si="129"/>
        <v>0</v>
      </c>
      <c r="R195" s="1429"/>
      <c r="S195" s="1199">
        <f t="shared" si="129"/>
        <v>0</v>
      </c>
      <c r="T195" s="1200">
        <f t="shared" si="129"/>
        <v>0</v>
      </c>
      <c r="U195" s="1200">
        <f t="shared" si="129"/>
        <v>0</v>
      </c>
      <c r="V195" s="1200">
        <f t="shared" si="129"/>
        <v>0</v>
      </c>
      <c r="W195" s="1201">
        <f>W193-W194</f>
        <v>0</v>
      </c>
      <c r="X195" s="1235" t="e">
        <f>SUM(C195:G195)/SUM(S195:W195)-1</f>
        <v>#DIV/0!</v>
      </c>
      <c r="Y195" s="1199">
        <f t="shared" ref="Y195:AC195" si="130">Y193-Y194</f>
        <v>0</v>
      </c>
      <c r="Z195" s="1200">
        <f t="shared" si="130"/>
        <v>0</v>
      </c>
      <c r="AA195" s="1200">
        <f t="shared" si="130"/>
        <v>0</v>
      </c>
      <c r="AB195" s="1200">
        <f t="shared" si="130"/>
        <v>0</v>
      </c>
      <c r="AC195" s="1200">
        <f t="shared" si="130"/>
        <v>0</v>
      </c>
      <c r="AD195" s="1238" t="e">
        <f>SUM(H195:L195)/SUM(Y195:AC195)-1</f>
        <v>#DIV/0!</v>
      </c>
      <c r="AH195" s="2102">
        <f>AH193-AH194</f>
        <v>0</v>
      </c>
      <c r="AI195" s="1200">
        <f t="shared" ref="AI195:AO195" si="131">AI193-AI194</f>
        <v>0</v>
      </c>
      <c r="AJ195" s="1200">
        <f t="shared" si="131"/>
        <v>0</v>
      </c>
      <c r="AK195" s="1200">
        <f t="shared" si="131"/>
        <v>0</v>
      </c>
      <c r="AL195" s="1201">
        <f t="shared" si="131"/>
        <v>0</v>
      </c>
      <c r="AM195" s="2102">
        <f t="shared" si="131"/>
        <v>0</v>
      </c>
      <c r="AN195" s="1200">
        <f t="shared" si="131"/>
        <v>0</v>
      </c>
      <c r="AO195" s="1201">
        <f t="shared" si="131"/>
        <v>0</v>
      </c>
    </row>
    <row r="196" spans="1:41" s="176" customFormat="1" ht="31.5" customHeight="1" thickBot="1">
      <c r="A196" s="862"/>
      <c r="B196" s="1724" t="s">
        <v>125</v>
      </c>
      <c r="C196" s="309"/>
      <c r="D196" s="1247"/>
      <c r="E196" s="1247"/>
      <c r="F196" s="1247"/>
      <c r="G196" s="1247"/>
      <c r="H196" s="1247"/>
      <c r="I196" s="1247"/>
      <c r="J196" s="1247"/>
      <c r="K196" s="1247"/>
      <c r="L196" s="1247"/>
      <c r="M196" s="1247"/>
      <c r="N196" s="1247"/>
      <c r="O196" s="1247"/>
      <c r="P196" s="1247"/>
      <c r="Q196" s="1248"/>
      <c r="R196" s="1429"/>
      <c r="S196" s="309"/>
      <c r="T196" s="1247"/>
      <c r="U196" s="1247"/>
      <c r="V196" s="1247"/>
      <c r="W196" s="1247"/>
      <c r="X196" s="1247"/>
      <c r="Y196" s="1247"/>
      <c r="Z196" s="1247"/>
      <c r="AA196" s="1247"/>
      <c r="AB196" s="1247"/>
      <c r="AC196" s="1247"/>
      <c r="AD196" s="1248"/>
      <c r="AE196"/>
      <c r="AH196" s="2107"/>
      <c r="AI196" s="2108"/>
      <c r="AJ196" s="2108"/>
      <c r="AK196" s="2108"/>
      <c r="AL196" s="2108"/>
      <c r="AM196" s="2108"/>
      <c r="AN196" s="2108"/>
      <c r="AO196" s="2109"/>
    </row>
    <row r="197" spans="1:41" ht="13.5" thickBot="1">
      <c r="A197" s="1429"/>
      <c r="B197" s="1429"/>
      <c r="C197" s="1429"/>
      <c r="D197" s="1429"/>
      <c r="E197" s="1429"/>
      <c r="F197" s="1429"/>
      <c r="G197" s="1429"/>
      <c r="H197" s="1429"/>
      <c r="I197" s="1429"/>
      <c r="J197" s="1429"/>
      <c r="K197" s="1429"/>
      <c r="L197" s="1429"/>
      <c r="M197" s="1429"/>
      <c r="N197" s="1429"/>
      <c r="O197" s="1429"/>
      <c r="P197" s="1429"/>
      <c r="Q197" s="1429"/>
      <c r="R197" s="1429"/>
      <c r="S197" s="1429"/>
      <c r="T197" s="1429"/>
      <c r="U197" s="1429"/>
      <c r="V197" s="1429"/>
      <c r="W197" s="1429"/>
      <c r="X197" s="1429"/>
      <c r="Y197" s="1429"/>
      <c r="Z197" s="1429"/>
      <c r="AA197" s="1429"/>
      <c r="AB197" s="1429"/>
      <c r="AC197" s="1429"/>
      <c r="AD197" s="1429"/>
      <c r="AH197" s="1429"/>
      <c r="AI197" s="1429"/>
      <c r="AJ197" s="1429"/>
      <c r="AK197" s="1429"/>
      <c r="AL197" s="1429"/>
      <c r="AM197" s="1429"/>
      <c r="AN197" s="1429"/>
      <c r="AO197" s="1429"/>
    </row>
    <row r="198" spans="1:41" ht="16.5" thickBot="1">
      <c r="A198" s="993"/>
      <c r="B198" s="298" t="s">
        <v>361</v>
      </c>
      <c r="C198" s="315"/>
      <c r="D198" s="315"/>
      <c r="E198" s="315"/>
      <c r="F198" s="315"/>
      <c r="G198" s="315"/>
      <c r="H198" s="315"/>
      <c r="I198" s="315"/>
      <c r="J198" s="315"/>
      <c r="K198" s="315"/>
      <c r="L198" s="315"/>
      <c r="M198" s="315"/>
      <c r="N198" s="315"/>
      <c r="O198" s="315"/>
      <c r="P198" s="315"/>
      <c r="Q198" s="316"/>
      <c r="R198" s="1429"/>
      <c r="S198" s="298"/>
      <c r="T198" s="315"/>
      <c r="U198" s="315"/>
      <c r="V198" s="315"/>
      <c r="W198" s="315"/>
      <c r="X198" s="315"/>
      <c r="Y198" s="315"/>
      <c r="Z198" s="315"/>
      <c r="AA198" s="315"/>
      <c r="AB198" s="315"/>
      <c r="AC198" s="315"/>
      <c r="AD198" s="316"/>
      <c r="AH198" s="298"/>
      <c r="AI198" s="315"/>
      <c r="AJ198" s="315"/>
      <c r="AK198" s="315"/>
      <c r="AL198" s="315"/>
      <c r="AM198" s="315"/>
      <c r="AN198" s="315"/>
      <c r="AO198" s="316"/>
    </row>
    <row r="199" spans="1:41">
      <c r="A199" s="308"/>
      <c r="B199" s="339" t="s">
        <v>119</v>
      </c>
      <c r="C199" s="341">
        <f t="shared" ref="C199:Q199" si="132">C28</f>
        <v>0</v>
      </c>
      <c r="D199" s="342">
        <f t="shared" si="132"/>
        <v>0</v>
      </c>
      <c r="E199" s="342">
        <f t="shared" si="132"/>
        <v>0</v>
      </c>
      <c r="F199" s="342">
        <f t="shared" si="132"/>
        <v>0</v>
      </c>
      <c r="G199" s="1195">
        <f t="shared" si="132"/>
        <v>0</v>
      </c>
      <c r="H199" s="341">
        <f t="shared" si="132"/>
        <v>0</v>
      </c>
      <c r="I199" s="342">
        <f t="shared" si="132"/>
        <v>0</v>
      </c>
      <c r="J199" s="342">
        <f t="shared" si="132"/>
        <v>0</v>
      </c>
      <c r="K199" s="342">
        <f t="shared" si="132"/>
        <v>0</v>
      </c>
      <c r="L199" s="342">
        <f t="shared" si="132"/>
        <v>0</v>
      </c>
      <c r="M199" s="341">
        <f t="shared" si="132"/>
        <v>0</v>
      </c>
      <c r="N199" s="342">
        <f t="shared" si="132"/>
        <v>0</v>
      </c>
      <c r="O199" s="342">
        <f t="shared" si="132"/>
        <v>0</v>
      </c>
      <c r="P199" s="342">
        <f t="shared" si="132"/>
        <v>0</v>
      </c>
      <c r="Q199" s="1195">
        <f t="shared" si="132"/>
        <v>0</v>
      </c>
      <c r="R199" s="1429"/>
      <c r="S199" s="341">
        <f t="shared" ref="S199:AC199" si="133">S28</f>
        <v>0</v>
      </c>
      <c r="T199" s="342">
        <f t="shared" si="133"/>
        <v>0</v>
      </c>
      <c r="U199" s="342">
        <f t="shared" si="133"/>
        <v>0</v>
      </c>
      <c r="V199" s="342">
        <f t="shared" si="133"/>
        <v>0</v>
      </c>
      <c r="W199" s="1195">
        <f t="shared" si="133"/>
        <v>0</v>
      </c>
      <c r="X199" s="1232" t="e">
        <f t="shared" si="133"/>
        <v>#DIV/0!</v>
      </c>
      <c r="Y199" s="341">
        <f t="shared" si="133"/>
        <v>0</v>
      </c>
      <c r="Z199" s="342">
        <f t="shared" si="133"/>
        <v>0</v>
      </c>
      <c r="AA199" s="342">
        <f t="shared" si="133"/>
        <v>0</v>
      </c>
      <c r="AB199" s="342">
        <f t="shared" si="133"/>
        <v>0</v>
      </c>
      <c r="AC199" s="342">
        <f t="shared" si="133"/>
        <v>0</v>
      </c>
      <c r="AD199" s="343" t="e">
        <f>SUM(H199:L199)/SUM(Y199:AC199)-1</f>
        <v>#DIV/0!</v>
      </c>
      <c r="AH199" s="2101">
        <f t="shared" ref="AH199:AO199" si="134">AH28</f>
        <v>0</v>
      </c>
      <c r="AI199" s="342">
        <f t="shared" si="134"/>
        <v>0</v>
      </c>
      <c r="AJ199" s="342">
        <f t="shared" si="134"/>
        <v>0</v>
      </c>
      <c r="AK199" s="342">
        <f t="shared" si="134"/>
        <v>0</v>
      </c>
      <c r="AL199" s="1195">
        <f t="shared" si="134"/>
        <v>0</v>
      </c>
      <c r="AM199" s="2101">
        <f t="shared" si="134"/>
        <v>0</v>
      </c>
      <c r="AN199" s="342">
        <f t="shared" si="134"/>
        <v>0</v>
      </c>
      <c r="AO199" s="1195">
        <f t="shared" si="134"/>
        <v>0</v>
      </c>
    </row>
    <row r="200" spans="1:41">
      <c r="A200" s="308"/>
      <c r="B200" s="1695" t="s">
        <v>594</v>
      </c>
      <c r="C200" s="344"/>
      <c r="D200" s="334"/>
      <c r="E200" s="334"/>
      <c r="F200" s="334"/>
      <c r="G200" s="345"/>
      <c r="H200" s="344"/>
      <c r="I200" s="334"/>
      <c r="J200" s="334"/>
      <c r="K200" s="334"/>
      <c r="L200" s="334"/>
      <c r="M200" s="344"/>
      <c r="N200" s="334"/>
      <c r="O200" s="334"/>
      <c r="P200" s="334"/>
      <c r="Q200" s="345"/>
      <c r="R200" s="1429"/>
      <c r="S200" s="344"/>
      <c r="T200" s="334"/>
      <c r="U200" s="334"/>
      <c r="V200" s="334"/>
      <c r="W200" s="345"/>
      <c r="X200" s="334"/>
      <c r="Y200" s="344"/>
      <c r="Z200" s="334"/>
      <c r="AA200" s="334"/>
      <c r="AB200" s="334"/>
      <c r="AC200" s="334"/>
      <c r="AD200" s="345"/>
      <c r="AH200" s="344"/>
      <c r="AI200" s="334"/>
      <c r="AJ200" s="334"/>
      <c r="AK200" s="334"/>
      <c r="AL200" s="345"/>
      <c r="AM200" s="344"/>
      <c r="AN200" s="334"/>
      <c r="AO200" s="345"/>
    </row>
    <row r="201" spans="1:41">
      <c r="A201" s="308"/>
      <c r="B201" s="1696" t="s">
        <v>57</v>
      </c>
      <c r="C201" s="301"/>
      <c r="D201" s="516"/>
      <c r="E201" s="516"/>
      <c r="F201" s="516"/>
      <c r="G201" s="327"/>
      <c r="H201" s="301"/>
      <c r="I201" s="516"/>
      <c r="J201" s="516"/>
      <c r="K201" s="516"/>
      <c r="L201" s="516"/>
      <c r="M201" s="301"/>
      <c r="N201" s="516"/>
      <c r="O201" s="516"/>
      <c r="P201" s="516"/>
      <c r="Q201" s="327"/>
      <c r="R201" s="1429"/>
      <c r="S201" s="301"/>
      <c r="T201" s="516"/>
      <c r="U201" s="516"/>
      <c r="V201" s="516"/>
      <c r="W201" s="327"/>
      <c r="X201" s="1233" t="e">
        <f>SUM(C201:G201)/SUM(S201:W201)-1</f>
        <v>#DIV/0!</v>
      </c>
      <c r="Y201" s="301"/>
      <c r="Z201" s="516"/>
      <c r="AA201" s="516"/>
      <c r="AB201" s="516"/>
      <c r="AC201" s="516"/>
      <c r="AD201" s="1237" t="e">
        <f>SUM(H201:L201)/SUM(Y201:AC201)-1</f>
        <v>#DIV/0!</v>
      </c>
      <c r="AH201" s="305"/>
      <c r="AI201" s="521"/>
      <c r="AJ201" s="521"/>
      <c r="AK201" s="521"/>
      <c r="AL201" s="329"/>
      <c r="AM201" s="305"/>
      <c r="AN201" s="521"/>
      <c r="AO201" s="329"/>
    </row>
    <row r="202" spans="1:41">
      <c r="A202" s="308"/>
      <c r="B202" s="1696" t="s">
        <v>60</v>
      </c>
      <c r="C202" s="301"/>
      <c r="D202" s="516"/>
      <c r="E202" s="516"/>
      <c r="F202" s="516"/>
      <c r="G202" s="327"/>
      <c r="H202" s="301"/>
      <c r="I202" s="516"/>
      <c r="J202" s="516"/>
      <c r="K202" s="516"/>
      <c r="L202" s="516"/>
      <c r="M202" s="301"/>
      <c r="N202" s="516"/>
      <c r="O202" s="516"/>
      <c r="P202" s="516"/>
      <c r="Q202" s="327"/>
      <c r="R202" s="1429"/>
      <c r="S202" s="301"/>
      <c r="T202" s="516"/>
      <c r="U202" s="516"/>
      <c r="V202" s="516"/>
      <c r="W202" s="327"/>
      <c r="X202" s="1233" t="e">
        <f>SUM(C202:G202)/SUM(S202:W202)-1</f>
        <v>#DIV/0!</v>
      </c>
      <c r="Y202" s="301"/>
      <c r="Z202" s="516"/>
      <c r="AA202" s="516"/>
      <c r="AB202" s="516"/>
      <c r="AC202" s="516"/>
      <c r="AD202" s="1237" t="e">
        <f>SUM(H202:L202)/SUM(Y202:AC202)-1</f>
        <v>#DIV/0!</v>
      </c>
      <c r="AH202" s="305"/>
      <c r="AI202" s="521"/>
      <c r="AJ202" s="521"/>
      <c r="AK202" s="521"/>
      <c r="AL202" s="329"/>
      <c r="AM202" s="305"/>
      <c r="AN202" s="521"/>
      <c r="AO202" s="329"/>
    </row>
    <row r="203" spans="1:41">
      <c r="A203" s="308"/>
      <c r="B203" s="1696" t="s">
        <v>61</v>
      </c>
      <c r="C203" s="301"/>
      <c r="D203" s="516"/>
      <c r="E203" s="516"/>
      <c r="F203" s="516"/>
      <c r="G203" s="327"/>
      <c r="H203" s="301"/>
      <c r="I203" s="516"/>
      <c r="J203" s="516"/>
      <c r="K203" s="516"/>
      <c r="L203" s="516"/>
      <c r="M203" s="301"/>
      <c r="N203" s="516"/>
      <c r="O203" s="516"/>
      <c r="P203" s="516"/>
      <c r="Q203" s="327"/>
      <c r="R203" s="1429"/>
      <c r="S203" s="301"/>
      <c r="T203" s="516"/>
      <c r="U203" s="516"/>
      <c r="V203" s="516"/>
      <c r="W203" s="327"/>
      <c r="X203" s="1233" t="e">
        <f>SUM(C203:G203)/SUM(S203:W203)-1</f>
        <v>#DIV/0!</v>
      </c>
      <c r="Y203" s="301"/>
      <c r="Z203" s="516"/>
      <c r="AA203" s="516"/>
      <c r="AB203" s="516"/>
      <c r="AC203" s="516"/>
      <c r="AD203" s="1237" t="e">
        <f>SUM(H203:L203)/SUM(Y203:AC203)-1</f>
        <v>#DIV/0!</v>
      </c>
      <c r="AH203" s="305"/>
      <c r="AI203" s="521"/>
      <c r="AJ203" s="521"/>
      <c r="AK203" s="521"/>
      <c r="AL203" s="329"/>
      <c r="AM203" s="305"/>
      <c r="AN203" s="521"/>
      <c r="AO203" s="329"/>
    </row>
    <row r="204" spans="1:41">
      <c r="A204" s="308"/>
      <c r="B204" s="1698" t="s">
        <v>599</v>
      </c>
      <c r="C204" s="305">
        <f t="shared" ref="C204:W204" si="135">SUM(C201:C203)</f>
        <v>0</v>
      </c>
      <c r="D204" s="521">
        <f t="shared" si="135"/>
        <v>0</v>
      </c>
      <c r="E204" s="521">
        <f t="shared" si="135"/>
        <v>0</v>
      </c>
      <c r="F204" s="521">
        <f t="shared" si="135"/>
        <v>0</v>
      </c>
      <c r="G204" s="329">
        <f t="shared" si="135"/>
        <v>0</v>
      </c>
      <c r="H204" s="305">
        <f t="shared" si="135"/>
        <v>0</v>
      </c>
      <c r="I204" s="521">
        <f t="shared" si="135"/>
        <v>0</v>
      </c>
      <c r="J204" s="521">
        <f t="shared" si="135"/>
        <v>0</v>
      </c>
      <c r="K204" s="521">
        <f t="shared" si="135"/>
        <v>0</v>
      </c>
      <c r="L204" s="521">
        <f t="shared" si="135"/>
        <v>0</v>
      </c>
      <c r="M204" s="305">
        <f t="shared" si="135"/>
        <v>0</v>
      </c>
      <c r="N204" s="521">
        <f t="shared" si="135"/>
        <v>0</v>
      </c>
      <c r="O204" s="521">
        <f t="shared" si="135"/>
        <v>0</v>
      </c>
      <c r="P204" s="521">
        <f t="shared" si="135"/>
        <v>0</v>
      </c>
      <c r="Q204" s="329">
        <f t="shared" si="135"/>
        <v>0</v>
      </c>
      <c r="R204" s="1429"/>
      <c r="S204" s="305">
        <f t="shared" si="135"/>
        <v>0</v>
      </c>
      <c r="T204" s="521">
        <f t="shared" si="135"/>
        <v>0</v>
      </c>
      <c r="U204" s="521">
        <f t="shared" si="135"/>
        <v>0</v>
      </c>
      <c r="V204" s="521">
        <f t="shared" si="135"/>
        <v>0</v>
      </c>
      <c r="W204" s="329">
        <f t="shared" si="135"/>
        <v>0</v>
      </c>
      <c r="X204" s="1233" t="e">
        <f>SUM(C204:G204)/SUM(S204:W204)-1</f>
        <v>#DIV/0!</v>
      </c>
      <c r="Y204" s="305">
        <f t="shared" ref="Y204:AC204" si="136">SUM(Y201:Y203)</f>
        <v>0</v>
      </c>
      <c r="Z204" s="521">
        <f t="shared" si="136"/>
        <v>0</v>
      </c>
      <c r="AA204" s="521">
        <f t="shared" si="136"/>
        <v>0</v>
      </c>
      <c r="AB204" s="521">
        <f t="shared" si="136"/>
        <v>0</v>
      </c>
      <c r="AC204" s="521">
        <f t="shared" si="136"/>
        <v>0</v>
      </c>
      <c r="AD204" s="1237" t="e">
        <f>SUM(H204:L204)/SUM(Y204:AC204)-1</f>
        <v>#DIV/0!</v>
      </c>
      <c r="AH204" s="305">
        <f t="shared" ref="AH204:AO204" si="137">SUM(AH201:AH203)</f>
        <v>0</v>
      </c>
      <c r="AI204" s="521">
        <f t="shared" si="137"/>
        <v>0</v>
      </c>
      <c r="AJ204" s="521">
        <f t="shared" si="137"/>
        <v>0</v>
      </c>
      <c r="AK204" s="521">
        <f t="shared" si="137"/>
        <v>0</v>
      </c>
      <c r="AL204" s="329">
        <f t="shared" si="137"/>
        <v>0</v>
      </c>
      <c r="AM204" s="305">
        <f t="shared" si="137"/>
        <v>0</v>
      </c>
      <c r="AN204" s="521">
        <f t="shared" si="137"/>
        <v>0</v>
      </c>
      <c r="AO204" s="329">
        <f t="shared" si="137"/>
        <v>0</v>
      </c>
    </row>
    <row r="205" spans="1:41">
      <c r="A205" s="308"/>
      <c r="B205" s="1694" t="s">
        <v>595</v>
      </c>
      <c r="C205" s="344"/>
      <c r="D205" s="334"/>
      <c r="E205" s="334"/>
      <c r="F205" s="334"/>
      <c r="G205" s="345"/>
      <c r="H205" s="344"/>
      <c r="I205" s="334"/>
      <c r="J205" s="334"/>
      <c r="K205" s="334"/>
      <c r="L205" s="334"/>
      <c r="M205" s="344"/>
      <c r="N205" s="334"/>
      <c r="O205" s="334"/>
      <c r="P205" s="334"/>
      <c r="Q205" s="345"/>
      <c r="R205" s="1429"/>
      <c r="S205" s="344"/>
      <c r="T205" s="334"/>
      <c r="U205" s="334"/>
      <c r="V205" s="334"/>
      <c r="W205" s="345"/>
      <c r="X205" s="334"/>
      <c r="Y205" s="344"/>
      <c r="Z205" s="334"/>
      <c r="AA205" s="334"/>
      <c r="AB205" s="334"/>
      <c r="AC205" s="334"/>
      <c r="AD205" s="345"/>
      <c r="AH205" s="344"/>
      <c r="AI205" s="334"/>
      <c r="AJ205" s="334"/>
      <c r="AK205" s="334"/>
      <c r="AL205" s="345"/>
      <c r="AM205" s="344"/>
      <c r="AN205" s="334"/>
      <c r="AO205" s="345"/>
    </row>
    <row r="206" spans="1:41">
      <c r="A206" s="308"/>
      <c r="B206" s="340" t="s">
        <v>57</v>
      </c>
      <c r="C206" s="301"/>
      <c r="D206" s="516"/>
      <c r="E206" s="516"/>
      <c r="F206" s="516"/>
      <c r="G206" s="327"/>
      <c r="H206" s="301"/>
      <c r="I206" s="516"/>
      <c r="J206" s="516"/>
      <c r="K206" s="516"/>
      <c r="L206" s="516"/>
      <c r="M206" s="301"/>
      <c r="N206" s="516"/>
      <c r="O206" s="516"/>
      <c r="P206" s="516"/>
      <c r="Q206" s="327"/>
      <c r="R206" s="1429"/>
      <c r="S206" s="301"/>
      <c r="T206" s="516"/>
      <c r="U206" s="516"/>
      <c r="V206" s="516"/>
      <c r="W206" s="327"/>
      <c r="X206" s="1233" t="e">
        <f>SUM(C206:G206)/SUM(S206:W206)-1</f>
        <v>#DIV/0!</v>
      </c>
      <c r="Y206" s="301"/>
      <c r="Z206" s="516"/>
      <c r="AA206" s="516"/>
      <c r="AB206" s="516"/>
      <c r="AC206" s="516"/>
      <c r="AD206" s="1237" t="e">
        <f>SUM(H206:L206)/SUM(Y206:AC206)-1</f>
        <v>#DIV/0!</v>
      </c>
      <c r="AH206" s="305"/>
      <c r="AI206" s="521"/>
      <c r="AJ206" s="521"/>
      <c r="AK206" s="521"/>
      <c r="AL206" s="329"/>
      <c r="AM206" s="305"/>
      <c r="AN206" s="521"/>
      <c r="AO206" s="329"/>
    </row>
    <row r="207" spans="1:41">
      <c r="A207" s="308"/>
      <c r="B207" s="340" t="s">
        <v>60</v>
      </c>
      <c r="C207" s="301"/>
      <c r="D207" s="516"/>
      <c r="E207" s="516"/>
      <c r="F207" s="516"/>
      <c r="G207" s="327"/>
      <c r="H207" s="301"/>
      <c r="I207" s="516"/>
      <c r="J207" s="516"/>
      <c r="K207" s="516"/>
      <c r="L207" s="516"/>
      <c r="M207" s="301"/>
      <c r="N207" s="516"/>
      <c r="O207" s="516"/>
      <c r="P207" s="516"/>
      <c r="Q207" s="327"/>
      <c r="R207" s="1429"/>
      <c r="S207" s="301"/>
      <c r="T207" s="516"/>
      <c r="U207" s="516"/>
      <c r="V207" s="516"/>
      <c r="W207" s="327"/>
      <c r="X207" s="1233" t="e">
        <f>SUM(C207:G207)/SUM(S207:W207)-1</f>
        <v>#DIV/0!</v>
      </c>
      <c r="Y207" s="301"/>
      <c r="Z207" s="516"/>
      <c r="AA207" s="516"/>
      <c r="AB207" s="516"/>
      <c r="AC207" s="516"/>
      <c r="AD207" s="1237" t="e">
        <f>SUM(H207:L207)/SUM(Y207:AC207)-1</f>
        <v>#DIV/0!</v>
      </c>
      <c r="AH207" s="305"/>
      <c r="AI207" s="521"/>
      <c r="AJ207" s="521"/>
      <c r="AK207" s="521"/>
      <c r="AL207" s="329"/>
      <c r="AM207" s="305"/>
      <c r="AN207" s="521"/>
      <c r="AO207" s="329"/>
    </row>
    <row r="208" spans="1:41">
      <c r="A208" s="308"/>
      <c r="B208" s="340" t="s">
        <v>61</v>
      </c>
      <c r="C208" s="301"/>
      <c r="D208" s="516"/>
      <c r="E208" s="516"/>
      <c r="F208" s="516"/>
      <c r="G208" s="327"/>
      <c r="H208" s="301"/>
      <c r="I208" s="516"/>
      <c r="J208" s="516"/>
      <c r="K208" s="516"/>
      <c r="L208" s="516"/>
      <c r="M208" s="301"/>
      <c r="N208" s="516"/>
      <c r="O208" s="516"/>
      <c r="P208" s="516"/>
      <c r="Q208" s="327"/>
      <c r="R208" s="1429"/>
      <c r="S208" s="301"/>
      <c r="T208" s="516"/>
      <c r="U208" s="516"/>
      <c r="V208" s="516"/>
      <c r="W208" s="327"/>
      <c r="X208" s="1233" t="e">
        <f>SUM(C208:G208)/SUM(S208:W208)-1</f>
        <v>#DIV/0!</v>
      </c>
      <c r="Y208" s="301"/>
      <c r="Z208" s="516"/>
      <c r="AA208" s="516"/>
      <c r="AB208" s="516"/>
      <c r="AC208" s="516"/>
      <c r="AD208" s="1237" t="e">
        <f>SUM(H208:L208)/SUM(Y208:AC208)-1</f>
        <v>#DIV/0!</v>
      </c>
      <c r="AH208" s="305"/>
      <c r="AI208" s="521"/>
      <c r="AJ208" s="521"/>
      <c r="AK208" s="521"/>
      <c r="AL208" s="329"/>
      <c r="AM208" s="305"/>
      <c r="AN208" s="521"/>
      <c r="AO208" s="329"/>
    </row>
    <row r="209" spans="1:41">
      <c r="A209" s="308"/>
      <c r="B209" s="1698" t="s">
        <v>596</v>
      </c>
      <c r="C209" s="305">
        <f t="shared" ref="C209:W209" si="138">SUM(C206:C208)</f>
        <v>0</v>
      </c>
      <c r="D209" s="521">
        <f t="shared" si="138"/>
        <v>0</v>
      </c>
      <c r="E209" s="521">
        <f t="shared" si="138"/>
        <v>0</v>
      </c>
      <c r="F209" s="521">
        <f t="shared" si="138"/>
        <v>0</v>
      </c>
      <c r="G209" s="329">
        <f t="shared" si="138"/>
        <v>0</v>
      </c>
      <c r="H209" s="305">
        <f t="shared" si="138"/>
        <v>0</v>
      </c>
      <c r="I209" s="521">
        <f t="shared" si="138"/>
        <v>0</v>
      </c>
      <c r="J209" s="521">
        <f t="shared" si="138"/>
        <v>0</v>
      </c>
      <c r="K209" s="521">
        <f t="shared" si="138"/>
        <v>0</v>
      </c>
      <c r="L209" s="521">
        <f t="shared" si="138"/>
        <v>0</v>
      </c>
      <c r="M209" s="305">
        <f t="shared" si="138"/>
        <v>0</v>
      </c>
      <c r="N209" s="521">
        <f t="shared" si="138"/>
        <v>0</v>
      </c>
      <c r="O209" s="521">
        <f t="shared" si="138"/>
        <v>0</v>
      </c>
      <c r="P209" s="521">
        <f t="shared" si="138"/>
        <v>0</v>
      </c>
      <c r="Q209" s="329">
        <f t="shared" si="138"/>
        <v>0</v>
      </c>
      <c r="R209" s="1429"/>
      <c r="S209" s="305">
        <f t="shared" si="138"/>
        <v>0</v>
      </c>
      <c r="T209" s="521">
        <f t="shared" si="138"/>
        <v>0</v>
      </c>
      <c r="U209" s="521">
        <f t="shared" si="138"/>
        <v>0</v>
      </c>
      <c r="V209" s="521">
        <f t="shared" si="138"/>
        <v>0</v>
      </c>
      <c r="W209" s="329">
        <f t="shared" si="138"/>
        <v>0</v>
      </c>
      <c r="X209" s="1233" t="e">
        <f>SUM(C209:G209)/SUM(S209:W209)-1</f>
        <v>#DIV/0!</v>
      </c>
      <c r="Y209" s="305">
        <f t="shared" ref="Y209:AC209" si="139">SUM(Y206:Y208)</f>
        <v>0</v>
      </c>
      <c r="Z209" s="521">
        <f t="shared" si="139"/>
        <v>0</v>
      </c>
      <c r="AA209" s="521">
        <f t="shared" si="139"/>
        <v>0</v>
      </c>
      <c r="AB209" s="521">
        <f t="shared" si="139"/>
        <v>0</v>
      </c>
      <c r="AC209" s="521">
        <f t="shared" si="139"/>
        <v>0</v>
      </c>
      <c r="AD209" s="1237" t="e">
        <f>SUM(H209:L209)/SUM(Y209:AC209)-1</f>
        <v>#DIV/0!</v>
      </c>
      <c r="AH209" s="305">
        <f t="shared" ref="AH209:AO209" si="140">SUM(AH206:AH208)</f>
        <v>0</v>
      </c>
      <c r="AI209" s="521">
        <f t="shared" si="140"/>
        <v>0</v>
      </c>
      <c r="AJ209" s="521">
        <f t="shared" si="140"/>
        <v>0</v>
      </c>
      <c r="AK209" s="521">
        <f t="shared" si="140"/>
        <v>0</v>
      </c>
      <c r="AL209" s="329">
        <f t="shared" si="140"/>
        <v>0</v>
      </c>
      <c r="AM209" s="305">
        <f t="shared" si="140"/>
        <v>0</v>
      </c>
      <c r="AN209" s="521">
        <f t="shared" si="140"/>
        <v>0</v>
      </c>
      <c r="AO209" s="329">
        <f t="shared" si="140"/>
        <v>0</v>
      </c>
    </row>
    <row r="210" spans="1:41">
      <c r="A210" s="308"/>
      <c r="B210" s="1697" t="s">
        <v>600</v>
      </c>
      <c r="C210" s="344"/>
      <c r="D210" s="334"/>
      <c r="E210" s="334"/>
      <c r="F210" s="334"/>
      <c r="G210" s="345"/>
      <c r="H210" s="344"/>
      <c r="I210" s="334"/>
      <c r="J210" s="334"/>
      <c r="K210" s="334"/>
      <c r="L210" s="334"/>
      <c r="M210" s="344"/>
      <c r="N210" s="334"/>
      <c r="O210" s="334"/>
      <c r="P210" s="334"/>
      <c r="Q210" s="345"/>
      <c r="R210" s="1429"/>
      <c r="S210" s="344"/>
      <c r="T210" s="334"/>
      <c r="U210" s="334"/>
      <c r="V210" s="334"/>
      <c r="W210" s="345"/>
      <c r="X210" s="334"/>
      <c r="Y210" s="344"/>
      <c r="Z210" s="334"/>
      <c r="AA210" s="334"/>
      <c r="AB210" s="334"/>
      <c r="AC210" s="334"/>
      <c r="AD210" s="345"/>
      <c r="AH210" s="344"/>
      <c r="AI210" s="334"/>
      <c r="AJ210" s="334"/>
      <c r="AK210" s="334"/>
      <c r="AL210" s="345"/>
      <c r="AM210" s="344"/>
      <c r="AN210" s="334"/>
      <c r="AO210" s="345"/>
    </row>
    <row r="211" spans="1:41">
      <c r="A211" s="308"/>
      <c r="B211" s="1696" t="s">
        <v>57</v>
      </c>
      <c r="C211" s="301"/>
      <c r="D211" s="516"/>
      <c r="E211" s="516"/>
      <c r="F211" s="516"/>
      <c r="G211" s="327"/>
      <c r="H211" s="301"/>
      <c r="I211" s="516"/>
      <c r="J211" s="516"/>
      <c r="K211" s="516"/>
      <c r="L211" s="516"/>
      <c r="M211" s="301"/>
      <c r="N211" s="516"/>
      <c r="O211" s="516"/>
      <c r="P211" s="516"/>
      <c r="Q211" s="327"/>
      <c r="R211" s="1429"/>
      <c r="S211" s="301"/>
      <c r="T211" s="516"/>
      <c r="U211" s="516"/>
      <c r="V211" s="516"/>
      <c r="W211" s="327"/>
      <c r="X211" s="1233" t="e">
        <f>SUM(C211:G211)/SUM(S211:W211)-1</f>
        <v>#DIV/0!</v>
      </c>
      <c r="Y211" s="301"/>
      <c r="Z211" s="516"/>
      <c r="AA211" s="516"/>
      <c r="AB211" s="516"/>
      <c r="AC211" s="516"/>
      <c r="AD211" s="1237" t="e">
        <f>SUM(H211:L211)/SUM(Y211:AC211)-1</f>
        <v>#DIV/0!</v>
      </c>
      <c r="AH211" s="305"/>
      <c r="AI211" s="521"/>
      <c r="AJ211" s="521"/>
      <c r="AK211" s="521"/>
      <c r="AL211" s="329"/>
      <c r="AM211" s="305"/>
      <c r="AN211" s="521"/>
      <c r="AO211" s="329"/>
    </row>
    <row r="212" spans="1:41">
      <c r="A212" s="308"/>
      <c r="B212" s="1696" t="s">
        <v>60</v>
      </c>
      <c r="C212" s="301"/>
      <c r="D212" s="516"/>
      <c r="E212" s="516"/>
      <c r="F212" s="516"/>
      <c r="G212" s="327"/>
      <c r="H212" s="301"/>
      <c r="I212" s="516"/>
      <c r="J212" s="516"/>
      <c r="K212" s="516"/>
      <c r="L212" s="516"/>
      <c r="M212" s="301"/>
      <c r="N212" s="516"/>
      <c r="O212" s="516"/>
      <c r="P212" s="516"/>
      <c r="Q212" s="327"/>
      <c r="R212" s="1429"/>
      <c r="S212" s="301"/>
      <c r="T212" s="516"/>
      <c r="U212" s="516"/>
      <c r="V212" s="516"/>
      <c r="W212" s="327"/>
      <c r="X212" s="1233" t="e">
        <f>SUM(C212:G212)/SUM(S212:W212)-1</f>
        <v>#DIV/0!</v>
      </c>
      <c r="Y212" s="301"/>
      <c r="Z212" s="516"/>
      <c r="AA212" s="516"/>
      <c r="AB212" s="516"/>
      <c r="AC212" s="516"/>
      <c r="AD212" s="1237" t="e">
        <f>SUM(H212:L212)/SUM(Y212:AC212)-1</f>
        <v>#DIV/0!</v>
      </c>
      <c r="AH212" s="305"/>
      <c r="AI212" s="521"/>
      <c r="AJ212" s="521"/>
      <c r="AK212" s="521"/>
      <c r="AL212" s="329"/>
      <c r="AM212" s="305"/>
      <c r="AN212" s="521"/>
      <c r="AO212" s="329"/>
    </row>
    <row r="213" spans="1:41">
      <c r="A213" s="308"/>
      <c r="B213" s="1696" t="s">
        <v>61</v>
      </c>
      <c r="C213" s="301"/>
      <c r="D213" s="516"/>
      <c r="E213" s="516"/>
      <c r="F213" s="516"/>
      <c r="G213" s="327"/>
      <c r="H213" s="301"/>
      <c r="I213" s="516"/>
      <c r="J213" s="516"/>
      <c r="K213" s="516"/>
      <c r="L213" s="516"/>
      <c r="M213" s="301"/>
      <c r="N213" s="516"/>
      <c r="O213" s="516"/>
      <c r="P213" s="516"/>
      <c r="Q213" s="327"/>
      <c r="R213" s="1429"/>
      <c r="S213" s="301"/>
      <c r="T213" s="516"/>
      <c r="U213" s="516"/>
      <c r="V213" s="516"/>
      <c r="W213" s="327"/>
      <c r="X213" s="1233" t="e">
        <f>SUM(C213:G213)/SUM(S213:W213)-1</f>
        <v>#DIV/0!</v>
      </c>
      <c r="Y213" s="301"/>
      <c r="Z213" s="516"/>
      <c r="AA213" s="516"/>
      <c r="AB213" s="516"/>
      <c r="AC213" s="516"/>
      <c r="AD213" s="1237" t="e">
        <f>SUM(H213:L213)/SUM(Y213:AC213)-1</f>
        <v>#DIV/0!</v>
      </c>
      <c r="AH213" s="305"/>
      <c r="AI213" s="521"/>
      <c r="AJ213" s="521"/>
      <c r="AK213" s="521"/>
      <c r="AL213" s="329"/>
      <c r="AM213" s="305"/>
      <c r="AN213" s="521"/>
      <c r="AO213" s="329"/>
    </row>
    <row r="214" spans="1:41">
      <c r="A214" s="308"/>
      <c r="B214" s="1698" t="s">
        <v>601</v>
      </c>
      <c r="C214" s="305">
        <f t="shared" ref="C214:W214" si="141">SUM(C211:C213)</f>
        <v>0</v>
      </c>
      <c r="D214" s="521">
        <f t="shared" si="141"/>
        <v>0</v>
      </c>
      <c r="E214" s="521">
        <f t="shared" si="141"/>
        <v>0</v>
      </c>
      <c r="F214" s="521">
        <f t="shared" si="141"/>
        <v>0</v>
      </c>
      <c r="G214" s="329">
        <f t="shared" si="141"/>
        <v>0</v>
      </c>
      <c r="H214" s="305">
        <f t="shared" si="141"/>
        <v>0</v>
      </c>
      <c r="I214" s="521">
        <f t="shared" si="141"/>
        <v>0</v>
      </c>
      <c r="J214" s="521">
        <f t="shared" si="141"/>
        <v>0</v>
      </c>
      <c r="K214" s="521">
        <f t="shared" si="141"/>
        <v>0</v>
      </c>
      <c r="L214" s="521">
        <f t="shared" si="141"/>
        <v>0</v>
      </c>
      <c r="M214" s="305">
        <f t="shared" si="141"/>
        <v>0</v>
      </c>
      <c r="N214" s="521">
        <f t="shared" si="141"/>
        <v>0</v>
      </c>
      <c r="O214" s="521">
        <f t="shared" si="141"/>
        <v>0</v>
      </c>
      <c r="P214" s="521">
        <f t="shared" si="141"/>
        <v>0</v>
      </c>
      <c r="Q214" s="329">
        <f t="shared" si="141"/>
        <v>0</v>
      </c>
      <c r="R214" s="1429"/>
      <c r="S214" s="305">
        <f t="shared" si="141"/>
        <v>0</v>
      </c>
      <c r="T214" s="521">
        <f t="shared" si="141"/>
        <v>0</v>
      </c>
      <c r="U214" s="521">
        <f t="shared" si="141"/>
        <v>0</v>
      </c>
      <c r="V214" s="521">
        <f t="shared" si="141"/>
        <v>0</v>
      </c>
      <c r="W214" s="329">
        <f t="shared" si="141"/>
        <v>0</v>
      </c>
      <c r="X214" s="1233" t="e">
        <f>SUM(C214:G214)/SUM(S214:W214)-1</f>
        <v>#DIV/0!</v>
      </c>
      <c r="Y214" s="305">
        <f t="shared" ref="Y214:AC214" si="142">SUM(Y211:Y213)</f>
        <v>0</v>
      </c>
      <c r="Z214" s="521">
        <f t="shared" si="142"/>
        <v>0</v>
      </c>
      <c r="AA214" s="521">
        <f t="shared" si="142"/>
        <v>0</v>
      </c>
      <c r="AB214" s="521">
        <f t="shared" si="142"/>
        <v>0</v>
      </c>
      <c r="AC214" s="521">
        <f t="shared" si="142"/>
        <v>0</v>
      </c>
      <c r="AD214" s="1237" t="e">
        <f>SUM(H214:L214)/SUM(Y214:AC214)-1</f>
        <v>#DIV/0!</v>
      </c>
      <c r="AH214" s="305">
        <f t="shared" ref="AH214:AO214" si="143">SUM(AH211:AH213)</f>
        <v>0</v>
      </c>
      <c r="AI214" s="521">
        <f t="shared" si="143"/>
        <v>0</v>
      </c>
      <c r="AJ214" s="521">
        <f t="shared" si="143"/>
        <v>0</v>
      </c>
      <c r="AK214" s="521">
        <f t="shared" si="143"/>
        <v>0</v>
      </c>
      <c r="AL214" s="329">
        <f t="shared" si="143"/>
        <v>0</v>
      </c>
      <c r="AM214" s="305">
        <f t="shared" si="143"/>
        <v>0</v>
      </c>
      <c r="AN214" s="521">
        <f t="shared" si="143"/>
        <v>0</v>
      </c>
      <c r="AO214" s="329">
        <f t="shared" si="143"/>
        <v>0</v>
      </c>
    </row>
    <row r="215" spans="1:41">
      <c r="A215" s="308"/>
      <c r="B215" s="1700" t="s">
        <v>602</v>
      </c>
      <c r="C215" s="344"/>
      <c r="D215" s="334"/>
      <c r="E215" s="334"/>
      <c r="F215" s="334"/>
      <c r="G215" s="345"/>
      <c r="H215" s="344"/>
      <c r="I215" s="334"/>
      <c r="J215" s="334"/>
      <c r="K215" s="334"/>
      <c r="L215" s="334"/>
      <c r="M215" s="344"/>
      <c r="N215" s="334"/>
      <c r="O215" s="334"/>
      <c r="P215" s="334"/>
      <c r="Q215" s="345"/>
      <c r="R215" s="1429"/>
      <c r="S215" s="344"/>
      <c r="T215" s="334"/>
      <c r="U215" s="334"/>
      <c r="V215" s="334"/>
      <c r="W215" s="345"/>
      <c r="X215" s="334"/>
      <c r="Y215" s="344"/>
      <c r="Z215" s="334"/>
      <c r="AA215" s="334"/>
      <c r="AB215" s="334"/>
      <c r="AC215" s="334"/>
      <c r="AD215" s="345"/>
      <c r="AH215" s="344"/>
      <c r="AI215" s="334"/>
      <c r="AJ215" s="334"/>
      <c r="AK215" s="334"/>
      <c r="AL215" s="345"/>
      <c r="AM215" s="344"/>
      <c r="AN215" s="334"/>
      <c r="AO215" s="345"/>
    </row>
    <row r="216" spans="1:41">
      <c r="A216" s="308"/>
      <c r="B216" s="1701" t="s">
        <v>57</v>
      </c>
      <c r="C216" s="348">
        <f t="shared" ref="C216:W218" si="144">C206+C201+C211</f>
        <v>0</v>
      </c>
      <c r="D216" s="330">
        <f t="shared" si="144"/>
        <v>0</v>
      </c>
      <c r="E216" s="330">
        <f t="shared" si="144"/>
        <v>0</v>
      </c>
      <c r="F216" s="330">
        <f t="shared" si="144"/>
        <v>0</v>
      </c>
      <c r="G216" s="1197">
        <f t="shared" si="144"/>
        <v>0</v>
      </c>
      <c r="H216" s="348">
        <f t="shared" si="144"/>
        <v>0</v>
      </c>
      <c r="I216" s="330">
        <f t="shared" si="144"/>
        <v>0</v>
      </c>
      <c r="J216" s="330">
        <f t="shared" si="144"/>
        <v>0</v>
      </c>
      <c r="K216" s="330">
        <f t="shared" si="144"/>
        <v>0</v>
      </c>
      <c r="L216" s="330">
        <f t="shared" si="144"/>
        <v>0</v>
      </c>
      <c r="M216" s="348">
        <f t="shared" si="144"/>
        <v>0</v>
      </c>
      <c r="N216" s="330">
        <f t="shared" si="144"/>
        <v>0</v>
      </c>
      <c r="O216" s="330">
        <f t="shared" si="144"/>
        <v>0</v>
      </c>
      <c r="P216" s="330">
        <f t="shared" si="144"/>
        <v>0</v>
      </c>
      <c r="Q216" s="1197">
        <f t="shared" si="144"/>
        <v>0</v>
      </c>
      <c r="R216" s="1429"/>
      <c r="S216" s="348">
        <f t="shared" si="144"/>
        <v>0</v>
      </c>
      <c r="T216" s="330">
        <f t="shared" si="144"/>
        <v>0</v>
      </c>
      <c r="U216" s="330">
        <f t="shared" si="144"/>
        <v>0</v>
      </c>
      <c r="V216" s="330">
        <f t="shared" si="144"/>
        <v>0</v>
      </c>
      <c r="W216" s="1197">
        <f t="shared" si="144"/>
        <v>0</v>
      </c>
      <c r="X216" s="331" t="e">
        <f t="shared" ref="X216:X222" si="145">SUM(C216:G216)/SUM(S216:W216)-1</f>
        <v>#DIV/0!</v>
      </c>
      <c r="Y216" s="348">
        <f t="shared" ref="Y216:AC218" si="146">Y206+Y201+Y211</f>
        <v>0</v>
      </c>
      <c r="Z216" s="330">
        <f t="shared" si="146"/>
        <v>0</v>
      </c>
      <c r="AA216" s="330">
        <f t="shared" si="146"/>
        <v>0</v>
      </c>
      <c r="AB216" s="330">
        <f t="shared" si="146"/>
        <v>0</v>
      </c>
      <c r="AC216" s="330">
        <f t="shared" si="146"/>
        <v>0</v>
      </c>
      <c r="AD216" s="350" t="e">
        <f t="shared" ref="AD216:AD222" si="147">SUM(H216:L216)/SUM(Y216:AC216)-1</f>
        <v>#DIV/0!</v>
      </c>
      <c r="AH216" s="348">
        <f t="shared" ref="AH216:AO216" si="148">AH206+AH201+AH211</f>
        <v>0</v>
      </c>
      <c r="AI216" s="330">
        <f t="shared" si="148"/>
        <v>0</v>
      </c>
      <c r="AJ216" s="330">
        <f t="shared" si="148"/>
        <v>0</v>
      </c>
      <c r="AK216" s="330">
        <f t="shared" si="148"/>
        <v>0</v>
      </c>
      <c r="AL216" s="1197">
        <f t="shared" si="148"/>
        <v>0</v>
      </c>
      <c r="AM216" s="348">
        <f t="shared" si="148"/>
        <v>0</v>
      </c>
      <c r="AN216" s="330">
        <f t="shared" si="148"/>
        <v>0</v>
      </c>
      <c r="AO216" s="1197">
        <f t="shared" si="148"/>
        <v>0</v>
      </c>
    </row>
    <row r="217" spans="1:41">
      <c r="A217" s="308"/>
      <c r="B217" s="1701" t="s">
        <v>60</v>
      </c>
      <c r="C217" s="348">
        <f t="shared" si="144"/>
        <v>0</v>
      </c>
      <c r="D217" s="330">
        <f t="shared" si="144"/>
        <v>0</v>
      </c>
      <c r="E217" s="330">
        <f t="shared" si="144"/>
        <v>0</v>
      </c>
      <c r="F217" s="330">
        <f t="shared" si="144"/>
        <v>0</v>
      </c>
      <c r="G217" s="1197">
        <f t="shared" si="144"/>
        <v>0</v>
      </c>
      <c r="H217" s="348">
        <f t="shared" si="144"/>
        <v>0</v>
      </c>
      <c r="I217" s="330">
        <f t="shared" si="144"/>
        <v>0</v>
      </c>
      <c r="J217" s="330">
        <f t="shared" si="144"/>
        <v>0</v>
      </c>
      <c r="K217" s="330">
        <f t="shared" si="144"/>
        <v>0</v>
      </c>
      <c r="L217" s="330">
        <f t="shared" si="144"/>
        <v>0</v>
      </c>
      <c r="M217" s="348">
        <f t="shared" si="144"/>
        <v>0</v>
      </c>
      <c r="N217" s="330">
        <f t="shared" si="144"/>
        <v>0</v>
      </c>
      <c r="O217" s="330">
        <f t="shared" si="144"/>
        <v>0</v>
      </c>
      <c r="P217" s="330">
        <f t="shared" si="144"/>
        <v>0</v>
      </c>
      <c r="Q217" s="1197">
        <f t="shared" si="144"/>
        <v>0</v>
      </c>
      <c r="R217" s="1429"/>
      <c r="S217" s="348">
        <f t="shared" si="144"/>
        <v>0</v>
      </c>
      <c r="T217" s="330">
        <f t="shared" si="144"/>
        <v>0</v>
      </c>
      <c r="U217" s="330">
        <f t="shared" si="144"/>
        <v>0</v>
      </c>
      <c r="V217" s="330">
        <f t="shared" si="144"/>
        <v>0</v>
      </c>
      <c r="W217" s="1197">
        <f t="shared" si="144"/>
        <v>0</v>
      </c>
      <c r="X217" s="331" t="e">
        <f t="shared" si="145"/>
        <v>#DIV/0!</v>
      </c>
      <c r="Y217" s="348">
        <f t="shared" si="146"/>
        <v>0</v>
      </c>
      <c r="Z217" s="330">
        <f t="shared" si="146"/>
        <v>0</v>
      </c>
      <c r="AA217" s="330">
        <f t="shared" si="146"/>
        <v>0</v>
      </c>
      <c r="AB217" s="330">
        <f t="shared" si="146"/>
        <v>0</v>
      </c>
      <c r="AC217" s="330">
        <f t="shared" si="146"/>
        <v>0</v>
      </c>
      <c r="AD217" s="350" t="e">
        <f t="shared" si="147"/>
        <v>#DIV/0!</v>
      </c>
      <c r="AH217" s="348">
        <f t="shared" ref="AH217:AO217" si="149">AH207+AH202+AH212</f>
        <v>0</v>
      </c>
      <c r="AI217" s="330">
        <f t="shared" si="149"/>
        <v>0</v>
      </c>
      <c r="AJ217" s="330">
        <f t="shared" si="149"/>
        <v>0</v>
      </c>
      <c r="AK217" s="330">
        <f t="shared" si="149"/>
        <v>0</v>
      </c>
      <c r="AL217" s="1197">
        <f t="shared" si="149"/>
        <v>0</v>
      </c>
      <c r="AM217" s="348">
        <f t="shared" si="149"/>
        <v>0</v>
      </c>
      <c r="AN217" s="330">
        <f t="shared" si="149"/>
        <v>0</v>
      </c>
      <c r="AO217" s="1197">
        <f t="shared" si="149"/>
        <v>0</v>
      </c>
    </row>
    <row r="218" spans="1:41">
      <c r="A218" s="308"/>
      <c r="B218" s="1701" t="s">
        <v>61</v>
      </c>
      <c r="C218" s="348">
        <f t="shared" si="144"/>
        <v>0</v>
      </c>
      <c r="D218" s="330">
        <f t="shared" si="144"/>
        <v>0</v>
      </c>
      <c r="E218" s="330">
        <f t="shared" si="144"/>
        <v>0</v>
      </c>
      <c r="F218" s="330">
        <f t="shared" si="144"/>
        <v>0</v>
      </c>
      <c r="G218" s="1197">
        <f t="shared" si="144"/>
        <v>0</v>
      </c>
      <c r="H218" s="348">
        <f t="shared" si="144"/>
        <v>0</v>
      </c>
      <c r="I218" s="330">
        <f t="shared" si="144"/>
        <v>0</v>
      </c>
      <c r="J218" s="330">
        <f t="shared" si="144"/>
        <v>0</v>
      </c>
      <c r="K218" s="330">
        <f t="shared" si="144"/>
        <v>0</v>
      </c>
      <c r="L218" s="330">
        <f t="shared" si="144"/>
        <v>0</v>
      </c>
      <c r="M218" s="348">
        <f t="shared" si="144"/>
        <v>0</v>
      </c>
      <c r="N218" s="330">
        <f t="shared" si="144"/>
        <v>0</v>
      </c>
      <c r="O218" s="330">
        <f t="shared" si="144"/>
        <v>0</v>
      </c>
      <c r="P218" s="330">
        <f t="shared" si="144"/>
        <v>0</v>
      </c>
      <c r="Q218" s="1197">
        <f t="shared" si="144"/>
        <v>0</v>
      </c>
      <c r="R218" s="1429"/>
      <c r="S218" s="348">
        <f t="shared" si="144"/>
        <v>0</v>
      </c>
      <c r="T218" s="330">
        <f t="shared" si="144"/>
        <v>0</v>
      </c>
      <c r="U218" s="330">
        <f t="shared" si="144"/>
        <v>0</v>
      </c>
      <c r="V218" s="330">
        <f t="shared" si="144"/>
        <v>0</v>
      </c>
      <c r="W218" s="1197">
        <f t="shared" si="144"/>
        <v>0</v>
      </c>
      <c r="X218" s="331" t="e">
        <f t="shared" si="145"/>
        <v>#DIV/0!</v>
      </c>
      <c r="Y218" s="348">
        <f t="shared" si="146"/>
        <v>0</v>
      </c>
      <c r="Z218" s="330">
        <f t="shared" si="146"/>
        <v>0</v>
      </c>
      <c r="AA218" s="330">
        <f t="shared" si="146"/>
        <v>0</v>
      </c>
      <c r="AB218" s="330">
        <f t="shared" si="146"/>
        <v>0</v>
      </c>
      <c r="AC218" s="330">
        <f t="shared" si="146"/>
        <v>0</v>
      </c>
      <c r="AD218" s="350" t="e">
        <f t="shared" si="147"/>
        <v>#DIV/0!</v>
      </c>
      <c r="AH218" s="348">
        <f t="shared" ref="AH218:AO218" si="150">AH208+AH203+AH213</f>
        <v>0</v>
      </c>
      <c r="AI218" s="330">
        <f t="shared" si="150"/>
        <v>0</v>
      </c>
      <c r="AJ218" s="330">
        <f t="shared" si="150"/>
        <v>0</v>
      </c>
      <c r="AK218" s="330">
        <f t="shared" si="150"/>
        <v>0</v>
      </c>
      <c r="AL218" s="1197">
        <f t="shared" si="150"/>
        <v>0</v>
      </c>
      <c r="AM218" s="348">
        <f t="shared" si="150"/>
        <v>0</v>
      </c>
      <c r="AN218" s="330">
        <f t="shared" si="150"/>
        <v>0</v>
      </c>
      <c r="AO218" s="1197">
        <f t="shared" si="150"/>
        <v>0</v>
      </c>
    </row>
    <row r="219" spans="1:41">
      <c r="A219" s="308"/>
      <c r="B219" s="1702" t="s">
        <v>602</v>
      </c>
      <c r="C219" s="357">
        <f>SUM(C216:C218)</f>
        <v>0</v>
      </c>
      <c r="D219" s="358">
        <f t="shared" ref="D219:V219" si="151">SUM(D216:D218)</f>
        <v>0</v>
      </c>
      <c r="E219" s="358">
        <f t="shared" si="151"/>
        <v>0</v>
      </c>
      <c r="F219" s="358">
        <f t="shared" si="151"/>
        <v>0</v>
      </c>
      <c r="G219" s="359">
        <f t="shared" si="151"/>
        <v>0</v>
      </c>
      <c r="H219" s="357">
        <f t="shared" si="151"/>
        <v>0</v>
      </c>
      <c r="I219" s="358">
        <f t="shared" si="151"/>
        <v>0</v>
      </c>
      <c r="J219" s="358">
        <f t="shared" si="151"/>
        <v>0</v>
      </c>
      <c r="K219" s="358">
        <f t="shared" si="151"/>
        <v>0</v>
      </c>
      <c r="L219" s="358">
        <f t="shared" si="151"/>
        <v>0</v>
      </c>
      <c r="M219" s="357">
        <f t="shared" si="151"/>
        <v>0</v>
      </c>
      <c r="N219" s="358">
        <f t="shared" si="151"/>
        <v>0</v>
      </c>
      <c r="O219" s="358">
        <f t="shared" si="151"/>
        <v>0</v>
      </c>
      <c r="P219" s="358">
        <f t="shared" si="151"/>
        <v>0</v>
      </c>
      <c r="Q219" s="359">
        <f t="shared" si="151"/>
        <v>0</v>
      </c>
      <c r="R219" s="1429"/>
      <c r="S219" s="357">
        <f t="shared" si="151"/>
        <v>0</v>
      </c>
      <c r="T219" s="358">
        <f t="shared" si="151"/>
        <v>0</v>
      </c>
      <c r="U219" s="358">
        <f t="shared" si="151"/>
        <v>0</v>
      </c>
      <c r="V219" s="358">
        <f t="shared" si="151"/>
        <v>0</v>
      </c>
      <c r="W219" s="359">
        <f>SUM(W216:W218)</f>
        <v>0</v>
      </c>
      <c r="X219" s="1234" t="e">
        <f t="shared" si="145"/>
        <v>#DIV/0!</v>
      </c>
      <c r="Y219" s="357">
        <f t="shared" ref="Y219:AC219" si="152">SUM(Y216:Y218)</f>
        <v>0</v>
      </c>
      <c r="Z219" s="358">
        <f t="shared" si="152"/>
        <v>0</v>
      </c>
      <c r="AA219" s="358">
        <f t="shared" si="152"/>
        <v>0</v>
      </c>
      <c r="AB219" s="358">
        <f t="shared" si="152"/>
        <v>0</v>
      </c>
      <c r="AC219" s="358">
        <f t="shared" si="152"/>
        <v>0</v>
      </c>
      <c r="AD219" s="359" t="e">
        <f t="shared" si="147"/>
        <v>#DIV/0!</v>
      </c>
      <c r="AH219" s="357">
        <f>SUM(AH216:AH218)</f>
        <v>0</v>
      </c>
      <c r="AI219" s="358">
        <f t="shared" ref="AI219:AO219" si="153">SUM(AI216:AI218)</f>
        <v>0</v>
      </c>
      <c r="AJ219" s="358">
        <f t="shared" si="153"/>
        <v>0</v>
      </c>
      <c r="AK219" s="358">
        <f t="shared" si="153"/>
        <v>0</v>
      </c>
      <c r="AL219" s="359">
        <f t="shared" si="153"/>
        <v>0</v>
      </c>
      <c r="AM219" s="357">
        <f t="shared" si="153"/>
        <v>0</v>
      </c>
      <c r="AN219" s="358">
        <f t="shared" si="153"/>
        <v>0</v>
      </c>
      <c r="AO219" s="359">
        <f t="shared" si="153"/>
        <v>0</v>
      </c>
    </row>
    <row r="220" spans="1:41">
      <c r="A220" s="308"/>
      <c r="B220" s="1699" t="s">
        <v>603</v>
      </c>
      <c r="C220" s="351"/>
      <c r="D220" s="337"/>
      <c r="E220" s="337"/>
      <c r="F220" s="337"/>
      <c r="G220" s="1198"/>
      <c r="H220" s="351"/>
      <c r="I220" s="337"/>
      <c r="J220" s="337"/>
      <c r="K220" s="337"/>
      <c r="L220" s="337"/>
      <c r="M220" s="351"/>
      <c r="N220" s="337"/>
      <c r="O220" s="337"/>
      <c r="P220" s="337"/>
      <c r="Q220" s="1198"/>
      <c r="R220" s="1429"/>
      <c r="S220" s="351"/>
      <c r="T220" s="337"/>
      <c r="U220" s="337"/>
      <c r="V220" s="337"/>
      <c r="W220" s="1198"/>
      <c r="X220" s="331" t="e">
        <f t="shared" si="145"/>
        <v>#DIV/0!</v>
      </c>
      <c r="Y220" s="351"/>
      <c r="Z220" s="337"/>
      <c r="AA220" s="337"/>
      <c r="AB220" s="337"/>
      <c r="AC220" s="337"/>
      <c r="AD220" s="350" t="e">
        <f t="shared" si="147"/>
        <v>#DIV/0!</v>
      </c>
      <c r="AH220" s="2110"/>
      <c r="AI220" s="2111"/>
      <c r="AJ220" s="2111"/>
      <c r="AK220" s="2111"/>
      <c r="AL220" s="2112"/>
      <c r="AM220" s="2110"/>
      <c r="AN220" s="2111"/>
      <c r="AO220" s="2112"/>
    </row>
    <row r="221" spans="1:41">
      <c r="A221" s="308"/>
      <c r="B221" s="356" t="s">
        <v>159</v>
      </c>
      <c r="C221" s="351"/>
      <c r="D221" s="337"/>
      <c r="E221" s="337"/>
      <c r="F221" s="337"/>
      <c r="G221" s="1198"/>
      <c r="H221" s="351"/>
      <c r="I221" s="337"/>
      <c r="J221" s="337"/>
      <c r="K221" s="337"/>
      <c r="L221" s="337"/>
      <c r="M221" s="351"/>
      <c r="N221" s="337"/>
      <c r="O221" s="337"/>
      <c r="P221" s="337"/>
      <c r="Q221" s="1198"/>
      <c r="R221" s="1429"/>
      <c r="S221" s="351"/>
      <c r="T221" s="337"/>
      <c r="U221" s="337"/>
      <c r="V221" s="337"/>
      <c r="W221" s="1198"/>
      <c r="X221" s="331" t="e">
        <f t="shared" si="145"/>
        <v>#DIV/0!</v>
      </c>
      <c r="Y221" s="351"/>
      <c r="Z221" s="337"/>
      <c r="AA221" s="337"/>
      <c r="AB221" s="337"/>
      <c r="AC221" s="337"/>
      <c r="AD221" s="350" t="e">
        <f t="shared" si="147"/>
        <v>#DIV/0!</v>
      </c>
      <c r="AH221" s="2110"/>
      <c r="AI221" s="2111"/>
      <c r="AJ221" s="2111"/>
      <c r="AK221" s="2111"/>
      <c r="AL221" s="2112"/>
      <c r="AM221" s="2110"/>
      <c r="AN221" s="2111"/>
      <c r="AO221" s="2112"/>
    </row>
    <row r="222" spans="1:41">
      <c r="A222" s="308"/>
      <c r="B222" s="558" t="s">
        <v>607</v>
      </c>
      <c r="C222" s="352">
        <f>SUM(C219,C220,C221)</f>
        <v>0</v>
      </c>
      <c r="D222" s="332">
        <f t="shared" ref="D222:Q222" si="154">SUM(D219,D220,D221)</f>
        <v>0</v>
      </c>
      <c r="E222" s="332">
        <f t="shared" si="154"/>
        <v>0</v>
      </c>
      <c r="F222" s="332">
        <f t="shared" si="154"/>
        <v>0</v>
      </c>
      <c r="G222" s="353">
        <f t="shared" si="154"/>
        <v>0</v>
      </c>
      <c r="H222" s="352">
        <f t="shared" si="154"/>
        <v>0</v>
      </c>
      <c r="I222" s="332">
        <f t="shared" si="154"/>
        <v>0</v>
      </c>
      <c r="J222" s="332">
        <f t="shared" si="154"/>
        <v>0</v>
      </c>
      <c r="K222" s="332">
        <f t="shared" si="154"/>
        <v>0</v>
      </c>
      <c r="L222" s="332">
        <f t="shared" si="154"/>
        <v>0</v>
      </c>
      <c r="M222" s="352">
        <f t="shared" si="154"/>
        <v>0</v>
      </c>
      <c r="N222" s="332">
        <f t="shared" si="154"/>
        <v>0</v>
      </c>
      <c r="O222" s="332">
        <f t="shared" si="154"/>
        <v>0</v>
      </c>
      <c r="P222" s="332">
        <f t="shared" si="154"/>
        <v>0</v>
      </c>
      <c r="Q222" s="353">
        <f t="shared" si="154"/>
        <v>0</v>
      </c>
      <c r="R222" s="1429"/>
      <c r="S222" s="352">
        <f t="shared" ref="S222:W222" si="155">SUM(S219,S220,S221)</f>
        <v>0</v>
      </c>
      <c r="T222" s="332">
        <f t="shared" si="155"/>
        <v>0</v>
      </c>
      <c r="U222" s="332">
        <f t="shared" si="155"/>
        <v>0</v>
      </c>
      <c r="V222" s="332">
        <f t="shared" si="155"/>
        <v>0</v>
      </c>
      <c r="W222" s="353">
        <f t="shared" si="155"/>
        <v>0</v>
      </c>
      <c r="X222" s="1235" t="e">
        <f t="shared" si="145"/>
        <v>#DIV/0!</v>
      </c>
      <c r="Y222" s="352">
        <f t="shared" ref="Y222:AC222" si="156">SUM(Y219,Y220,Y221)</f>
        <v>0</v>
      </c>
      <c r="Z222" s="332">
        <f t="shared" si="156"/>
        <v>0</v>
      </c>
      <c r="AA222" s="332">
        <f t="shared" si="156"/>
        <v>0</v>
      </c>
      <c r="AB222" s="332">
        <f t="shared" si="156"/>
        <v>0</v>
      </c>
      <c r="AC222" s="332">
        <f t="shared" si="156"/>
        <v>0</v>
      </c>
      <c r="AD222" s="1238" t="e">
        <f t="shared" si="147"/>
        <v>#DIV/0!</v>
      </c>
      <c r="AH222" s="2113">
        <f>SUM(AH219,AH220,AH221)</f>
        <v>0</v>
      </c>
      <c r="AI222" s="2114">
        <f t="shared" ref="AI222:AO222" si="157">SUM(AI219,AI220,AI221)</f>
        <v>0</v>
      </c>
      <c r="AJ222" s="2114">
        <f t="shared" si="157"/>
        <v>0</v>
      </c>
      <c r="AK222" s="2114">
        <f t="shared" si="157"/>
        <v>0</v>
      </c>
      <c r="AL222" s="2115">
        <f t="shared" si="157"/>
        <v>0</v>
      </c>
      <c r="AM222" s="2113">
        <f t="shared" si="157"/>
        <v>0</v>
      </c>
      <c r="AN222" s="2114">
        <f t="shared" si="157"/>
        <v>0</v>
      </c>
      <c r="AO222" s="2115">
        <f t="shared" si="157"/>
        <v>0</v>
      </c>
    </row>
    <row r="223" spans="1:41">
      <c r="A223" s="308"/>
      <c r="B223" s="1688" t="s">
        <v>35</v>
      </c>
      <c r="C223" s="354"/>
      <c r="D223" s="333"/>
      <c r="E223" s="333"/>
      <c r="F223" s="333"/>
      <c r="G223" s="355"/>
      <c r="H223" s="354"/>
      <c r="I223" s="333"/>
      <c r="J223" s="333"/>
      <c r="K223" s="333"/>
      <c r="L223" s="333"/>
      <c r="M223" s="354"/>
      <c r="N223" s="333"/>
      <c r="O223" s="333"/>
      <c r="P223" s="333"/>
      <c r="Q223" s="355"/>
      <c r="R223" s="1429"/>
      <c r="S223" s="354"/>
      <c r="T223" s="333"/>
      <c r="U223" s="333"/>
      <c r="V223" s="333"/>
      <c r="W223" s="355"/>
      <c r="X223" s="1236"/>
      <c r="Y223" s="354"/>
      <c r="Z223" s="333"/>
      <c r="AA223" s="333"/>
      <c r="AB223" s="333"/>
      <c r="AC223" s="333"/>
      <c r="AD223" s="1239"/>
      <c r="AH223" s="348"/>
      <c r="AI223" s="330"/>
      <c r="AJ223" s="330"/>
      <c r="AK223" s="330"/>
      <c r="AL223" s="1197"/>
      <c r="AM223" s="348"/>
      <c r="AN223" s="330"/>
      <c r="AO223" s="1197"/>
    </row>
    <row r="224" spans="1:41" ht="13.5" thickBot="1">
      <c r="A224" s="308"/>
      <c r="B224" s="1693" t="s">
        <v>608</v>
      </c>
      <c r="C224" s="1199">
        <f>C222-C223</f>
        <v>0</v>
      </c>
      <c r="D224" s="1200">
        <f t="shared" ref="D224:V224" si="158">D222-D223</f>
        <v>0</v>
      </c>
      <c r="E224" s="1200">
        <f t="shared" si="158"/>
        <v>0</v>
      </c>
      <c r="F224" s="1200">
        <f t="shared" si="158"/>
        <v>0</v>
      </c>
      <c r="G224" s="1201">
        <f t="shared" si="158"/>
        <v>0</v>
      </c>
      <c r="H224" s="1199">
        <f t="shared" si="158"/>
        <v>0</v>
      </c>
      <c r="I224" s="1200">
        <f t="shared" si="158"/>
        <v>0</v>
      </c>
      <c r="J224" s="1200">
        <f t="shared" si="158"/>
        <v>0</v>
      </c>
      <c r="K224" s="1200">
        <f t="shared" si="158"/>
        <v>0</v>
      </c>
      <c r="L224" s="1200">
        <f t="shared" si="158"/>
        <v>0</v>
      </c>
      <c r="M224" s="1199">
        <f t="shared" si="158"/>
        <v>0</v>
      </c>
      <c r="N224" s="1200">
        <f t="shared" si="158"/>
        <v>0</v>
      </c>
      <c r="O224" s="1200">
        <f t="shared" si="158"/>
        <v>0</v>
      </c>
      <c r="P224" s="1200">
        <f t="shared" si="158"/>
        <v>0</v>
      </c>
      <c r="Q224" s="1201">
        <f t="shared" si="158"/>
        <v>0</v>
      </c>
      <c r="R224" s="1429"/>
      <c r="S224" s="1199">
        <f t="shared" si="158"/>
        <v>0</v>
      </c>
      <c r="T224" s="1200">
        <f t="shared" si="158"/>
        <v>0</v>
      </c>
      <c r="U224" s="1200">
        <f t="shared" si="158"/>
        <v>0</v>
      </c>
      <c r="V224" s="1200">
        <f t="shared" si="158"/>
        <v>0</v>
      </c>
      <c r="W224" s="1201">
        <f>W222-W223</f>
        <v>0</v>
      </c>
      <c r="X224" s="1235" t="e">
        <f>SUM(C224:G224)/SUM(S224:W224)-1</f>
        <v>#DIV/0!</v>
      </c>
      <c r="Y224" s="1199">
        <f t="shared" ref="Y224:AC224" si="159">Y222-Y223</f>
        <v>0</v>
      </c>
      <c r="Z224" s="1200">
        <f t="shared" si="159"/>
        <v>0</v>
      </c>
      <c r="AA224" s="1200">
        <f t="shared" si="159"/>
        <v>0</v>
      </c>
      <c r="AB224" s="1200">
        <f t="shared" si="159"/>
        <v>0</v>
      </c>
      <c r="AC224" s="1200">
        <f t="shared" si="159"/>
        <v>0</v>
      </c>
      <c r="AD224" s="1238" t="e">
        <f>SUM(H224:L224)/SUM(Y224:AC224)-1</f>
        <v>#DIV/0!</v>
      </c>
      <c r="AH224" s="2102">
        <f>AH222-AH223</f>
        <v>0</v>
      </c>
      <c r="AI224" s="1200">
        <f t="shared" ref="AI224:AO224" si="160">AI222-AI223</f>
        <v>0</v>
      </c>
      <c r="AJ224" s="1200">
        <f t="shared" si="160"/>
        <v>0</v>
      </c>
      <c r="AK224" s="1200">
        <f t="shared" si="160"/>
        <v>0</v>
      </c>
      <c r="AL224" s="1201">
        <f t="shared" si="160"/>
        <v>0</v>
      </c>
      <c r="AM224" s="2102">
        <f t="shared" si="160"/>
        <v>0</v>
      </c>
      <c r="AN224" s="1200">
        <f t="shared" si="160"/>
        <v>0</v>
      </c>
      <c r="AO224" s="1201">
        <f t="shared" si="160"/>
        <v>0</v>
      </c>
    </row>
    <row r="225" spans="1:44" s="176" customFormat="1" ht="31.5" customHeight="1" thickBot="1">
      <c r="A225" s="862"/>
      <c r="B225" s="1724" t="s">
        <v>125</v>
      </c>
      <c r="C225" s="309"/>
      <c r="D225" s="1247"/>
      <c r="E225" s="1247"/>
      <c r="F225" s="1247"/>
      <c r="G225" s="1247"/>
      <c r="H225" s="1247"/>
      <c r="I225" s="1247"/>
      <c r="J225" s="1247"/>
      <c r="K225" s="1247"/>
      <c r="L225" s="1247"/>
      <c r="M225" s="1247"/>
      <c r="N225" s="1247"/>
      <c r="O225" s="1247"/>
      <c r="P225" s="1247"/>
      <c r="Q225" s="1248"/>
      <c r="R225" s="1429"/>
      <c r="S225" s="309"/>
      <c r="T225" s="1247"/>
      <c r="U225" s="1247"/>
      <c r="V225" s="1247"/>
      <c r="W225" s="1247"/>
      <c r="X225" s="1247"/>
      <c r="Y225" s="1247"/>
      <c r="Z225" s="1247"/>
      <c r="AA225" s="1247"/>
      <c r="AB225" s="1247"/>
      <c r="AC225" s="1247"/>
      <c r="AD225" s="1248"/>
      <c r="AE225"/>
      <c r="AH225" s="2107"/>
      <c r="AI225" s="2108"/>
      <c r="AJ225" s="2108"/>
      <c r="AK225" s="2108"/>
      <c r="AL225" s="2108"/>
      <c r="AM225" s="2108"/>
      <c r="AN225" s="2108"/>
      <c r="AO225" s="2109"/>
    </row>
    <row r="226" spans="1:44" ht="13.5" thickBot="1">
      <c r="A226" s="1429"/>
      <c r="B226" s="1429"/>
      <c r="C226" s="1429"/>
      <c r="D226" s="1429"/>
      <c r="E226" s="1429"/>
      <c r="F226" s="1429"/>
      <c r="G226" s="1429"/>
      <c r="H226" s="1429"/>
      <c r="I226" s="1429"/>
      <c r="J226" s="1429"/>
      <c r="K226" s="1429"/>
      <c r="L226" s="1429"/>
      <c r="M226" s="1429"/>
      <c r="N226" s="1429"/>
      <c r="O226" s="1429"/>
      <c r="P226" s="1429"/>
      <c r="Q226" s="1429"/>
      <c r="R226" s="1429"/>
      <c r="S226" s="1429"/>
      <c r="T226" s="1429"/>
      <c r="U226" s="1429"/>
      <c r="V226" s="1429"/>
      <c r="W226" s="1429"/>
      <c r="X226" s="1429"/>
      <c r="Y226" s="1429"/>
      <c r="Z226" s="1429"/>
      <c r="AA226" s="1429"/>
      <c r="AB226" s="1429"/>
      <c r="AC226" s="1429"/>
      <c r="AD226" s="1429"/>
      <c r="AH226" s="1429"/>
      <c r="AI226" s="1429"/>
      <c r="AJ226" s="1429"/>
      <c r="AK226" s="1429"/>
      <c r="AL226" s="1429"/>
      <c r="AM226" s="1429"/>
      <c r="AN226" s="1429"/>
      <c r="AO226" s="1429"/>
    </row>
    <row r="227" spans="1:44" ht="16.5" thickBot="1">
      <c r="A227" s="993"/>
      <c r="B227" s="298" t="s">
        <v>593</v>
      </c>
      <c r="C227" s="315"/>
      <c r="D227" s="315"/>
      <c r="E227" s="315"/>
      <c r="F227" s="315"/>
      <c r="G227" s="315"/>
      <c r="H227" s="315"/>
      <c r="I227" s="315"/>
      <c r="J227" s="315"/>
      <c r="K227" s="315"/>
      <c r="L227" s="315"/>
      <c r="M227" s="315"/>
      <c r="N227" s="315"/>
      <c r="O227" s="315"/>
      <c r="P227" s="315"/>
      <c r="Q227" s="316"/>
      <c r="R227" s="1429"/>
      <c r="S227" s="298"/>
      <c r="T227" s="315"/>
      <c r="U227" s="315"/>
      <c r="V227" s="315"/>
      <c r="W227" s="315"/>
      <c r="X227" s="315"/>
      <c r="Y227" s="315"/>
      <c r="Z227" s="315"/>
      <c r="AA227" s="315"/>
      <c r="AB227" s="315"/>
      <c r="AC227" s="315"/>
      <c r="AD227" s="316"/>
      <c r="AH227" s="298"/>
      <c r="AI227" s="315"/>
      <c r="AJ227" s="315"/>
      <c r="AK227" s="315"/>
      <c r="AL227" s="315"/>
      <c r="AM227" s="315"/>
      <c r="AN227" s="315"/>
      <c r="AO227" s="316"/>
    </row>
    <row r="228" spans="1:44">
      <c r="A228" s="308"/>
      <c r="B228" s="378" t="s">
        <v>602</v>
      </c>
      <c r="C228" s="379">
        <f t="shared" ref="C228:Q228" si="161">SUM(C103,C132,C161,C190,C219)</f>
        <v>0</v>
      </c>
      <c r="D228" s="380">
        <f t="shared" si="161"/>
        <v>0</v>
      </c>
      <c r="E228" s="380">
        <f t="shared" si="161"/>
        <v>0</v>
      </c>
      <c r="F228" s="380">
        <f t="shared" si="161"/>
        <v>0</v>
      </c>
      <c r="G228" s="1214">
        <f t="shared" si="161"/>
        <v>0</v>
      </c>
      <c r="H228" s="379">
        <f t="shared" si="161"/>
        <v>0</v>
      </c>
      <c r="I228" s="380">
        <f t="shared" si="161"/>
        <v>0</v>
      </c>
      <c r="J228" s="380">
        <f t="shared" si="161"/>
        <v>0</v>
      </c>
      <c r="K228" s="380">
        <f t="shared" si="161"/>
        <v>0</v>
      </c>
      <c r="L228" s="380">
        <f t="shared" si="161"/>
        <v>0</v>
      </c>
      <c r="M228" s="379">
        <f t="shared" si="161"/>
        <v>0</v>
      </c>
      <c r="N228" s="380">
        <f t="shared" si="161"/>
        <v>0</v>
      </c>
      <c r="O228" s="380">
        <f t="shared" si="161"/>
        <v>0</v>
      </c>
      <c r="P228" s="380">
        <f t="shared" si="161"/>
        <v>0</v>
      </c>
      <c r="Q228" s="1214">
        <f t="shared" si="161"/>
        <v>0</v>
      </c>
      <c r="R228" s="1429"/>
      <c r="S228" s="379">
        <f t="shared" ref="S228:W230" si="162">SUM(S103,S132,S161,S190,S219)</f>
        <v>0</v>
      </c>
      <c r="T228" s="380">
        <f t="shared" si="162"/>
        <v>0</v>
      </c>
      <c r="U228" s="380">
        <f t="shared" si="162"/>
        <v>0</v>
      </c>
      <c r="V228" s="380">
        <f t="shared" si="162"/>
        <v>0</v>
      </c>
      <c r="W228" s="1214">
        <f t="shared" si="162"/>
        <v>0</v>
      </c>
      <c r="X228" s="1229" t="e">
        <f t="shared" ref="X228:X233" si="163">SUM(C228:G228)/SUM(S228:W228)-1</f>
        <v>#DIV/0!</v>
      </c>
      <c r="Y228" s="2090">
        <f t="shared" ref="Y228:AC230" si="164">SUM(Y103,Y132,Y161,Y190,Y219)</f>
        <v>0</v>
      </c>
      <c r="Z228" s="380">
        <f t="shared" si="164"/>
        <v>0</v>
      </c>
      <c r="AA228" s="380">
        <f t="shared" si="164"/>
        <v>0</v>
      </c>
      <c r="AB228" s="380">
        <f t="shared" si="164"/>
        <v>0</v>
      </c>
      <c r="AC228" s="380">
        <f t="shared" si="164"/>
        <v>0</v>
      </c>
      <c r="AD228" s="2091" t="e">
        <f t="shared" ref="AD228:AD233" si="165">SUM(H228:L228)/SUM(Y228:AC228)-1</f>
        <v>#DIV/0!</v>
      </c>
      <c r="AH228" s="379">
        <f t="shared" ref="AH228:AO228" si="166">SUM(AH103,AH132,AH161,AH190,AH219)</f>
        <v>0</v>
      </c>
      <c r="AI228" s="380">
        <f t="shared" si="166"/>
        <v>0</v>
      </c>
      <c r="AJ228" s="380">
        <f t="shared" si="166"/>
        <v>0</v>
      </c>
      <c r="AK228" s="380">
        <f t="shared" si="166"/>
        <v>0</v>
      </c>
      <c r="AL228" s="1214">
        <f t="shared" si="166"/>
        <v>0</v>
      </c>
      <c r="AM228" s="379">
        <f t="shared" si="166"/>
        <v>0</v>
      </c>
      <c r="AN228" s="380">
        <f t="shared" si="166"/>
        <v>0</v>
      </c>
      <c r="AO228" s="380">
        <f t="shared" si="166"/>
        <v>0</v>
      </c>
    </row>
    <row r="229" spans="1:44">
      <c r="A229" s="308"/>
      <c r="B229" s="1072" t="s">
        <v>603</v>
      </c>
      <c r="C229" s="569">
        <f t="shared" ref="C229:Q229" si="167">SUM(C104,C133,C162,C191,C220)</f>
        <v>0</v>
      </c>
      <c r="D229" s="570">
        <f t="shared" si="167"/>
        <v>0</v>
      </c>
      <c r="E229" s="570">
        <f t="shared" si="167"/>
        <v>0</v>
      </c>
      <c r="F229" s="570">
        <f t="shared" si="167"/>
        <v>0</v>
      </c>
      <c r="G229" s="608">
        <f t="shared" si="167"/>
        <v>0</v>
      </c>
      <c r="H229" s="569">
        <f t="shared" si="167"/>
        <v>0</v>
      </c>
      <c r="I229" s="570">
        <f t="shared" si="167"/>
        <v>0</v>
      </c>
      <c r="J229" s="570">
        <f t="shared" si="167"/>
        <v>0</v>
      </c>
      <c r="K229" s="570">
        <f t="shared" si="167"/>
        <v>0</v>
      </c>
      <c r="L229" s="570">
        <f t="shared" si="167"/>
        <v>0</v>
      </c>
      <c r="M229" s="569">
        <f t="shared" si="167"/>
        <v>0</v>
      </c>
      <c r="N229" s="570">
        <f t="shared" si="167"/>
        <v>0</v>
      </c>
      <c r="O229" s="570">
        <f t="shared" si="167"/>
        <v>0</v>
      </c>
      <c r="P229" s="570">
        <f t="shared" si="167"/>
        <v>0</v>
      </c>
      <c r="Q229" s="608">
        <f t="shared" si="167"/>
        <v>0</v>
      </c>
      <c r="R229" s="1429"/>
      <c r="S229" s="569">
        <f t="shared" si="162"/>
        <v>0</v>
      </c>
      <c r="T229" s="570">
        <f t="shared" si="162"/>
        <v>0</v>
      </c>
      <c r="U229" s="570">
        <f t="shared" si="162"/>
        <v>0</v>
      </c>
      <c r="V229" s="570">
        <f t="shared" si="162"/>
        <v>0</v>
      </c>
      <c r="W229" s="608">
        <f t="shared" si="162"/>
        <v>0</v>
      </c>
      <c r="X229" s="1230" t="e">
        <f t="shared" si="163"/>
        <v>#DIV/0!</v>
      </c>
      <c r="Y229" s="569">
        <f t="shared" si="164"/>
        <v>0</v>
      </c>
      <c r="Z229" s="570">
        <f t="shared" si="164"/>
        <v>0</v>
      </c>
      <c r="AA229" s="570">
        <f t="shared" si="164"/>
        <v>0</v>
      </c>
      <c r="AB229" s="570">
        <f t="shared" si="164"/>
        <v>0</v>
      </c>
      <c r="AC229" s="570">
        <f t="shared" si="164"/>
        <v>0</v>
      </c>
      <c r="AD229" s="2092" t="e">
        <f t="shared" si="165"/>
        <v>#DIV/0!</v>
      </c>
      <c r="AH229" s="569">
        <f t="shared" ref="AH229:AO229" si="168">SUM(AH104,AH133,AH162,AH191,AH220)</f>
        <v>0</v>
      </c>
      <c r="AI229" s="570">
        <f t="shared" si="168"/>
        <v>0</v>
      </c>
      <c r="AJ229" s="570">
        <f t="shared" si="168"/>
        <v>0</v>
      </c>
      <c r="AK229" s="570">
        <f t="shared" si="168"/>
        <v>0</v>
      </c>
      <c r="AL229" s="608">
        <f t="shared" si="168"/>
        <v>0</v>
      </c>
      <c r="AM229" s="569">
        <f t="shared" si="168"/>
        <v>0</v>
      </c>
      <c r="AN229" s="570">
        <f t="shared" si="168"/>
        <v>0</v>
      </c>
      <c r="AO229" s="570">
        <f t="shared" si="168"/>
        <v>0</v>
      </c>
    </row>
    <row r="230" spans="1:44">
      <c r="A230" s="308"/>
      <c r="B230" s="1072" t="s">
        <v>159</v>
      </c>
      <c r="C230" s="569">
        <f t="shared" ref="C230:Q230" si="169">SUM(C105,C134,C163,C192,C221)</f>
        <v>0</v>
      </c>
      <c r="D230" s="570">
        <f t="shared" si="169"/>
        <v>0</v>
      </c>
      <c r="E230" s="570">
        <f t="shared" si="169"/>
        <v>0</v>
      </c>
      <c r="F230" s="570">
        <f t="shared" si="169"/>
        <v>0</v>
      </c>
      <c r="G230" s="608">
        <f t="shared" si="169"/>
        <v>0</v>
      </c>
      <c r="H230" s="569">
        <f t="shared" si="169"/>
        <v>0</v>
      </c>
      <c r="I230" s="570">
        <f t="shared" si="169"/>
        <v>0</v>
      </c>
      <c r="J230" s="570">
        <f t="shared" si="169"/>
        <v>0</v>
      </c>
      <c r="K230" s="570">
        <f t="shared" si="169"/>
        <v>0</v>
      </c>
      <c r="L230" s="570">
        <f t="shared" si="169"/>
        <v>0</v>
      </c>
      <c r="M230" s="569">
        <f t="shared" si="169"/>
        <v>0</v>
      </c>
      <c r="N230" s="570">
        <f t="shared" si="169"/>
        <v>0</v>
      </c>
      <c r="O230" s="570">
        <f t="shared" si="169"/>
        <v>0</v>
      </c>
      <c r="P230" s="570">
        <f t="shared" si="169"/>
        <v>0</v>
      </c>
      <c r="Q230" s="608">
        <f t="shared" si="169"/>
        <v>0</v>
      </c>
      <c r="R230" s="1429"/>
      <c r="S230" s="569">
        <f t="shared" si="162"/>
        <v>0</v>
      </c>
      <c r="T230" s="570">
        <f t="shared" si="162"/>
        <v>0</v>
      </c>
      <c r="U230" s="570">
        <f t="shared" si="162"/>
        <v>0</v>
      </c>
      <c r="V230" s="570">
        <f t="shared" si="162"/>
        <v>0</v>
      </c>
      <c r="W230" s="608">
        <f t="shared" si="162"/>
        <v>0</v>
      </c>
      <c r="X230" s="1230" t="e">
        <f t="shared" si="163"/>
        <v>#DIV/0!</v>
      </c>
      <c r="Y230" s="569">
        <f t="shared" si="164"/>
        <v>0</v>
      </c>
      <c r="Z230" s="570">
        <f t="shared" si="164"/>
        <v>0</v>
      </c>
      <c r="AA230" s="570">
        <f t="shared" si="164"/>
        <v>0</v>
      </c>
      <c r="AB230" s="570">
        <f t="shared" si="164"/>
        <v>0</v>
      </c>
      <c r="AC230" s="570">
        <f t="shared" si="164"/>
        <v>0</v>
      </c>
      <c r="AD230" s="2092" t="e">
        <f t="shared" si="165"/>
        <v>#DIV/0!</v>
      </c>
      <c r="AH230" s="569">
        <f t="shared" ref="AH230:AO230" si="170">SUM(AH105,AH134,AH163,AH192,AH221)</f>
        <v>0</v>
      </c>
      <c r="AI230" s="570">
        <f t="shared" si="170"/>
        <v>0</v>
      </c>
      <c r="AJ230" s="570">
        <f t="shared" si="170"/>
        <v>0</v>
      </c>
      <c r="AK230" s="570">
        <f t="shared" si="170"/>
        <v>0</v>
      </c>
      <c r="AL230" s="608">
        <f t="shared" si="170"/>
        <v>0</v>
      </c>
      <c r="AM230" s="569">
        <f t="shared" si="170"/>
        <v>0</v>
      </c>
      <c r="AN230" s="570">
        <f t="shared" si="170"/>
        <v>0</v>
      </c>
      <c r="AO230" s="570">
        <f t="shared" si="170"/>
        <v>0</v>
      </c>
    </row>
    <row r="231" spans="1:44">
      <c r="A231" s="308"/>
      <c r="B231" s="1020" t="s">
        <v>609</v>
      </c>
      <c r="C231" s="381">
        <f>SUM(C228,C229,C230)</f>
        <v>0</v>
      </c>
      <c r="D231" s="382">
        <f t="shared" ref="D231:Q231" si="171">SUM(D228,D229,D230)</f>
        <v>0</v>
      </c>
      <c r="E231" s="382">
        <f t="shared" si="171"/>
        <v>0</v>
      </c>
      <c r="F231" s="382">
        <f t="shared" si="171"/>
        <v>0</v>
      </c>
      <c r="G231" s="1215">
        <f t="shared" si="171"/>
        <v>0</v>
      </c>
      <c r="H231" s="381">
        <f t="shared" si="171"/>
        <v>0</v>
      </c>
      <c r="I231" s="382">
        <f t="shared" si="171"/>
        <v>0</v>
      </c>
      <c r="J231" s="382">
        <f t="shared" si="171"/>
        <v>0</v>
      </c>
      <c r="K231" s="382">
        <f t="shared" si="171"/>
        <v>0</v>
      </c>
      <c r="L231" s="382">
        <f t="shared" si="171"/>
        <v>0</v>
      </c>
      <c r="M231" s="381">
        <f t="shared" si="171"/>
        <v>0</v>
      </c>
      <c r="N231" s="382">
        <f t="shared" si="171"/>
        <v>0</v>
      </c>
      <c r="O231" s="382">
        <f t="shared" si="171"/>
        <v>0</v>
      </c>
      <c r="P231" s="382">
        <f t="shared" si="171"/>
        <v>0</v>
      </c>
      <c r="Q231" s="1215">
        <f t="shared" si="171"/>
        <v>0</v>
      </c>
      <c r="R231" s="1429"/>
      <c r="S231" s="381">
        <f t="shared" ref="S231:W231" si="172">SUM(S228,S229,S230)</f>
        <v>0</v>
      </c>
      <c r="T231" s="382">
        <f t="shared" si="172"/>
        <v>0</v>
      </c>
      <c r="U231" s="382">
        <f t="shared" si="172"/>
        <v>0</v>
      </c>
      <c r="V231" s="382">
        <f t="shared" si="172"/>
        <v>0</v>
      </c>
      <c r="W231" s="1215">
        <f t="shared" si="172"/>
        <v>0</v>
      </c>
      <c r="X231" s="1231" t="e">
        <f t="shared" si="163"/>
        <v>#DIV/0!</v>
      </c>
      <c r="Y231" s="381">
        <f t="shared" ref="Y231:AC231" si="173">SUM(Y228,Y229,Y230)</f>
        <v>0</v>
      </c>
      <c r="Z231" s="382">
        <f t="shared" si="173"/>
        <v>0</v>
      </c>
      <c r="AA231" s="382">
        <f t="shared" si="173"/>
        <v>0</v>
      </c>
      <c r="AB231" s="382">
        <f t="shared" si="173"/>
        <v>0</v>
      </c>
      <c r="AC231" s="382">
        <f t="shared" si="173"/>
        <v>0</v>
      </c>
      <c r="AD231" s="2093" t="e">
        <f t="shared" si="165"/>
        <v>#DIV/0!</v>
      </c>
      <c r="AH231" s="381">
        <f>SUM(AH228,AH229,AH230)</f>
        <v>0</v>
      </c>
      <c r="AI231" s="382">
        <f t="shared" ref="AI231:AO231" si="174">SUM(AI228,AI229,AI230)</f>
        <v>0</v>
      </c>
      <c r="AJ231" s="382">
        <f t="shared" si="174"/>
        <v>0</v>
      </c>
      <c r="AK231" s="382">
        <f t="shared" si="174"/>
        <v>0</v>
      </c>
      <c r="AL231" s="1215">
        <f t="shared" si="174"/>
        <v>0</v>
      </c>
      <c r="AM231" s="381">
        <f t="shared" si="174"/>
        <v>0</v>
      </c>
      <c r="AN231" s="382">
        <f t="shared" si="174"/>
        <v>0</v>
      </c>
      <c r="AO231" s="382">
        <f t="shared" si="174"/>
        <v>0</v>
      </c>
    </row>
    <row r="232" spans="1:44">
      <c r="A232" s="308"/>
      <c r="B232" s="1072" t="s">
        <v>35</v>
      </c>
      <c r="C232" s="569">
        <f t="shared" ref="C232:Q232" si="175">SUM(C107,C136,C165,C194,C223)</f>
        <v>0</v>
      </c>
      <c r="D232" s="570">
        <f t="shared" si="175"/>
        <v>0</v>
      </c>
      <c r="E232" s="570">
        <f t="shared" si="175"/>
        <v>0</v>
      </c>
      <c r="F232" s="570">
        <f t="shared" si="175"/>
        <v>0</v>
      </c>
      <c r="G232" s="608">
        <f t="shared" si="175"/>
        <v>0</v>
      </c>
      <c r="H232" s="569">
        <f t="shared" si="175"/>
        <v>0</v>
      </c>
      <c r="I232" s="570">
        <f t="shared" si="175"/>
        <v>0</v>
      </c>
      <c r="J232" s="570">
        <f t="shared" si="175"/>
        <v>0</v>
      </c>
      <c r="K232" s="570">
        <f t="shared" si="175"/>
        <v>0</v>
      </c>
      <c r="L232" s="570">
        <f t="shared" si="175"/>
        <v>0</v>
      </c>
      <c r="M232" s="569">
        <f t="shared" si="175"/>
        <v>0</v>
      </c>
      <c r="N232" s="570">
        <f t="shared" si="175"/>
        <v>0</v>
      </c>
      <c r="O232" s="570">
        <f t="shared" si="175"/>
        <v>0</v>
      </c>
      <c r="P232" s="570">
        <f t="shared" si="175"/>
        <v>0</v>
      </c>
      <c r="Q232" s="608">
        <f t="shared" si="175"/>
        <v>0</v>
      </c>
      <c r="R232" s="1429"/>
      <c r="S232" s="569">
        <f>SUM(S107,S136,S165,S194,S223)</f>
        <v>0</v>
      </c>
      <c r="T232" s="570">
        <f>SUM(T107,T136,T165,T194,T223)</f>
        <v>0</v>
      </c>
      <c r="U232" s="570">
        <f>SUM(U107,U136,U165,U194,U223)</f>
        <v>0</v>
      </c>
      <c r="V232" s="570">
        <f>SUM(V107,V136,V165,V194,V223)</f>
        <v>0</v>
      </c>
      <c r="W232" s="608">
        <f>SUM(W107,W136,W165,W194,W223)</f>
        <v>0</v>
      </c>
      <c r="X232" s="1230" t="e">
        <f t="shared" si="163"/>
        <v>#DIV/0!</v>
      </c>
      <c r="Y232" s="569">
        <f>SUM(Y107,Y136,Y165,Y194,Y223)</f>
        <v>0</v>
      </c>
      <c r="Z232" s="570">
        <f>SUM(Z107,Z136,Z165,Z194,Z223)</f>
        <v>0</v>
      </c>
      <c r="AA232" s="570">
        <f>SUM(AA107,AA136,AA165,AA194,AA223)</f>
        <v>0</v>
      </c>
      <c r="AB232" s="570">
        <f>SUM(AB107,AB136,AB165,AB194,AB223)</f>
        <v>0</v>
      </c>
      <c r="AC232" s="570">
        <f>SUM(AC107,AC136,AC165,AC194,AC223)</f>
        <v>0</v>
      </c>
      <c r="AD232" s="2092" t="e">
        <f t="shared" si="165"/>
        <v>#DIV/0!</v>
      </c>
      <c r="AH232" s="569">
        <f t="shared" ref="AH232:AO232" si="176">SUM(AH107,AH136,AH165,AH194,AH223)</f>
        <v>0</v>
      </c>
      <c r="AI232" s="570">
        <f t="shared" si="176"/>
        <v>0</v>
      </c>
      <c r="AJ232" s="570">
        <f t="shared" si="176"/>
        <v>0</v>
      </c>
      <c r="AK232" s="570">
        <f t="shared" si="176"/>
        <v>0</v>
      </c>
      <c r="AL232" s="608">
        <f t="shared" si="176"/>
        <v>0</v>
      </c>
      <c r="AM232" s="569">
        <f t="shared" si="176"/>
        <v>0</v>
      </c>
      <c r="AN232" s="570">
        <f t="shared" si="176"/>
        <v>0</v>
      </c>
      <c r="AO232" s="570">
        <f t="shared" si="176"/>
        <v>0</v>
      </c>
    </row>
    <row r="233" spans="1:44" ht="13.5" thickBot="1">
      <c r="A233" s="361"/>
      <c r="B233" s="383" t="s">
        <v>610</v>
      </c>
      <c r="C233" s="377">
        <f t="shared" ref="C233:W233" si="177">C231-C232</f>
        <v>0</v>
      </c>
      <c r="D233" s="375">
        <f t="shared" si="177"/>
        <v>0</v>
      </c>
      <c r="E233" s="375">
        <f t="shared" si="177"/>
        <v>0</v>
      </c>
      <c r="F233" s="375">
        <f t="shared" si="177"/>
        <v>0</v>
      </c>
      <c r="G233" s="376">
        <f t="shared" si="177"/>
        <v>0</v>
      </c>
      <c r="H233" s="377">
        <f t="shared" si="177"/>
        <v>0</v>
      </c>
      <c r="I233" s="375">
        <f t="shared" si="177"/>
        <v>0</v>
      </c>
      <c r="J233" s="375">
        <f t="shared" si="177"/>
        <v>0</v>
      </c>
      <c r="K233" s="375">
        <f t="shared" si="177"/>
        <v>0</v>
      </c>
      <c r="L233" s="375">
        <f t="shared" si="177"/>
        <v>0</v>
      </c>
      <c r="M233" s="377">
        <f t="shared" si="177"/>
        <v>0</v>
      </c>
      <c r="N233" s="375">
        <f t="shared" si="177"/>
        <v>0</v>
      </c>
      <c r="O233" s="375">
        <f t="shared" si="177"/>
        <v>0</v>
      </c>
      <c r="P233" s="375">
        <f t="shared" si="177"/>
        <v>0</v>
      </c>
      <c r="Q233" s="376">
        <f t="shared" si="177"/>
        <v>0</v>
      </c>
      <c r="R233" s="1429"/>
      <c r="S233" s="377">
        <f t="shared" si="177"/>
        <v>0</v>
      </c>
      <c r="T233" s="375">
        <f t="shared" si="177"/>
        <v>0</v>
      </c>
      <c r="U233" s="375">
        <f t="shared" si="177"/>
        <v>0</v>
      </c>
      <c r="V233" s="375">
        <f t="shared" si="177"/>
        <v>0</v>
      </c>
      <c r="W233" s="376">
        <f t="shared" si="177"/>
        <v>0</v>
      </c>
      <c r="X233" s="1222" t="e">
        <f t="shared" si="163"/>
        <v>#DIV/0!</v>
      </c>
      <c r="Y233" s="2094">
        <f t="shared" ref="Y233:AC233" si="178">Y231-Y232</f>
        <v>0</v>
      </c>
      <c r="Z233" s="375">
        <f t="shared" si="178"/>
        <v>0</v>
      </c>
      <c r="AA233" s="375">
        <f t="shared" si="178"/>
        <v>0</v>
      </c>
      <c r="AB233" s="375">
        <f t="shared" si="178"/>
        <v>0</v>
      </c>
      <c r="AC233" s="375">
        <f t="shared" si="178"/>
        <v>0</v>
      </c>
      <c r="AD233" s="1228" t="e">
        <f t="shared" si="165"/>
        <v>#DIV/0!</v>
      </c>
      <c r="AH233" s="377">
        <f t="shared" ref="AH233:AO233" si="179">AH231-AH232</f>
        <v>0</v>
      </c>
      <c r="AI233" s="375">
        <f t="shared" si="179"/>
        <v>0</v>
      </c>
      <c r="AJ233" s="375">
        <f t="shared" si="179"/>
        <v>0</v>
      </c>
      <c r="AK233" s="375">
        <f t="shared" si="179"/>
        <v>0</v>
      </c>
      <c r="AL233" s="376">
        <f t="shared" si="179"/>
        <v>0</v>
      </c>
      <c r="AM233" s="377">
        <f t="shared" si="179"/>
        <v>0</v>
      </c>
      <c r="AN233" s="375">
        <f t="shared" si="179"/>
        <v>0</v>
      </c>
      <c r="AO233" s="375">
        <f t="shared" si="179"/>
        <v>0</v>
      </c>
    </row>
    <row r="234" spans="1:44" ht="36.75" customHeight="1" thickBot="1">
      <c r="A234" s="1429"/>
      <c r="B234" s="1429"/>
      <c r="C234" s="1429"/>
      <c r="D234" s="1429"/>
      <c r="E234" s="1429"/>
      <c r="F234" s="1429"/>
      <c r="G234" s="1429"/>
      <c r="H234" s="1429"/>
      <c r="I234" s="1429"/>
      <c r="J234" s="1429"/>
      <c r="K234" s="1429"/>
      <c r="L234" s="1429"/>
      <c r="M234" s="1429"/>
      <c r="N234" s="1429"/>
      <c r="O234" s="1429"/>
      <c r="P234" s="1429"/>
      <c r="Q234" s="1429"/>
      <c r="R234" s="1429"/>
      <c r="S234" s="1429"/>
      <c r="T234" s="1429"/>
      <c r="U234" s="1429"/>
      <c r="V234" s="1429"/>
      <c r="W234" s="1429"/>
      <c r="X234" s="1429"/>
      <c r="Y234" s="1429"/>
      <c r="Z234" s="1429"/>
      <c r="AA234" s="1429"/>
      <c r="AB234" s="1429"/>
      <c r="AC234" s="1429"/>
      <c r="AD234" s="1429"/>
      <c r="AH234" s="1429"/>
      <c r="AI234" s="1429"/>
      <c r="AJ234" s="1429"/>
      <c r="AK234" s="1429"/>
      <c r="AL234" s="1429"/>
      <c r="AM234" s="1429"/>
      <c r="AN234" s="1429"/>
      <c r="AO234" s="1429"/>
    </row>
    <row r="235" spans="1:44" s="233" customFormat="1" ht="36.75" customHeight="1" thickBot="1">
      <c r="A235" s="992"/>
      <c r="B235" s="1571" t="s">
        <v>362</v>
      </c>
      <c r="C235" s="1574"/>
      <c r="D235" s="1574"/>
      <c r="E235" s="1574"/>
      <c r="F235" s="1574"/>
      <c r="G235" s="1574"/>
      <c r="H235" s="1574"/>
      <c r="I235" s="1574"/>
      <c r="J235" s="1574"/>
      <c r="K235" s="1574"/>
      <c r="L235" s="1574"/>
      <c r="M235" s="1574"/>
      <c r="N235" s="1574"/>
      <c r="O235" s="1574"/>
      <c r="P235" s="1574"/>
      <c r="Q235" s="1575"/>
      <c r="R235" s="1429"/>
      <c r="S235" s="1571"/>
      <c r="T235" s="1574"/>
      <c r="U235" s="1574"/>
      <c r="V235" s="1574"/>
      <c r="W235" s="1574"/>
      <c r="X235" s="1574"/>
      <c r="Y235" s="1574"/>
      <c r="Z235" s="1574"/>
      <c r="AA235" s="1574"/>
      <c r="AB235" s="1574"/>
      <c r="AC235" s="1574"/>
      <c r="AD235" s="1575"/>
      <c r="AE235" s="1427"/>
      <c r="AH235" s="2089"/>
      <c r="AI235" s="1574"/>
      <c r="AJ235" s="1574"/>
      <c r="AK235" s="1574"/>
      <c r="AL235" s="1574"/>
      <c r="AM235" s="1574"/>
      <c r="AN235" s="1574"/>
      <c r="AO235" s="1575"/>
      <c r="AP235"/>
      <c r="AQ235"/>
      <c r="AR235"/>
    </row>
    <row r="236" spans="1:44" ht="32.25" customHeight="1">
      <c r="A236" s="1429"/>
      <c r="B236" s="1187"/>
      <c r="C236" s="3597" t="s">
        <v>36</v>
      </c>
      <c r="D236" s="3549"/>
      <c r="E236" s="3549"/>
      <c r="F236" s="3549"/>
      <c r="G236" s="3549"/>
      <c r="H236" s="3598" t="s">
        <v>37</v>
      </c>
      <c r="I236" s="3598"/>
      <c r="J236" s="3598"/>
      <c r="K236" s="3598"/>
      <c r="L236" s="3598"/>
      <c r="M236" s="3599" t="s">
        <v>73</v>
      </c>
      <c r="N236" s="3549"/>
      <c r="O236" s="3549"/>
      <c r="P236" s="3549"/>
      <c r="Q236" s="3596"/>
      <c r="R236" s="1429"/>
      <c r="S236" s="3548" t="s">
        <v>36</v>
      </c>
      <c r="T236" s="3599"/>
      <c r="U236" s="3599"/>
      <c r="V236" s="3599"/>
      <c r="W236" s="3599"/>
      <c r="X236" s="3599"/>
      <c r="Y236" s="3598" t="s">
        <v>37</v>
      </c>
      <c r="Z236" s="3598"/>
      <c r="AA236" s="3598"/>
      <c r="AB236" s="3598"/>
      <c r="AC236" s="3598"/>
      <c r="AD236" s="3600"/>
      <c r="AH236" s="3548" t="s">
        <v>36</v>
      </c>
      <c r="AI236" s="3549"/>
      <c r="AJ236" s="3549"/>
      <c r="AK236" s="3549"/>
      <c r="AL236" s="3549"/>
      <c r="AM236" s="3559" t="s">
        <v>37</v>
      </c>
      <c r="AN236" s="3560"/>
      <c r="AO236" s="3561"/>
    </row>
    <row r="237" spans="1:44" ht="15" customHeight="1">
      <c r="A237" s="291"/>
      <c r="B237" s="1188"/>
      <c r="C237" s="3550" t="s">
        <v>579</v>
      </c>
      <c r="D237" s="3551"/>
      <c r="E237" s="3551"/>
      <c r="F237" s="3551"/>
      <c r="G237" s="3551"/>
      <c r="H237" s="3551"/>
      <c r="I237" s="3551"/>
      <c r="J237" s="3595"/>
      <c r="K237" s="3589" t="str">
        <f>CONCATENATE("$0's, real ",dms_DollarReal)</f>
        <v>$0's, real December 2017</v>
      </c>
      <c r="L237" s="3590"/>
      <c r="M237" s="3590"/>
      <c r="N237" s="3590"/>
      <c r="O237" s="3590"/>
      <c r="P237" s="3590"/>
      <c r="Q237" s="3591"/>
      <c r="R237" s="1429"/>
      <c r="S237" s="3592" t="str">
        <f>CONCATENATE("$0's, real ",dms_DollarReal)</f>
        <v>$0's, real December 2017</v>
      </c>
      <c r="T237" s="3593"/>
      <c r="U237" s="3593"/>
      <c r="V237" s="3593"/>
      <c r="W237" s="3593"/>
      <c r="X237" s="1244" t="s">
        <v>118</v>
      </c>
      <c r="Y237" s="3594" t="str">
        <f>CONCATENATE("$0's, real ",dms_DollarReal)</f>
        <v>$0's, real December 2017</v>
      </c>
      <c r="Z237" s="3594"/>
      <c r="AA237" s="3594"/>
      <c r="AB237" s="3594"/>
      <c r="AC237" s="3594"/>
      <c r="AD237" s="1490" t="s">
        <v>118</v>
      </c>
      <c r="AH237" s="3550" t="str">
        <f>CONCATENATE("$0's, real ",dms_DollarReal)</f>
        <v>$0's, real December 2017</v>
      </c>
      <c r="AI237" s="3551"/>
      <c r="AJ237" s="3551"/>
      <c r="AK237" s="3551"/>
      <c r="AL237" s="3551"/>
      <c r="AM237" s="3551"/>
      <c r="AN237" s="3551"/>
      <c r="AO237" s="3552"/>
    </row>
    <row r="238" spans="1:44" ht="30">
      <c r="A238" s="1429"/>
      <c r="B238" s="1189"/>
      <c r="C238" s="3553" t="s">
        <v>54</v>
      </c>
      <c r="D238" s="3554"/>
      <c r="E238" s="3554"/>
      <c r="F238" s="3554"/>
      <c r="G238" s="3554"/>
      <c r="H238" s="3554"/>
      <c r="I238" s="3554"/>
      <c r="J238" s="3554"/>
      <c r="K238" s="3590" t="s">
        <v>55</v>
      </c>
      <c r="L238" s="3590"/>
      <c r="M238" s="3590"/>
      <c r="N238" s="3590"/>
      <c r="O238" s="3590"/>
      <c r="P238" s="3590"/>
      <c r="Q238" s="3591"/>
      <c r="R238" s="1429"/>
      <c r="S238" s="3592" t="s">
        <v>74</v>
      </c>
      <c r="T238" s="3593"/>
      <c r="U238" s="3593"/>
      <c r="V238" s="3593"/>
      <c r="W238" s="3593"/>
      <c r="X238" s="1244" t="s">
        <v>356</v>
      </c>
      <c r="Y238" s="3594" t="s">
        <v>74</v>
      </c>
      <c r="Z238" s="3594"/>
      <c r="AA238" s="3594"/>
      <c r="AB238" s="3594"/>
      <c r="AC238" s="3594"/>
      <c r="AD238" s="1490" t="s">
        <v>356</v>
      </c>
      <c r="AH238" s="3553" t="s">
        <v>54</v>
      </c>
      <c r="AI238" s="3554"/>
      <c r="AJ238" s="3554"/>
      <c r="AK238" s="3554"/>
      <c r="AL238" s="3554"/>
      <c r="AM238" s="3554"/>
      <c r="AN238" s="3554"/>
      <c r="AO238" s="3555"/>
    </row>
    <row r="239" spans="1:44" ht="15.75" thickBot="1">
      <c r="A239" s="293"/>
      <c r="B239" s="1190"/>
      <c r="C239" s="391">
        <f t="array" ref="C239:G239">PRCP</f>
        <v>2008</v>
      </c>
      <c r="D239" s="390">
        <v>2009</v>
      </c>
      <c r="E239" s="390">
        <v>2010</v>
      </c>
      <c r="F239" s="390">
        <v>2011</v>
      </c>
      <c r="G239" s="390">
        <v>2012</v>
      </c>
      <c r="H239" s="392">
        <f>CRCP_y1</f>
        <v>2013</v>
      </c>
      <c r="I239" s="392">
        <f>CRCP_y2</f>
        <v>2014</v>
      </c>
      <c r="J239" s="392">
        <f>CRCP_y3</f>
        <v>2015</v>
      </c>
      <c r="K239" s="392">
        <f>CRCP_y4</f>
        <v>2016</v>
      </c>
      <c r="L239" s="392">
        <f>CRCP_y5</f>
        <v>2017</v>
      </c>
      <c r="M239" s="390" t="str">
        <f t="array" ref="M239:Q239">FRCP</f>
        <v>2018</v>
      </c>
      <c r="N239" s="390">
        <v>2019</v>
      </c>
      <c r="O239" s="390">
        <v>2020</v>
      </c>
      <c r="P239" s="390">
        <v>2021</v>
      </c>
      <c r="Q239" s="498">
        <v>2022</v>
      </c>
      <c r="R239" s="1429"/>
      <c r="S239" s="1789">
        <f t="array" ref="S239:W239">PRCP</f>
        <v>2008</v>
      </c>
      <c r="T239" s="390">
        <v>2009</v>
      </c>
      <c r="U239" s="390">
        <v>2010</v>
      </c>
      <c r="V239" s="390">
        <v>2011</v>
      </c>
      <c r="W239" s="390">
        <v>2012</v>
      </c>
      <c r="X239" s="1245" t="s">
        <v>116</v>
      </c>
      <c r="Y239" s="392">
        <f>CRCP_y1</f>
        <v>2013</v>
      </c>
      <c r="Z239" s="392">
        <f>CRCP_y2</f>
        <v>2014</v>
      </c>
      <c r="AA239" s="392">
        <f>CRCP_y3</f>
        <v>2015</v>
      </c>
      <c r="AB239" s="392">
        <f>CRCP_y4</f>
        <v>2016</v>
      </c>
      <c r="AC239" s="392">
        <f>CRCP_y5</f>
        <v>2017</v>
      </c>
      <c r="AD239" s="1491" t="s">
        <v>116</v>
      </c>
      <c r="AH239" s="1789">
        <f t="array" ref="AH239:AL239">PRCP</f>
        <v>2008</v>
      </c>
      <c r="AI239" s="390">
        <v>2009</v>
      </c>
      <c r="AJ239" s="390">
        <v>2010</v>
      </c>
      <c r="AK239" s="390">
        <v>2011</v>
      </c>
      <c r="AL239" s="390">
        <v>2012</v>
      </c>
      <c r="AM239" s="392">
        <f>CRCP_y1</f>
        <v>2013</v>
      </c>
      <c r="AN239" s="392">
        <f>CRCP_y2</f>
        <v>2014</v>
      </c>
      <c r="AO239" s="603">
        <f>CRCP_y3</f>
        <v>2015</v>
      </c>
    </row>
    <row r="240" spans="1:44">
      <c r="A240" s="308"/>
      <c r="B240" s="384" t="s">
        <v>611</v>
      </c>
      <c r="C240" s="1156"/>
      <c r="D240" s="1157"/>
      <c r="E240" s="1157"/>
      <c r="F240" s="1157"/>
      <c r="G240" s="362"/>
      <c r="H240" s="1156"/>
      <c r="I240" s="1157"/>
      <c r="J240" s="1157"/>
      <c r="K240" s="1157"/>
      <c r="L240" s="1157"/>
      <c r="M240" s="1156"/>
      <c r="N240" s="1157"/>
      <c r="O240" s="1157"/>
      <c r="P240" s="1157"/>
      <c r="Q240" s="362"/>
      <c r="R240" s="1429"/>
      <c r="S240" s="827"/>
      <c r="T240" s="1086"/>
      <c r="U240" s="1086"/>
      <c r="V240" s="1086"/>
      <c r="W240" s="363"/>
      <c r="X240" s="1157"/>
      <c r="Y240" s="827"/>
      <c r="Z240" s="1086"/>
      <c r="AA240" s="1086"/>
      <c r="AB240" s="1086"/>
      <c r="AC240" s="1086"/>
      <c r="AD240" s="362"/>
      <c r="AH240" s="1156"/>
      <c r="AI240" s="1157"/>
      <c r="AJ240" s="1157"/>
      <c r="AK240" s="1157"/>
      <c r="AL240" s="362"/>
      <c r="AM240" s="1156"/>
      <c r="AN240" s="1157"/>
      <c r="AO240" s="362"/>
    </row>
    <row r="241" spans="1:41">
      <c r="A241" s="308"/>
      <c r="B241" s="299" t="str">
        <f>B24</f>
        <v>Electricity to gas</v>
      </c>
      <c r="C241" s="514"/>
      <c r="D241" s="513"/>
      <c r="E241" s="513"/>
      <c r="F241" s="513"/>
      <c r="G241" s="515"/>
      <c r="H241" s="514"/>
      <c r="I241" s="513"/>
      <c r="J241" s="513"/>
      <c r="K241" s="513"/>
      <c r="L241" s="513"/>
      <c r="M241" s="514"/>
      <c r="N241" s="513"/>
      <c r="O241" s="513"/>
      <c r="P241" s="513"/>
      <c r="Q241" s="515"/>
      <c r="R241" s="1429"/>
      <c r="S241" s="514"/>
      <c r="T241" s="513"/>
      <c r="U241" s="513"/>
      <c r="V241" s="513"/>
      <c r="W241" s="515"/>
      <c r="X241" s="1218"/>
      <c r="Y241" s="514"/>
      <c r="Z241" s="513"/>
      <c r="AA241" s="513"/>
      <c r="AB241" s="513"/>
      <c r="AC241" s="513"/>
      <c r="AD241" s="1223" t="e">
        <f>SUM(H241:L241)/SUM(Y241:AC241)-1</f>
        <v>#DIV/0!</v>
      </c>
      <c r="AH241" s="517"/>
      <c r="AI241" s="518"/>
      <c r="AJ241" s="518"/>
      <c r="AK241" s="518"/>
      <c r="AL241" s="519"/>
      <c r="AM241" s="517"/>
      <c r="AN241" s="518"/>
      <c r="AO241" s="519"/>
    </row>
    <row r="242" spans="1:41">
      <c r="A242" s="308"/>
      <c r="B242" s="299" t="str">
        <f>B25</f>
        <v>New homes</v>
      </c>
      <c r="C242" s="514"/>
      <c r="D242" s="513"/>
      <c r="E242" s="513"/>
      <c r="F242" s="513"/>
      <c r="G242" s="515"/>
      <c r="H242" s="514"/>
      <c r="I242" s="513"/>
      <c r="J242" s="513"/>
      <c r="K242" s="513"/>
      <c r="L242" s="513"/>
      <c r="M242" s="514"/>
      <c r="N242" s="513"/>
      <c r="O242" s="513"/>
      <c r="P242" s="513"/>
      <c r="Q242" s="515"/>
      <c r="R242" s="1429"/>
      <c r="S242" s="514"/>
      <c r="T242" s="513"/>
      <c r="U242" s="513"/>
      <c r="V242" s="513"/>
      <c r="W242" s="515"/>
      <c r="X242" s="1218"/>
      <c r="Y242" s="514"/>
      <c r="Z242" s="513"/>
      <c r="AA242" s="513"/>
      <c r="AB242" s="513"/>
      <c r="AC242" s="513"/>
      <c r="AD242" s="1223" t="e">
        <f>SUM(H242:L242)/SUM(Y242:AC242)-1</f>
        <v>#DIV/0!</v>
      </c>
      <c r="AH242" s="517"/>
      <c r="AI242" s="518"/>
      <c r="AJ242" s="518"/>
      <c r="AK242" s="518"/>
      <c r="AL242" s="519"/>
      <c r="AM242" s="517"/>
      <c r="AN242" s="518"/>
      <c r="AO242" s="519"/>
    </row>
    <row r="243" spans="1:41">
      <c r="A243" s="308"/>
      <c r="B243" s="299" t="str">
        <f>B26</f>
        <v>New medium density / high rise</v>
      </c>
      <c r="C243" s="514"/>
      <c r="D243" s="513"/>
      <c r="E243" s="513"/>
      <c r="F243" s="513"/>
      <c r="G243" s="515"/>
      <c r="H243" s="514"/>
      <c r="I243" s="513"/>
      <c r="J243" s="513"/>
      <c r="K243" s="513"/>
      <c r="L243" s="513"/>
      <c r="M243" s="514"/>
      <c r="N243" s="513"/>
      <c r="O243" s="513"/>
      <c r="P243" s="513"/>
      <c r="Q243" s="515"/>
      <c r="R243" s="1429"/>
      <c r="S243" s="514"/>
      <c r="T243" s="513"/>
      <c r="U243" s="513"/>
      <c r="V243" s="513"/>
      <c r="W243" s="515"/>
      <c r="X243" s="1218"/>
      <c r="Y243" s="514"/>
      <c r="Z243" s="513"/>
      <c r="AA243" s="513"/>
      <c r="AB243" s="513"/>
      <c r="AC243" s="513"/>
      <c r="AD243" s="1223" t="e">
        <f>SUM(H243:L243)/SUM(Y243:AC243)-1</f>
        <v>#DIV/0!</v>
      </c>
      <c r="AH243" s="517"/>
      <c r="AI243" s="518"/>
      <c r="AJ243" s="518"/>
      <c r="AK243" s="518"/>
      <c r="AL243" s="519"/>
      <c r="AM243" s="517"/>
      <c r="AN243" s="518"/>
      <c r="AO243" s="519"/>
    </row>
    <row r="244" spans="1:41">
      <c r="A244" s="308"/>
      <c r="B244" s="299" t="str">
        <f>B27</f>
        <v>I&amp;C tariff</v>
      </c>
      <c r="C244" s="514"/>
      <c r="D244" s="513"/>
      <c r="E244" s="513"/>
      <c r="F244" s="513"/>
      <c r="G244" s="515"/>
      <c r="H244" s="514"/>
      <c r="I244" s="513"/>
      <c r="J244" s="513"/>
      <c r="K244" s="513"/>
      <c r="L244" s="513"/>
      <c r="M244" s="514"/>
      <c r="N244" s="513"/>
      <c r="O244" s="513"/>
      <c r="P244" s="513"/>
      <c r="Q244" s="515"/>
      <c r="R244" s="1429"/>
      <c r="S244" s="514"/>
      <c r="T244" s="513"/>
      <c r="U244" s="513"/>
      <c r="V244" s="513"/>
      <c r="W244" s="515"/>
      <c r="X244" s="1218"/>
      <c r="Y244" s="514"/>
      <c r="Z244" s="513"/>
      <c r="AA244" s="513"/>
      <c r="AB244" s="513"/>
      <c r="AC244" s="513"/>
      <c r="AD244" s="1223" t="e">
        <f>SUM(H244:L244)/SUM(Y244:AC244)-1</f>
        <v>#DIV/0!</v>
      </c>
      <c r="AH244" s="517"/>
      <c r="AI244" s="518"/>
      <c r="AJ244" s="518"/>
      <c r="AK244" s="518"/>
      <c r="AL244" s="519"/>
      <c r="AM244" s="517"/>
      <c r="AN244" s="518"/>
      <c r="AO244" s="519"/>
    </row>
    <row r="245" spans="1:41">
      <c r="A245" s="308"/>
      <c r="B245" s="299" t="str">
        <f>B28</f>
        <v>I&amp;C contract</v>
      </c>
      <c r="C245" s="514"/>
      <c r="D245" s="513"/>
      <c r="E245" s="513"/>
      <c r="F245" s="513"/>
      <c r="G245" s="515"/>
      <c r="H245" s="514"/>
      <c r="I245" s="513"/>
      <c r="J245" s="513"/>
      <c r="K245" s="513"/>
      <c r="L245" s="513"/>
      <c r="M245" s="514"/>
      <c r="N245" s="513"/>
      <c r="O245" s="513"/>
      <c r="P245" s="513"/>
      <c r="Q245" s="515"/>
      <c r="R245" s="1429"/>
      <c r="S245" s="517"/>
      <c r="T245" s="518"/>
      <c r="U245" s="518"/>
      <c r="V245" s="518"/>
      <c r="W245" s="519"/>
      <c r="X245" s="1219"/>
      <c r="Y245" s="517"/>
      <c r="Z245" s="518"/>
      <c r="AA245" s="518"/>
      <c r="AB245" s="518"/>
      <c r="AC245" s="518"/>
      <c r="AD245" s="1224" t="e">
        <f>SUM(H245:L245)/SUM(Y245:AC245)-1</f>
        <v>#DIV/0!</v>
      </c>
      <c r="AH245" s="517"/>
      <c r="AI245" s="518"/>
      <c r="AJ245" s="518"/>
      <c r="AK245" s="518"/>
      <c r="AL245" s="519"/>
      <c r="AM245" s="517"/>
      <c r="AN245" s="518"/>
      <c r="AO245" s="519"/>
    </row>
    <row r="246" spans="1:41">
      <c r="A246" s="308"/>
      <c r="B246" s="384" t="s">
        <v>167</v>
      </c>
      <c r="C246" s="982"/>
      <c r="D246" s="1158"/>
      <c r="E246" s="1158"/>
      <c r="F246" s="1158"/>
      <c r="G246" s="364"/>
      <c r="H246" s="982"/>
      <c r="I246" s="1158"/>
      <c r="J246" s="1158"/>
      <c r="K246" s="1158"/>
      <c r="L246" s="1158"/>
      <c r="M246" s="982"/>
      <c r="N246" s="1158"/>
      <c r="O246" s="1158"/>
      <c r="P246" s="1158"/>
      <c r="Q246" s="364"/>
      <c r="R246" s="1429"/>
      <c r="S246" s="982"/>
      <c r="T246" s="1158"/>
      <c r="U246" s="1158"/>
      <c r="V246" s="1158"/>
      <c r="W246" s="364"/>
      <c r="X246" s="1158"/>
      <c r="Y246" s="982"/>
      <c r="Z246" s="1158"/>
      <c r="AA246" s="1158"/>
      <c r="AB246" s="1158"/>
      <c r="AC246" s="1158"/>
      <c r="AD246" s="364"/>
      <c r="AH246" s="982"/>
      <c r="AI246" s="1158"/>
      <c r="AJ246" s="1158"/>
      <c r="AK246" s="1158"/>
      <c r="AL246" s="364"/>
      <c r="AM246" s="982"/>
      <c r="AN246" s="1158"/>
      <c r="AO246" s="364"/>
    </row>
    <row r="247" spans="1:41">
      <c r="A247" s="308"/>
      <c r="B247" s="299" t="str">
        <f>B24</f>
        <v>Electricity to gas</v>
      </c>
      <c r="C247" s="365" t="e">
        <f t="shared" ref="C247:Q247" si="180">C241/C24</f>
        <v>#DIV/0!</v>
      </c>
      <c r="D247" s="366" t="e">
        <f t="shared" si="180"/>
        <v>#DIV/0!</v>
      </c>
      <c r="E247" s="366" t="e">
        <f t="shared" si="180"/>
        <v>#DIV/0!</v>
      </c>
      <c r="F247" s="366" t="e">
        <f t="shared" si="180"/>
        <v>#DIV/0!</v>
      </c>
      <c r="G247" s="367" t="e">
        <f t="shared" si="180"/>
        <v>#DIV/0!</v>
      </c>
      <c r="H247" s="365" t="e">
        <f t="shared" si="180"/>
        <v>#DIV/0!</v>
      </c>
      <c r="I247" s="366" t="e">
        <f t="shared" si="180"/>
        <v>#DIV/0!</v>
      </c>
      <c r="J247" s="366" t="e">
        <f t="shared" si="180"/>
        <v>#DIV/0!</v>
      </c>
      <c r="K247" s="366" t="e">
        <f t="shared" si="180"/>
        <v>#DIV/0!</v>
      </c>
      <c r="L247" s="366" t="e">
        <f t="shared" si="180"/>
        <v>#DIV/0!</v>
      </c>
      <c r="M247" s="365" t="e">
        <f t="shared" si="180"/>
        <v>#DIV/0!</v>
      </c>
      <c r="N247" s="366" t="e">
        <f t="shared" si="180"/>
        <v>#DIV/0!</v>
      </c>
      <c r="O247" s="366" t="e">
        <f t="shared" si="180"/>
        <v>#DIV/0!</v>
      </c>
      <c r="P247" s="366" t="e">
        <f t="shared" si="180"/>
        <v>#DIV/0!</v>
      </c>
      <c r="Q247" s="367" t="e">
        <f t="shared" si="180"/>
        <v>#DIV/0!</v>
      </c>
      <c r="R247" s="1429"/>
      <c r="S247" s="514"/>
      <c r="T247" s="513"/>
      <c r="U247" s="513"/>
      <c r="V247" s="513"/>
      <c r="W247" s="515"/>
      <c r="X247" s="1218"/>
      <c r="Y247" s="514"/>
      <c r="Z247" s="513"/>
      <c r="AA247" s="513"/>
      <c r="AB247" s="513"/>
      <c r="AC247" s="513"/>
      <c r="AD247" s="1225" t="e">
        <f>SUM(H247:L247)/SUM(Y247:AC247)-1</f>
        <v>#DIV/0!</v>
      </c>
      <c r="AH247" s="365" t="e">
        <f t="shared" ref="AH247:AO247" si="181">AH241/AH24</f>
        <v>#DIV/0!</v>
      </c>
      <c r="AI247" s="366" t="e">
        <f t="shared" si="181"/>
        <v>#DIV/0!</v>
      </c>
      <c r="AJ247" s="366" t="e">
        <f t="shared" si="181"/>
        <v>#DIV/0!</v>
      </c>
      <c r="AK247" s="366" t="e">
        <f t="shared" si="181"/>
        <v>#DIV/0!</v>
      </c>
      <c r="AL247" s="367" t="e">
        <f t="shared" si="181"/>
        <v>#DIV/0!</v>
      </c>
      <c r="AM247" s="365" t="e">
        <f t="shared" si="181"/>
        <v>#DIV/0!</v>
      </c>
      <c r="AN247" s="366" t="e">
        <f t="shared" si="181"/>
        <v>#DIV/0!</v>
      </c>
      <c r="AO247" s="367" t="e">
        <f t="shared" si="181"/>
        <v>#DIV/0!</v>
      </c>
    </row>
    <row r="248" spans="1:41">
      <c r="A248" s="308"/>
      <c r="B248" s="299" t="str">
        <f>B25</f>
        <v>New homes</v>
      </c>
      <c r="C248" s="365" t="e">
        <f t="shared" ref="C248:Q248" si="182">C242/C25</f>
        <v>#DIV/0!</v>
      </c>
      <c r="D248" s="366" t="e">
        <f t="shared" si="182"/>
        <v>#DIV/0!</v>
      </c>
      <c r="E248" s="366" t="e">
        <f t="shared" si="182"/>
        <v>#DIV/0!</v>
      </c>
      <c r="F248" s="366" t="e">
        <f t="shared" si="182"/>
        <v>#DIV/0!</v>
      </c>
      <c r="G248" s="367" t="e">
        <f t="shared" si="182"/>
        <v>#DIV/0!</v>
      </c>
      <c r="H248" s="365" t="e">
        <f t="shared" si="182"/>
        <v>#DIV/0!</v>
      </c>
      <c r="I248" s="366" t="e">
        <f t="shared" si="182"/>
        <v>#DIV/0!</v>
      </c>
      <c r="J248" s="366" t="e">
        <f t="shared" si="182"/>
        <v>#DIV/0!</v>
      </c>
      <c r="K248" s="366" t="e">
        <f t="shared" si="182"/>
        <v>#DIV/0!</v>
      </c>
      <c r="L248" s="366" t="e">
        <f t="shared" si="182"/>
        <v>#DIV/0!</v>
      </c>
      <c r="M248" s="365" t="e">
        <f t="shared" si="182"/>
        <v>#DIV/0!</v>
      </c>
      <c r="N248" s="366" t="e">
        <f t="shared" si="182"/>
        <v>#DIV/0!</v>
      </c>
      <c r="O248" s="366" t="e">
        <f t="shared" si="182"/>
        <v>#DIV/0!</v>
      </c>
      <c r="P248" s="366" t="e">
        <f t="shared" si="182"/>
        <v>#DIV/0!</v>
      </c>
      <c r="Q248" s="367" t="e">
        <f t="shared" si="182"/>
        <v>#DIV/0!</v>
      </c>
      <c r="R248" s="1429"/>
      <c r="S248" s="514"/>
      <c r="T248" s="513"/>
      <c r="U248" s="513"/>
      <c r="V248" s="513"/>
      <c r="W248" s="515"/>
      <c r="X248" s="1218"/>
      <c r="Y248" s="514"/>
      <c r="Z248" s="513"/>
      <c r="AA248" s="513"/>
      <c r="AB248" s="513"/>
      <c r="AC248" s="513"/>
      <c r="AD248" s="1225" t="e">
        <f>SUM(H248:L248)/SUM(Y248:AC248)-1</f>
        <v>#DIV/0!</v>
      </c>
      <c r="AH248" s="365" t="e">
        <f t="shared" ref="AH248:AO248" si="183">AH242/AH25</f>
        <v>#DIV/0!</v>
      </c>
      <c r="AI248" s="366" t="e">
        <f t="shared" si="183"/>
        <v>#DIV/0!</v>
      </c>
      <c r="AJ248" s="366" t="e">
        <f t="shared" si="183"/>
        <v>#DIV/0!</v>
      </c>
      <c r="AK248" s="366" t="e">
        <f t="shared" si="183"/>
        <v>#DIV/0!</v>
      </c>
      <c r="AL248" s="367" t="e">
        <f t="shared" si="183"/>
        <v>#DIV/0!</v>
      </c>
      <c r="AM248" s="365" t="e">
        <f t="shared" si="183"/>
        <v>#DIV/0!</v>
      </c>
      <c r="AN248" s="366" t="e">
        <f t="shared" si="183"/>
        <v>#DIV/0!</v>
      </c>
      <c r="AO248" s="367" t="e">
        <f t="shared" si="183"/>
        <v>#DIV/0!</v>
      </c>
    </row>
    <row r="249" spans="1:41">
      <c r="A249" s="308"/>
      <c r="B249" s="299" t="str">
        <f>B26</f>
        <v>New medium density / high rise</v>
      </c>
      <c r="C249" s="365" t="e">
        <f t="shared" ref="C249:Q249" si="184">C243/C26</f>
        <v>#DIV/0!</v>
      </c>
      <c r="D249" s="366" t="e">
        <f t="shared" si="184"/>
        <v>#DIV/0!</v>
      </c>
      <c r="E249" s="366" t="e">
        <f t="shared" si="184"/>
        <v>#DIV/0!</v>
      </c>
      <c r="F249" s="366" t="e">
        <f t="shared" si="184"/>
        <v>#DIV/0!</v>
      </c>
      <c r="G249" s="367" t="e">
        <f t="shared" si="184"/>
        <v>#DIV/0!</v>
      </c>
      <c r="H249" s="365" t="e">
        <f t="shared" si="184"/>
        <v>#DIV/0!</v>
      </c>
      <c r="I249" s="366" t="e">
        <f t="shared" si="184"/>
        <v>#DIV/0!</v>
      </c>
      <c r="J249" s="366" t="e">
        <f t="shared" si="184"/>
        <v>#DIV/0!</v>
      </c>
      <c r="K249" s="366" t="e">
        <f t="shared" si="184"/>
        <v>#DIV/0!</v>
      </c>
      <c r="L249" s="366" t="e">
        <f t="shared" si="184"/>
        <v>#DIV/0!</v>
      </c>
      <c r="M249" s="365" t="e">
        <f t="shared" si="184"/>
        <v>#DIV/0!</v>
      </c>
      <c r="N249" s="366" t="e">
        <f t="shared" si="184"/>
        <v>#DIV/0!</v>
      </c>
      <c r="O249" s="366" t="e">
        <f t="shared" si="184"/>
        <v>#DIV/0!</v>
      </c>
      <c r="P249" s="366" t="e">
        <f t="shared" si="184"/>
        <v>#DIV/0!</v>
      </c>
      <c r="Q249" s="367" t="e">
        <f t="shared" si="184"/>
        <v>#DIV/0!</v>
      </c>
      <c r="R249" s="1429"/>
      <c r="S249" s="514"/>
      <c r="T249" s="513"/>
      <c r="U249" s="513"/>
      <c r="V249" s="513"/>
      <c r="W249" s="515"/>
      <c r="X249" s="1218"/>
      <c r="Y249" s="514"/>
      <c r="Z249" s="513"/>
      <c r="AA249" s="513"/>
      <c r="AB249" s="513"/>
      <c r="AC249" s="513"/>
      <c r="AD249" s="1225" t="e">
        <f>SUM(H249:L249)/SUM(Y249:AC249)-1</f>
        <v>#DIV/0!</v>
      </c>
      <c r="AH249" s="365" t="e">
        <f t="shared" ref="AH249:AO249" si="185">AH243/AH26</f>
        <v>#DIV/0!</v>
      </c>
      <c r="AI249" s="366" t="e">
        <f t="shared" si="185"/>
        <v>#DIV/0!</v>
      </c>
      <c r="AJ249" s="366" t="e">
        <f t="shared" si="185"/>
        <v>#DIV/0!</v>
      </c>
      <c r="AK249" s="366" t="e">
        <f t="shared" si="185"/>
        <v>#DIV/0!</v>
      </c>
      <c r="AL249" s="367" t="e">
        <f t="shared" si="185"/>
        <v>#DIV/0!</v>
      </c>
      <c r="AM249" s="365" t="e">
        <f t="shared" si="185"/>
        <v>#DIV/0!</v>
      </c>
      <c r="AN249" s="366" t="e">
        <f t="shared" si="185"/>
        <v>#DIV/0!</v>
      </c>
      <c r="AO249" s="367" t="e">
        <f t="shared" si="185"/>
        <v>#DIV/0!</v>
      </c>
    </row>
    <row r="250" spans="1:41">
      <c r="A250" s="308"/>
      <c r="B250" s="299" t="str">
        <f>B27</f>
        <v>I&amp;C tariff</v>
      </c>
      <c r="C250" s="365" t="e">
        <f t="shared" ref="C250:Q250" si="186">C244/C27</f>
        <v>#DIV/0!</v>
      </c>
      <c r="D250" s="366" t="e">
        <f t="shared" si="186"/>
        <v>#DIV/0!</v>
      </c>
      <c r="E250" s="366" t="e">
        <f t="shared" si="186"/>
        <v>#DIV/0!</v>
      </c>
      <c r="F250" s="366" t="e">
        <f t="shared" si="186"/>
        <v>#DIV/0!</v>
      </c>
      <c r="G250" s="367" t="e">
        <f t="shared" si="186"/>
        <v>#DIV/0!</v>
      </c>
      <c r="H250" s="365" t="e">
        <f t="shared" si="186"/>
        <v>#DIV/0!</v>
      </c>
      <c r="I250" s="366" t="e">
        <f t="shared" si="186"/>
        <v>#DIV/0!</v>
      </c>
      <c r="J250" s="366" t="e">
        <f t="shared" si="186"/>
        <v>#DIV/0!</v>
      </c>
      <c r="K250" s="366" t="e">
        <f t="shared" si="186"/>
        <v>#DIV/0!</v>
      </c>
      <c r="L250" s="366" t="e">
        <f t="shared" si="186"/>
        <v>#DIV/0!</v>
      </c>
      <c r="M250" s="365" t="e">
        <f t="shared" si="186"/>
        <v>#DIV/0!</v>
      </c>
      <c r="N250" s="366" t="e">
        <f t="shared" si="186"/>
        <v>#DIV/0!</v>
      </c>
      <c r="O250" s="366" t="e">
        <f t="shared" si="186"/>
        <v>#DIV/0!</v>
      </c>
      <c r="P250" s="366" t="e">
        <f t="shared" si="186"/>
        <v>#DIV/0!</v>
      </c>
      <c r="Q250" s="367" t="e">
        <f t="shared" si="186"/>
        <v>#DIV/0!</v>
      </c>
      <c r="R250" s="1429"/>
      <c r="S250" s="514"/>
      <c r="T250" s="513"/>
      <c r="U250" s="513"/>
      <c r="V250" s="513"/>
      <c r="W250" s="515"/>
      <c r="X250" s="1218"/>
      <c r="Y250" s="514"/>
      <c r="Z250" s="513"/>
      <c r="AA250" s="513"/>
      <c r="AB250" s="513"/>
      <c r="AC250" s="513"/>
      <c r="AD250" s="1225" t="e">
        <f>SUM(H250:L250)/SUM(Y250:AC250)-1</f>
        <v>#DIV/0!</v>
      </c>
      <c r="AH250" s="365" t="e">
        <f t="shared" ref="AH250:AO250" si="187">AH244/AH27</f>
        <v>#DIV/0!</v>
      </c>
      <c r="AI250" s="366" t="e">
        <f t="shared" si="187"/>
        <v>#DIV/0!</v>
      </c>
      <c r="AJ250" s="366" t="e">
        <f t="shared" si="187"/>
        <v>#DIV/0!</v>
      </c>
      <c r="AK250" s="366" t="e">
        <f t="shared" si="187"/>
        <v>#DIV/0!</v>
      </c>
      <c r="AL250" s="367" t="e">
        <f t="shared" si="187"/>
        <v>#DIV/0!</v>
      </c>
      <c r="AM250" s="365" t="e">
        <f t="shared" si="187"/>
        <v>#DIV/0!</v>
      </c>
      <c r="AN250" s="366" t="e">
        <f t="shared" si="187"/>
        <v>#DIV/0!</v>
      </c>
      <c r="AO250" s="367" t="e">
        <f t="shared" si="187"/>
        <v>#DIV/0!</v>
      </c>
    </row>
    <row r="251" spans="1:41">
      <c r="A251" s="308"/>
      <c r="B251" s="299" t="str">
        <f>B28</f>
        <v>I&amp;C contract</v>
      </c>
      <c r="C251" s="365" t="e">
        <f t="shared" ref="C251:Q251" si="188">C245/C28</f>
        <v>#DIV/0!</v>
      </c>
      <c r="D251" s="366" t="e">
        <f t="shared" si="188"/>
        <v>#DIV/0!</v>
      </c>
      <c r="E251" s="366" t="e">
        <f t="shared" si="188"/>
        <v>#DIV/0!</v>
      </c>
      <c r="F251" s="366" t="e">
        <f t="shared" si="188"/>
        <v>#DIV/0!</v>
      </c>
      <c r="G251" s="367" t="e">
        <f t="shared" si="188"/>
        <v>#DIV/0!</v>
      </c>
      <c r="H251" s="365" t="e">
        <f t="shared" si="188"/>
        <v>#DIV/0!</v>
      </c>
      <c r="I251" s="366" t="e">
        <f t="shared" si="188"/>
        <v>#DIV/0!</v>
      </c>
      <c r="J251" s="366" t="e">
        <f t="shared" si="188"/>
        <v>#DIV/0!</v>
      </c>
      <c r="K251" s="366" t="e">
        <f t="shared" si="188"/>
        <v>#DIV/0!</v>
      </c>
      <c r="L251" s="366" t="e">
        <f t="shared" si="188"/>
        <v>#DIV/0!</v>
      </c>
      <c r="M251" s="365" t="e">
        <f t="shared" si="188"/>
        <v>#DIV/0!</v>
      </c>
      <c r="N251" s="366" t="e">
        <f t="shared" si="188"/>
        <v>#DIV/0!</v>
      </c>
      <c r="O251" s="366" t="e">
        <f t="shared" si="188"/>
        <v>#DIV/0!</v>
      </c>
      <c r="P251" s="366" t="e">
        <f t="shared" si="188"/>
        <v>#DIV/0!</v>
      </c>
      <c r="Q251" s="367" t="e">
        <f t="shared" si="188"/>
        <v>#DIV/0!</v>
      </c>
      <c r="R251" s="1429"/>
      <c r="S251" s="365"/>
      <c r="T251" s="366"/>
      <c r="U251" s="366"/>
      <c r="V251" s="366"/>
      <c r="W251" s="367"/>
      <c r="X251" s="1220"/>
      <c r="Y251" s="365"/>
      <c r="Z251" s="366"/>
      <c r="AA251" s="366"/>
      <c r="AB251" s="366"/>
      <c r="AC251" s="366"/>
      <c r="AD251" s="1225" t="e">
        <f>SUM(H251:L251)/SUM(Y251:AC251)-1</f>
        <v>#DIV/0!</v>
      </c>
      <c r="AH251" s="365" t="e">
        <f t="shared" ref="AH251:AO251" si="189">AH245/AH28</f>
        <v>#DIV/0!</v>
      </c>
      <c r="AI251" s="366" t="e">
        <f t="shared" si="189"/>
        <v>#DIV/0!</v>
      </c>
      <c r="AJ251" s="366" t="e">
        <f t="shared" si="189"/>
        <v>#DIV/0!</v>
      </c>
      <c r="AK251" s="366" t="e">
        <f t="shared" si="189"/>
        <v>#DIV/0!</v>
      </c>
      <c r="AL251" s="367" t="e">
        <f t="shared" si="189"/>
        <v>#DIV/0!</v>
      </c>
      <c r="AM251" s="365" t="e">
        <f t="shared" si="189"/>
        <v>#DIV/0!</v>
      </c>
      <c r="AN251" s="366" t="e">
        <f t="shared" si="189"/>
        <v>#DIV/0!</v>
      </c>
      <c r="AO251" s="367" t="e">
        <f t="shared" si="189"/>
        <v>#DIV/0!</v>
      </c>
    </row>
    <row r="252" spans="1:41">
      <c r="A252" s="308"/>
      <c r="B252" s="384" t="s">
        <v>168</v>
      </c>
      <c r="C252" s="982"/>
      <c r="D252" s="1158"/>
      <c r="E252" s="1158"/>
      <c r="F252" s="1158"/>
      <c r="G252" s="364"/>
      <c r="H252" s="982"/>
      <c r="I252" s="1158"/>
      <c r="J252" s="1158"/>
      <c r="K252" s="1158"/>
      <c r="L252" s="1158"/>
      <c r="M252" s="982"/>
      <c r="N252" s="1158"/>
      <c r="O252" s="1158"/>
      <c r="P252" s="1158"/>
      <c r="Q252" s="364"/>
      <c r="R252" s="1429"/>
      <c r="S252" s="982"/>
      <c r="T252" s="1158"/>
      <c r="U252" s="1158"/>
      <c r="V252" s="1158"/>
      <c r="W252" s="364"/>
      <c r="X252" s="1158"/>
      <c r="Y252" s="982"/>
      <c r="Z252" s="1158"/>
      <c r="AA252" s="1158"/>
      <c r="AB252" s="1158"/>
      <c r="AC252" s="1158"/>
      <c r="AD252" s="364"/>
      <c r="AH252" s="982"/>
      <c r="AI252" s="1158"/>
      <c r="AJ252" s="1158"/>
      <c r="AK252" s="1158"/>
      <c r="AL252" s="364"/>
      <c r="AM252" s="982"/>
      <c r="AN252" s="1158"/>
      <c r="AO252" s="364"/>
    </row>
    <row r="253" spans="1:41">
      <c r="A253" s="308"/>
      <c r="B253" s="299" t="str">
        <f>B24</f>
        <v>Electricity to gas</v>
      </c>
      <c r="C253" s="514"/>
      <c r="D253" s="513"/>
      <c r="E253" s="513"/>
      <c r="F253" s="513"/>
      <c r="G253" s="515"/>
      <c r="H253" s="514"/>
      <c r="I253" s="513"/>
      <c r="J253" s="513"/>
      <c r="K253" s="513"/>
      <c r="L253" s="513"/>
      <c r="M253" s="514"/>
      <c r="N253" s="513"/>
      <c r="O253" s="513"/>
      <c r="P253" s="513"/>
      <c r="Q253" s="515"/>
      <c r="R253" s="1429"/>
      <c r="S253" s="514"/>
      <c r="T253" s="513"/>
      <c r="U253" s="513"/>
      <c r="V253" s="513"/>
      <c r="W253" s="515"/>
      <c r="X253" s="1218"/>
      <c r="Y253" s="514"/>
      <c r="Z253" s="513"/>
      <c r="AA253" s="513"/>
      <c r="AB253" s="513"/>
      <c r="AC253" s="513"/>
      <c r="AD253" s="1223" t="e">
        <f>SUM(H253:L253)/SUM(Y253:AC253)-1</f>
        <v>#DIV/0!</v>
      </c>
      <c r="AH253" s="517"/>
      <c r="AI253" s="518"/>
      <c r="AJ253" s="518"/>
      <c r="AK253" s="518"/>
      <c r="AL253" s="519"/>
      <c r="AM253" s="517"/>
      <c r="AN253" s="518"/>
      <c r="AO253" s="519"/>
    </row>
    <row r="254" spans="1:41">
      <c r="A254" s="308"/>
      <c r="B254" s="299" t="str">
        <f>B25</f>
        <v>New homes</v>
      </c>
      <c r="C254" s="514"/>
      <c r="D254" s="513"/>
      <c r="E254" s="513"/>
      <c r="F254" s="513"/>
      <c r="G254" s="515"/>
      <c r="H254" s="514"/>
      <c r="I254" s="513"/>
      <c r="J254" s="513"/>
      <c r="K254" s="513"/>
      <c r="L254" s="513"/>
      <c r="M254" s="514"/>
      <c r="N254" s="513"/>
      <c r="O254" s="513"/>
      <c r="P254" s="513"/>
      <c r="Q254" s="515"/>
      <c r="R254" s="1429"/>
      <c r="S254" s="514"/>
      <c r="T254" s="513"/>
      <c r="U254" s="513"/>
      <c r="V254" s="513"/>
      <c r="W254" s="515"/>
      <c r="X254" s="1218"/>
      <c r="Y254" s="514"/>
      <c r="Z254" s="513"/>
      <c r="AA254" s="513"/>
      <c r="AB254" s="513"/>
      <c r="AC254" s="513"/>
      <c r="AD254" s="1223" t="e">
        <f>SUM(H254:L254)/SUM(Y254:AC254)-1</f>
        <v>#DIV/0!</v>
      </c>
      <c r="AH254" s="517"/>
      <c r="AI254" s="518"/>
      <c r="AJ254" s="518"/>
      <c r="AK254" s="518"/>
      <c r="AL254" s="519"/>
      <c r="AM254" s="517"/>
      <c r="AN254" s="518"/>
      <c r="AO254" s="519"/>
    </row>
    <row r="255" spans="1:41">
      <c r="A255" s="308"/>
      <c r="B255" s="299" t="str">
        <f>B26</f>
        <v>New medium density / high rise</v>
      </c>
      <c r="C255" s="514"/>
      <c r="D255" s="513"/>
      <c r="E255" s="513"/>
      <c r="F255" s="513"/>
      <c r="G255" s="515"/>
      <c r="H255" s="514"/>
      <c r="I255" s="513"/>
      <c r="J255" s="513"/>
      <c r="K255" s="513"/>
      <c r="L255" s="513"/>
      <c r="M255" s="514"/>
      <c r="N255" s="513"/>
      <c r="O255" s="513"/>
      <c r="P255" s="513"/>
      <c r="Q255" s="515"/>
      <c r="R255" s="1429"/>
      <c r="S255" s="514"/>
      <c r="T255" s="513"/>
      <c r="U255" s="513"/>
      <c r="V255" s="513"/>
      <c r="W255" s="515"/>
      <c r="X255" s="1218"/>
      <c r="Y255" s="514"/>
      <c r="Z255" s="513"/>
      <c r="AA255" s="513"/>
      <c r="AB255" s="513"/>
      <c r="AC255" s="513"/>
      <c r="AD255" s="1223" t="e">
        <f>SUM(H255:L255)/SUM(Y255:AC255)-1</f>
        <v>#DIV/0!</v>
      </c>
      <c r="AH255" s="517"/>
      <c r="AI255" s="518"/>
      <c r="AJ255" s="518"/>
      <c r="AK255" s="518"/>
      <c r="AL255" s="519"/>
      <c r="AM255" s="517"/>
      <c r="AN255" s="518"/>
      <c r="AO255" s="519"/>
    </row>
    <row r="256" spans="1:41">
      <c r="A256" s="308"/>
      <c r="B256" s="299" t="str">
        <f>B27</f>
        <v>I&amp;C tariff</v>
      </c>
      <c r="C256" s="514"/>
      <c r="D256" s="513"/>
      <c r="E256" s="513"/>
      <c r="F256" s="513"/>
      <c r="G256" s="515"/>
      <c r="H256" s="514"/>
      <c r="I256" s="513"/>
      <c r="J256" s="513"/>
      <c r="K256" s="513"/>
      <c r="L256" s="513"/>
      <c r="M256" s="514"/>
      <c r="N256" s="513"/>
      <c r="O256" s="513"/>
      <c r="P256" s="513"/>
      <c r="Q256" s="515"/>
      <c r="R256" s="1429"/>
      <c r="S256" s="514"/>
      <c r="T256" s="513"/>
      <c r="U256" s="513"/>
      <c r="V256" s="513"/>
      <c r="W256" s="515"/>
      <c r="X256" s="1218"/>
      <c r="Y256" s="514"/>
      <c r="Z256" s="513"/>
      <c r="AA256" s="513"/>
      <c r="AB256" s="513"/>
      <c r="AC256" s="513"/>
      <c r="AD256" s="1223" t="e">
        <f>SUM(H256:L256)/SUM(Y256:AC256)-1</f>
        <v>#DIV/0!</v>
      </c>
      <c r="AH256" s="517"/>
      <c r="AI256" s="518"/>
      <c r="AJ256" s="518"/>
      <c r="AK256" s="518"/>
      <c r="AL256" s="519"/>
      <c r="AM256" s="517"/>
      <c r="AN256" s="518"/>
      <c r="AO256" s="519"/>
    </row>
    <row r="257" spans="1:41">
      <c r="A257" s="308"/>
      <c r="B257" s="299" t="str">
        <f>B28</f>
        <v>I&amp;C contract</v>
      </c>
      <c r="C257" s="514"/>
      <c r="D257" s="513"/>
      <c r="E257" s="513"/>
      <c r="F257" s="513"/>
      <c r="G257" s="515"/>
      <c r="H257" s="514"/>
      <c r="I257" s="513"/>
      <c r="J257" s="513"/>
      <c r="K257" s="513"/>
      <c r="L257" s="513"/>
      <c r="M257" s="514"/>
      <c r="N257" s="513"/>
      <c r="O257" s="513"/>
      <c r="P257" s="513"/>
      <c r="Q257" s="515"/>
      <c r="R257" s="1429"/>
      <c r="S257" s="517"/>
      <c r="T257" s="518"/>
      <c r="U257" s="518"/>
      <c r="V257" s="518"/>
      <c r="W257" s="519"/>
      <c r="X257" s="1219"/>
      <c r="Y257" s="517"/>
      <c r="Z257" s="518"/>
      <c r="AA257" s="518"/>
      <c r="AB257" s="518"/>
      <c r="AC257" s="518"/>
      <c r="AD257" s="1224" t="e">
        <f>SUM(H257:L257)/SUM(Y257:AC257)-1</f>
        <v>#DIV/0!</v>
      </c>
      <c r="AH257" s="517"/>
      <c r="AI257" s="518"/>
      <c r="AJ257" s="518"/>
      <c r="AK257" s="518"/>
      <c r="AL257" s="519"/>
      <c r="AM257" s="517"/>
      <c r="AN257" s="518"/>
      <c r="AO257" s="519"/>
    </row>
    <row r="258" spans="1:41">
      <c r="A258" s="308"/>
      <c r="B258" s="384" t="s">
        <v>169</v>
      </c>
      <c r="C258" s="982"/>
      <c r="D258" s="1158"/>
      <c r="E258" s="1158"/>
      <c r="F258" s="1158"/>
      <c r="G258" s="364"/>
      <c r="H258" s="982"/>
      <c r="I258" s="1158"/>
      <c r="J258" s="1158"/>
      <c r="K258" s="1158"/>
      <c r="L258" s="1158"/>
      <c r="M258" s="982"/>
      <c r="N258" s="1158"/>
      <c r="O258" s="1158"/>
      <c r="P258" s="1158"/>
      <c r="Q258" s="364"/>
      <c r="R258" s="1429"/>
      <c r="S258" s="982"/>
      <c r="T258" s="1158"/>
      <c r="U258" s="1158"/>
      <c r="V258" s="1158"/>
      <c r="W258" s="364"/>
      <c r="X258" s="1158"/>
      <c r="Y258" s="982"/>
      <c r="Z258" s="1158"/>
      <c r="AA258" s="1158"/>
      <c r="AB258" s="1158"/>
      <c r="AC258" s="1158"/>
      <c r="AD258" s="364"/>
      <c r="AH258" s="982"/>
      <c r="AI258" s="1158"/>
      <c r="AJ258" s="1158"/>
      <c r="AK258" s="1158"/>
      <c r="AL258" s="364"/>
      <c r="AM258" s="982"/>
      <c r="AN258" s="1158"/>
      <c r="AO258" s="364"/>
    </row>
    <row r="259" spans="1:41">
      <c r="A259" s="308"/>
      <c r="B259" s="299" t="str">
        <f>B24</f>
        <v>Electricity to gas</v>
      </c>
      <c r="C259" s="368" t="e">
        <f t="shared" ref="C259:L263" si="190">C253/C241</f>
        <v>#DIV/0!</v>
      </c>
      <c r="D259" s="369" t="e">
        <f t="shared" si="190"/>
        <v>#DIV/0!</v>
      </c>
      <c r="E259" s="369" t="e">
        <f t="shared" si="190"/>
        <v>#DIV/0!</v>
      </c>
      <c r="F259" s="369" t="e">
        <f t="shared" si="190"/>
        <v>#DIV/0!</v>
      </c>
      <c r="G259" s="370" t="e">
        <f t="shared" si="190"/>
        <v>#DIV/0!</v>
      </c>
      <c r="H259" s="368" t="e">
        <f t="shared" si="190"/>
        <v>#DIV/0!</v>
      </c>
      <c r="I259" s="369" t="e">
        <f t="shared" si="190"/>
        <v>#DIV/0!</v>
      </c>
      <c r="J259" s="369" t="e">
        <f t="shared" si="190"/>
        <v>#DIV/0!</v>
      </c>
      <c r="K259" s="369" t="e">
        <f t="shared" si="190"/>
        <v>#DIV/0!</v>
      </c>
      <c r="L259" s="369" t="e">
        <f t="shared" si="190"/>
        <v>#DIV/0!</v>
      </c>
      <c r="M259" s="368" t="e">
        <f>AVERAGE($H$259:$L$259)</f>
        <v>#DIV/0!</v>
      </c>
      <c r="N259" s="369" t="e">
        <f>AVERAGE($H$259:$L$259)</f>
        <v>#DIV/0!</v>
      </c>
      <c r="O259" s="369" t="e">
        <f>AVERAGE($H$259:$L$259)</f>
        <v>#DIV/0!</v>
      </c>
      <c r="P259" s="369" t="e">
        <f>AVERAGE($H$259:$L$259)</f>
        <v>#DIV/0!</v>
      </c>
      <c r="Q259" s="370" t="e">
        <f>AVERAGE($H$259:$L$259)</f>
        <v>#DIV/0!</v>
      </c>
      <c r="R259" s="1429"/>
      <c r="S259" s="368" t="e">
        <f t="shared" ref="S259:AC263" si="191">S253/S241</f>
        <v>#DIV/0!</v>
      </c>
      <c r="T259" s="369" t="e">
        <f t="shared" si="191"/>
        <v>#DIV/0!</v>
      </c>
      <c r="U259" s="369" t="e">
        <f t="shared" si="191"/>
        <v>#DIV/0!</v>
      </c>
      <c r="V259" s="369" t="e">
        <f t="shared" si="191"/>
        <v>#DIV/0!</v>
      </c>
      <c r="W259" s="370" t="e">
        <f t="shared" si="191"/>
        <v>#DIV/0!</v>
      </c>
      <c r="X259" s="1221" t="e">
        <f t="shared" si="191"/>
        <v>#DIV/0!</v>
      </c>
      <c r="Y259" s="368" t="e">
        <f t="shared" si="191"/>
        <v>#DIV/0!</v>
      </c>
      <c r="Z259" s="369" t="e">
        <f t="shared" si="191"/>
        <v>#DIV/0!</v>
      </c>
      <c r="AA259" s="369" t="e">
        <f t="shared" si="191"/>
        <v>#DIV/0!</v>
      </c>
      <c r="AB259" s="369" t="e">
        <f t="shared" si="191"/>
        <v>#DIV/0!</v>
      </c>
      <c r="AC259" s="369" t="e">
        <f t="shared" si="191"/>
        <v>#DIV/0!</v>
      </c>
      <c r="AD259" s="1226" t="e">
        <f>SUM(H259:L259)/SUM(Y259:AC259)-1</f>
        <v>#DIV/0!</v>
      </c>
      <c r="AH259" s="368" t="e">
        <f t="shared" ref="AH259:AO259" si="192">AH253/AH241</f>
        <v>#DIV/0!</v>
      </c>
      <c r="AI259" s="369" t="e">
        <f t="shared" si="192"/>
        <v>#DIV/0!</v>
      </c>
      <c r="AJ259" s="369" t="e">
        <f t="shared" si="192"/>
        <v>#DIV/0!</v>
      </c>
      <c r="AK259" s="369" t="e">
        <f t="shared" si="192"/>
        <v>#DIV/0!</v>
      </c>
      <c r="AL259" s="370" t="e">
        <f t="shared" si="192"/>
        <v>#DIV/0!</v>
      </c>
      <c r="AM259" s="368" t="e">
        <f t="shared" si="192"/>
        <v>#DIV/0!</v>
      </c>
      <c r="AN259" s="369" t="e">
        <f t="shared" si="192"/>
        <v>#DIV/0!</v>
      </c>
      <c r="AO259" s="370" t="e">
        <f t="shared" si="192"/>
        <v>#DIV/0!</v>
      </c>
    </row>
    <row r="260" spans="1:41">
      <c r="A260" s="308"/>
      <c r="B260" s="299" t="str">
        <f>B25</f>
        <v>New homes</v>
      </c>
      <c r="C260" s="368" t="e">
        <f t="shared" si="190"/>
        <v>#DIV/0!</v>
      </c>
      <c r="D260" s="369" t="e">
        <f t="shared" si="190"/>
        <v>#DIV/0!</v>
      </c>
      <c r="E260" s="369" t="e">
        <f t="shared" si="190"/>
        <v>#DIV/0!</v>
      </c>
      <c r="F260" s="369" t="e">
        <f t="shared" si="190"/>
        <v>#DIV/0!</v>
      </c>
      <c r="G260" s="370" t="e">
        <f t="shared" si="190"/>
        <v>#DIV/0!</v>
      </c>
      <c r="H260" s="368" t="e">
        <f t="shared" si="190"/>
        <v>#DIV/0!</v>
      </c>
      <c r="I260" s="369" t="e">
        <f t="shared" si="190"/>
        <v>#DIV/0!</v>
      </c>
      <c r="J260" s="369" t="e">
        <f t="shared" si="190"/>
        <v>#DIV/0!</v>
      </c>
      <c r="K260" s="369" t="e">
        <f t="shared" si="190"/>
        <v>#DIV/0!</v>
      </c>
      <c r="L260" s="369" t="e">
        <f t="shared" si="190"/>
        <v>#DIV/0!</v>
      </c>
      <c r="M260" s="368" t="e">
        <f>AVERAGE($H$260:$L$260)</f>
        <v>#DIV/0!</v>
      </c>
      <c r="N260" s="369" t="e">
        <f>AVERAGE($H$260:$L$260)</f>
        <v>#DIV/0!</v>
      </c>
      <c r="O260" s="369" t="e">
        <f>AVERAGE($H$260:$L$260)</f>
        <v>#DIV/0!</v>
      </c>
      <c r="P260" s="369" t="e">
        <f>AVERAGE($H$260:$L$260)</f>
        <v>#DIV/0!</v>
      </c>
      <c r="Q260" s="370" t="e">
        <f>AVERAGE($H$260:$L$260)</f>
        <v>#DIV/0!</v>
      </c>
      <c r="R260" s="1429"/>
      <c r="S260" s="368" t="e">
        <f t="shared" si="191"/>
        <v>#DIV/0!</v>
      </c>
      <c r="T260" s="369" t="e">
        <f t="shared" si="191"/>
        <v>#DIV/0!</v>
      </c>
      <c r="U260" s="369" t="e">
        <f t="shared" si="191"/>
        <v>#DIV/0!</v>
      </c>
      <c r="V260" s="369" t="e">
        <f t="shared" si="191"/>
        <v>#DIV/0!</v>
      </c>
      <c r="W260" s="370" t="e">
        <f t="shared" si="191"/>
        <v>#DIV/0!</v>
      </c>
      <c r="X260" s="1221" t="e">
        <f t="shared" si="191"/>
        <v>#DIV/0!</v>
      </c>
      <c r="Y260" s="368" t="e">
        <f t="shared" si="191"/>
        <v>#DIV/0!</v>
      </c>
      <c r="Z260" s="369" t="e">
        <f t="shared" si="191"/>
        <v>#DIV/0!</v>
      </c>
      <c r="AA260" s="369" t="e">
        <f t="shared" si="191"/>
        <v>#DIV/0!</v>
      </c>
      <c r="AB260" s="369" t="e">
        <f t="shared" si="191"/>
        <v>#DIV/0!</v>
      </c>
      <c r="AC260" s="369" t="e">
        <f t="shared" si="191"/>
        <v>#DIV/0!</v>
      </c>
      <c r="AD260" s="1226" t="e">
        <f>SUM(H260:L260)/SUM(Y260:AC260)-1</f>
        <v>#DIV/0!</v>
      </c>
      <c r="AH260" s="368" t="e">
        <f t="shared" ref="AH260:AO260" si="193">AH254/AH242</f>
        <v>#DIV/0!</v>
      </c>
      <c r="AI260" s="369" t="e">
        <f t="shared" si="193"/>
        <v>#DIV/0!</v>
      </c>
      <c r="AJ260" s="369" t="e">
        <f t="shared" si="193"/>
        <v>#DIV/0!</v>
      </c>
      <c r="AK260" s="369" t="e">
        <f t="shared" si="193"/>
        <v>#DIV/0!</v>
      </c>
      <c r="AL260" s="370" t="e">
        <f t="shared" si="193"/>
        <v>#DIV/0!</v>
      </c>
      <c r="AM260" s="368" t="e">
        <f t="shared" si="193"/>
        <v>#DIV/0!</v>
      </c>
      <c r="AN260" s="369" t="e">
        <f t="shared" si="193"/>
        <v>#DIV/0!</v>
      </c>
      <c r="AO260" s="370" t="e">
        <f t="shared" si="193"/>
        <v>#DIV/0!</v>
      </c>
    </row>
    <row r="261" spans="1:41">
      <c r="A261" s="308"/>
      <c r="B261" s="299" t="str">
        <f>B26</f>
        <v>New medium density / high rise</v>
      </c>
      <c r="C261" s="368" t="e">
        <f t="shared" si="190"/>
        <v>#DIV/0!</v>
      </c>
      <c r="D261" s="369" t="e">
        <f t="shared" si="190"/>
        <v>#DIV/0!</v>
      </c>
      <c r="E261" s="369" t="e">
        <f t="shared" si="190"/>
        <v>#DIV/0!</v>
      </c>
      <c r="F261" s="369" t="e">
        <f t="shared" si="190"/>
        <v>#DIV/0!</v>
      </c>
      <c r="G261" s="370" t="e">
        <f t="shared" si="190"/>
        <v>#DIV/0!</v>
      </c>
      <c r="H261" s="368" t="e">
        <f t="shared" si="190"/>
        <v>#DIV/0!</v>
      </c>
      <c r="I261" s="369" t="e">
        <f t="shared" si="190"/>
        <v>#DIV/0!</v>
      </c>
      <c r="J261" s="369" t="e">
        <f t="shared" si="190"/>
        <v>#DIV/0!</v>
      </c>
      <c r="K261" s="369" t="e">
        <f t="shared" si="190"/>
        <v>#DIV/0!</v>
      </c>
      <c r="L261" s="369" t="e">
        <f t="shared" si="190"/>
        <v>#DIV/0!</v>
      </c>
      <c r="M261" s="368" t="e">
        <f>AVERAGE($H$261:$L$261)</f>
        <v>#DIV/0!</v>
      </c>
      <c r="N261" s="369" t="e">
        <f>AVERAGE($H$261:$L$261)</f>
        <v>#DIV/0!</v>
      </c>
      <c r="O261" s="369" t="e">
        <f>AVERAGE($H$261:$L$261)</f>
        <v>#DIV/0!</v>
      </c>
      <c r="P261" s="369" t="e">
        <f>AVERAGE($H$261:$L$261)</f>
        <v>#DIV/0!</v>
      </c>
      <c r="Q261" s="370" t="e">
        <f>AVERAGE($H$261:$L$261)</f>
        <v>#DIV/0!</v>
      </c>
      <c r="R261" s="1429"/>
      <c r="S261" s="368" t="e">
        <f t="shared" si="191"/>
        <v>#DIV/0!</v>
      </c>
      <c r="T261" s="369" t="e">
        <f t="shared" si="191"/>
        <v>#DIV/0!</v>
      </c>
      <c r="U261" s="369" t="e">
        <f t="shared" si="191"/>
        <v>#DIV/0!</v>
      </c>
      <c r="V261" s="369" t="e">
        <f t="shared" si="191"/>
        <v>#DIV/0!</v>
      </c>
      <c r="W261" s="370" t="e">
        <f t="shared" si="191"/>
        <v>#DIV/0!</v>
      </c>
      <c r="X261" s="1221" t="e">
        <f t="shared" si="191"/>
        <v>#DIV/0!</v>
      </c>
      <c r="Y261" s="368" t="e">
        <f t="shared" si="191"/>
        <v>#DIV/0!</v>
      </c>
      <c r="Z261" s="369" t="e">
        <f t="shared" si="191"/>
        <v>#DIV/0!</v>
      </c>
      <c r="AA261" s="369" t="e">
        <f t="shared" si="191"/>
        <v>#DIV/0!</v>
      </c>
      <c r="AB261" s="369" t="e">
        <f t="shared" si="191"/>
        <v>#DIV/0!</v>
      </c>
      <c r="AC261" s="369" t="e">
        <f t="shared" si="191"/>
        <v>#DIV/0!</v>
      </c>
      <c r="AD261" s="1226" t="e">
        <f>SUM(H261:L261)/SUM(Y261:AC261)-1</f>
        <v>#DIV/0!</v>
      </c>
      <c r="AH261" s="368" t="e">
        <f t="shared" ref="AH261:AO261" si="194">AH255/AH243</f>
        <v>#DIV/0!</v>
      </c>
      <c r="AI261" s="369" t="e">
        <f t="shared" si="194"/>
        <v>#DIV/0!</v>
      </c>
      <c r="AJ261" s="369" t="e">
        <f t="shared" si="194"/>
        <v>#DIV/0!</v>
      </c>
      <c r="AK261" s="369" t="e">
        <f t="shared" si="194"/>
        <v>#DIV/0!</v>
      </c>
      <c r="AL261" s="370" t="e">
        <f t="shared" si="194"/>
        <v>#DIV/0!</v>
      </c>
      <c r="AM261" s="368" t="e">
        <f t="shared" si="194"/>
        <v>#DIV/0!</v>
      </c>
      <c r="AN261" s="369" t="e">
        <f t="shared" si="194"/>
        <v>#DIV/0!</v>
      </c>
      <c r="AO261" s="370" t="e">
        <f t="shared" si="194"/>
        <v>#DIV/0!</v>
      </c>
    </row>
    <row r="262" spans="1:41">
      <c r="A262" s="308"/>
      <c r="B262" s="299" t="str">
        <f>B27</f>
        <v>I&amp;C tariff</v>
      </c>
      <c r="C262" s="368" t="e">
        <f t="shared" si="190"/>
        <v>#DIV/0!</v>
      </c>
      <c r="D262" s="369" t="e">
        <f t="shared" si="190"/>
        <v>#DIV/0!</v>
      </c>
      <c r="E262" s="369" t="e">
        <f t="shared" si="190"/>
        <v>#DIV/0!</v>
      </c>
      <c r="F262" s="369" t="e">
        <f t="shared" si="190"/>
        <v>#DIV/0!</v>
      </c>
      <c r="G262" s="370" t="e">
        <f t="shared" si="190"/>
        <v>#DIV/0!</v>
      </c>
      <c r="H262" s="368" t="e">
        <f t="shared" si="190"/>
        <v>#DIV/0!</v>
      </c>
      <c r="I262" s="369" t="e">
        <f t="shared" si="190"/>
        <v>#DIV/0!</v>
      </c>
      <c r="J262" s="369" t="e">
        <f t="shared" si="190"/>
        <v>#DIV/0!</v>
      </c>
      <c r="K262" s="369" t="e">
        <f t="shared" si="190"/>
        <v>#DIV/0!</v>
      </c>
      <c r="L262" s="369" t="e">
        <f t="shared" si="190"/>
        <v>#DIV/0!</v>
      </c>
      <c r="M262" s="368" t="e">
        <f>AVERAGE($H$262:$L$262)</f>
        <v>#DIV/0!</v>
      </c>
      <c r="N262" s="369" t="e">
        <f>AVERAGE($H$262:$L$262)</f>
        <v>#DIV/0!</v>
      </c>
      <c r="O262" s="369" t="e">
        <f>AVERAGE($H$262:$L$262)</f>
        <v>#DIV/0!</v>
      </c>
      <c r="P262" s="369" t="e">
        <f>AVERAGE($H$262:$L$262)</f>
        <v>#DIV/0!</v>
      </c>
      <c r="Q262" s="370" t="e">
        <f>AVERAGE($H$262:$L$262)</f>
        <v>#DIV/0!</v>
      </c>
      <c r="R262" s="1429"/>
      <c r="S262" s="368" t="e">
        <f t="shared" si="191"/>
        <v>#DIV/0!</v>
      </c>
      <c r="T262" s="369" t="e">
        <f t="shared" si="191"/>
        <v>#DIV/0!</v>
      </c>
      <c r="U262" s="369" t="e">
        <f t="shared" si="191"/>
        <v>#DIV/0!</v>
      </c>
      <c r="V262" s="369" t="e">
        <f t="shared" si="191"/>
        <v>#DIV/0!</v>
      </c>
      <c r="W262" s="370" t="e">
        <f t="shared" si="191"/>
        <v>#DIV/0!</v>
      </c>
      <c r="X262" s="1221" t="e">
        <f t="shared" si="191"/>
        <v>#DIV/0!</v>
      </c>
      <c r="Y262" s="368" t="e">
        <f t="shared" si="191"/>
        <v>#DIV/0!</v>
      </c>
      <c r="Z262" s="369" t="e">
        <f t="shared" si="191"/>
        <v>#DIV/0!</v>
      </c>
      <c r="AA262" s="369" t="e">
        <f t="shared" si="191"/>
        <v>#DIV/0!</v>
      </c>
      <c r="AB262" s="369" t="e">
        <f t="shared" si="191"/>
        <v>#DIV/0!</v>
      </c>
      <c r="AC262" s="369" t="e">
        <f t="shared" si="191"/>
        <v>#DIV/0!</v>
      </c>
      <c r="AD262" s="1226" t="e">
        <f>SUM(H262:L262)/SUM(Y262:AC262)-1</f>
        <v>#DIV/0!</v>
      </c>
      <c r="AH262" s="368" t="e">
        <f t="shared" ref="AH262:AO262" si="195">AH256/AH244</f>
        <v>#DIV/0!</v>
      </c>
      <c r="AI262" s="369" t="e">
        <f t="shared" si="195"/>
        <v>#DIV/0!</v>
      </c>
      <c r="AJ262" s="369" t="e">
        <f t="shared" si="195"/>
        <v>#DIV/0!</v>
      </c>
      <c r="AK262" s="369" t="e">
        <f t="shared" si="195"/>
        <v>#DIV/0!</v>
      </c>
      <c r="AL262" s="370" t="e">
        <f t="shared" si="195"/>
        <v>#DIV/0!</v>
      </c>
      <c r="AM262" s="368" t="e">
        <f t="shared" si="195"/>
        <v>#DIV/0!</v>
      </c>
      <c r="AN262" s="369" t="e">
        <f t="shared" si="195"/>
        <v>#DIV/0!</v>
      </c>
      <c r="AO262" s="370" t="e">
        <f t="shared" si="195"/>
        <v>#DIV/0!</v>
      </c>
    </row>
    <row r="263" spans="1:41">
      <c r="A263" s="308"/>
      <c r="B263" s="299" t="str">
        <f>B28</f>
        <v>I&amp;C contract</v>
      </c>
      <c r="C263" s="368" t="e">
        <f t="shared" si="190"/>
        <v>#DIV/0!</v>
      </c>
      <c r="D263" s="369" t="e">
        <f t="shared" si="190"/>
        <v>#DIV/0!</v>
      </c>
      <c r="E263" s="369" t="e">
        <f t="shared" si="190"/>
        <v>#DIV/0!</v>
      </c>
      <c r="F263" s="369" t="e">
        <f t="shared" si="190"/>
        <v>#DIV/0!</v>
      </c>
      <c r="G263" s="370" t="e">
        <f t="shared" si="190"/>
        <v>#DIV/0!</v>
      </c>
      <c r="H263" s="368" t="e">
        <f t="shared" si="190"/>
        <v>#DIV/0!</v>
      </c>
      <c r="I263" s="369" t="e">
        <f t="shared" si="190"/>
        <v>#DIV/0!</v>
      </c>
      <c r="J263" s="369" t="e">
        <f t="shared" si="190"/>
        <v>#DIV/0!</v>
      </c>
      <c r="K263" s="369" t="e">
        <f t="shared" si="190"/>
        <v>#DIV/0!</v>
      </c>
      <c r="L263" s="369" t="e">
        <f t="shared" si="190"/>
        <v>#DIV/0!</v>
      </c>
      <c r="M263" s="368" t="e">
        <f>AVERAGE($H$263:$L$263)</f>
        <v>#DIV/0!</v>
      </c>
      <c r="N263" s="369" t="e">
        <f>AVERAGE($H$263:$L$263)</f>
        <v>#DIV/0!</v>
      </c>
      <c r="O263" s="369" t="e">
        <f>AVERAGE($H$263:$L$263)</f>
        <v>#DIV/0!</v>
      </c>
      <c r="P263" s="369" t="e">
        <f>AVERAGE($H$263:$L$263)</f>
        <v>#DIV/0!</v>
      </c>
      <c r="Q263" s="370" t="e">
        <f>AVERAGE($H$263:$L$263)</f>
        <v>#DIV/0!</v>
      </c>
      <c r="R263" s="1429"/>
      <c r="S263" s="368" t="e">
        <f t="shared" si="191"/>
        <v>#DIV/0!</v>
      </c>
      <c r="T263" s="369" t="e">
        <f t="shared" si="191"/>
        <v>#DIV/0!</v>
      </c>
      <c r="U263" s="369" t="e">
        <f t="shared" si="191"/>
        <v>#DIV/0!</v>
      </c>
      <c r="V263" s="369" t="e">
        <f t="shared" si="191"/>
        <v>#DIV/0!</v>
      </c>
      <c r="W263" s="370" t="e">
        <f t="shared" si="191"/>
        <v>#DIV/0!</v>
      </c>
      <c r="X263" s="1221" t="e">
        <f t="shared" si="191"/>
        <v>#DIV/0!</v>
      </c>
      <c r="Y263" s="368" t="e">
        <f t="shared" si="191"/>
        <v>#DIV/0!</v>
      </c>
      <c r="Z263" s="369" t="e">
        <f t="shared" si="191"/>
        <v>#DIV/0!</v>
      </c>
      <c r="AA263" s="369" t="e">
        <f t="shared" si="191"/>
        <v>#DIV/0!</v>
      </c>
      <c r="AB263" s="369" t="e">
        <f t="shared" si="191"/>
        <v>#DIV/0!</v>
      </c>
      <c r="AC263" s="369" t="e">
        <f t="shared" si="191"/>
        <v>#DIV/0!</v>
      </c>
      <c r="AD263" s="1226" t="e">
        <f>SUM(H263:L263)/SUM(Y263:AC263)-1</f>
        <v>#DIV/0!</v>
      </c>
      <c r="AH263" s="368" t="e">
        <f t="shared" ref="AH263:AO263" si="196">AH257/AH245</f>
        <v>#DIV/0!</v>
      </c>
      <c r="AI263" s="369" t="e">
        <f t="shared" si="196"/>
        <v>#DIV/0!</v>
      </c>
      <c r="AJ263" s="369" t="e">
        <f t="shared" si="196"/>
        <v>#DIV/0!</v>
      </c>
      <c r="AK263" s="369" t="e">
        <f t="shared" si="196"/>
        <v>#DIV/0!</v>
      </c>
      <c r="AL263" s="370" t="e">
        <f t="shared" si="196"/>
        <v>#DIV/0!</v>
      </c>
      <c r="AM263" s="368" t="e">
        <f t="shared" si="196"/>
        <v>#DIV/0!</v>
      </c>
      <c r="AN263" s="369" t="e">
        <f t="shared" si="196"/>
        <v>#DIV/0!</v>
      </c>
      <c r="AO263" s="370" t="e">
        <f t="shared" si="196"/>
        <v>#DIV/0!</v>
      </c>
    </row>
    <row r="264" spans="1:41">
      <c r="A264" s="308"/>
      <c r="B264" s="384" t="s">
        <v>170</v>
      </c>
      <c r="C264" s="982"/>
      <c r="D264" s="1158"/>
      <c r="E264" s="1158"/>
      <c r="F264" s="1158"/>
      <c r="G264" s="364"/>
      <c r="H264" s="982"/>
      <c r="I264" s="1158"/>
      <c r="J264" s="1158"/>
      <c r="K264" s="1158"/>
      <c r="L264" s="1158"/>
      <c r="M264" s="982"/>
      <c r="N264" s="1158"/>
      <c r="O264" s="1158"/>
      <c r="P264" s="1158"/>
      <c r="Q264" s="364"/>
      <c r="R264" s="1429"/>
      <c r="S264" s="982"/>
      <c r="T264" s="1158"/>
      <c r="U264" s="1158"/>
      <c r="V264" s="1158"/>
      <c r="W264" s="364"/>
      <c r="X264" s="1158"/>
      <c r="Y264" s="982"/>
      <c r="Z264" s="1158"/>
      <c r="AA264" s="1158"/>
      <c r="AB264" s="1158"/>
      <c r="AC264" s="1158"/>
      <c r="AD264" s="364"/>
      <c r="AH264" s="982"/>
      <c r="AI264" s="1158"/>
      <c r="AJ264" s="1158"/>
      <c r="AK264" s="1158"/>
      <c r="AL264" s="364"/>
      <c r="AM264" s="982"/>
      <c r="AN264" s="1158"/>
      <c r="AO264" s="364"/>
    </row>
    <row r="265" spans="1:41">
      <c r="A265" s="308"/>
      <c r="B265" s="299" t="str">
        <f>B24</f>
        <v>Electricity to gas</v>
      </c>
      <c r="C265" s="525"/>
      <c r="D265" s="523"/>
      <c r="E265" s="523"/>
      <c r="F265" s="523"/>
      <c r="G265" s="591"/>
      <c r="H265" s="525"/>
      <c r="I265" s="523"/>
      <c r="J265" s="523"/>
      <c r="K265" s="523"/>
      <c r="L265" s="523" t="e">
        <f t="shared" ref="L265:Q269" si="197">L247*L241*L259</f>
        <v>#DIV/0!</v>
      </c>
      <c r="M265" s="1217" t="e">
        <f t="shared" si="197"/>
        <v>#DIV/0!</v>
      </c>
      <c r="N265" s="371" t="e">
        <f t="shared" si="197"/>
        <v>#DIV/0!</v>
      </c>
      <c r="O265" s="371" t="e">
        <f t="shared" si="197"/>
        <v>#DIV/0!</v>
      </c>
      <c r="P265" s="371" t="e">
        <f t="shared" si="197"/>
        <v>#DIV/0!</v>
      </c>
      <c r="Q265" s="372" t="e">
        <f t="shared" si="197"/>
        <v>#DIV/0!</v>
      </c>
      <c r="R265" s="1429"/>
      <c r="S265" s="514"/>
      <c r="T265" s="513"/>
      <c r="U265" s="513"/>
      <c r="V265" s="513"/>
      <c r="W265" s="515"/>
      <c r="X265" s="1218"/>
      <c r="Y265" s="514"/>
      <c r="Z265" s="513"/>
      <c r="AA265" s="513"/>
      <c r="AB265" s="513"/>
      <c r="AC265" s="513"/>
      <c r="AD265" s="1227" t="e">
        <f t="shared" ref="AD265:AD270" si="198">SUM(H265:L265)/SUM(Y265:AC265)-1</f>
        <v>#DIV/0!</v>
      </c>
      <c r="AH265" s="525"/>
      <c r="AI265" s="523"/>
      <c r="AJ265" s="523"/>
      <c r="AK265" s="523"/>
      <c r="AL265" s="591"/>
      <c r="AM265" s="525"/>
      <c r="AN265" s="523"/>
      <c r="AO265" s="591"/>
    </row>
    <row r="266" spans="1:41">
      <c r="A266" s="308"/>
      <c r="B266" s="299" t="str">
        <f>B25</f>
        <v>New homes</v>
      </c>
      <c r="C266" s="525"/>
      <c r="D266" s="523"/>
      <c r="E266" s="523"/>
      <c r="F266" s="523"/>
      <c r="G266" s="591"/>
      <c r="H266" s="525"/>
      <c r="I266" s="523"/>
      <c r="J266" s="523"/>
      <c r="K266" s="523"/>
      <c r="L266" s="523" t="e">
        <f t="shared" si="197"/>
        <v>#DIV/0!</v>
      </c>
      <c r="M266" s="1217" t="e">
        <f t="shared" si="197"/>
        <v>#DIV/0!</v>
      </c>
      <c r="N266" s="371" t="e">
        <f t="shared" si="197"/>
        <v>#DIV/0!</v>
      </c>
      <c r="O266" s="371" t="e">
        <f t="shared" si="197"/>
        <v>#DIV/0!</v>
      </c>
      <c r="P266" s="371" t="e">
        <f t="shared" si="197"/>
        <v>#DIV/0!</v>
      </c>
      <c r="Q266" s="372" t="e">
        <f t="shared" si="197"/>
        <v>#DIV/0!</v>
      </c>
      <c r="R266" s="1429"/>
      <c r="S266" s="514"/>
      <c r="T266" s="513"/>
      <c r="U266" s="513"/>
      <c r="V266" s="513"/>
      <c r="W266" s="515"/>
      <c r="X266" s="1218"/>
      <c r="Y266" s="514"/>
      <c r="Z266" s="513"/>
      <c r="AA266" s="513"/>
      <c r="AB266" s="513"/>
      <c r="AC266" s="513"/>
      <c r="AD266" s="1227" t="e">
        <f t="shared" si="198"/>
        <v>#DIV/0!</v>
      </c>
      <c r="AH266" s="525"/>
      <c r="AI266" s="523"/>
      <c r="AJ266" s="523"/>
      <c r="AK266" s="523"/>
      <c r="AL266" s="591"/>
      <c r="AM266" s="525"/>
      <c r="AN266" s="523"/>
      <c r="AO266" s="591"/>
    </row>
    <row r="267" spans="1:41">
      <c r="A267" s="308"/>
      <c r="B267" s="299" t="str">
        <f>B26</f>
        <v>New medium density / high rise</v>
      </c>
      <c r="C267" s="525"/>
      <c r="D267" s="523"/>
      <c r="E267" s="523"/>
      <c r="F267" s="523"/>
      <c r="G267" s="591"/>
      <c r="H267" s="525"/>
      <c r="I267" s="523"/>
      <c r="J267" s="523"/>
      <c r="K267" s="523"/>
      <c r="L267" s="523" t="e">
        <f t="shared" si="197"/>
        <v>#DIV/0!</v>
      </c>
      <c r="M267" s="1217" t="e">
        <f t="shared" si="197"/>
        <v>#DIV/0!</v>
      </c>
      <c r="N267" s="371" t="e">
        <f t="shared" si="197"/>
        <v>#DIV/0!</v>
      </c>
      <c r="O267" s="371" t="e">
        <f t="shared" si="197"/>
        <v>#DIV/0!</v>
      </c>
      <c r="P267" s="371" t="e">
        <f t="shared" si="197"/>
        <v>#DIV/0!</v>
      </c>
      <c r="Q267" s="372" t="e">
        <f t="shared" si="197"/>
        <v>#DIV/0!</v>
      </c>
      <c r="R267" s="1429"/>
      <c r="S267" s="514"/>
      <c r="T267" s="513"/>
      <c r="U267" s="513"/>
      <c r="V267" s="513"/>
      <c r="W267" s="515"/>
      <c r="X267" s="1218"/>
      <c r="Y267" s="514"/>
      <c r="Z267" s="513"/>
      <c r="AA267" s="513"/>
      <c r="AB267" s="513"/>
      <c r="AC267" s="513"/>
      <c r="AD267" s="1227" t="e">
        <f t="shared" si="198"/>
        <v>#DIV/0!</v>
      </c>
      <c r="AH267" s="525"/>
      <c r="AI267" s="523"/>
      <c r="AJ267" s="523"/>
      <c r="AK267" s="523"/>
      <c r="AL267" s="591"/>
      <c r="AM267" s="525"/>
      <c r="AN267" s="523"/>
      <c r="AO267" s="591"/>
    </row>
    <row r="268" spans="1:41">
      <c r="A268" s="308"/>
      <c r="B268" s="299" t="str">
        <f>B27</f>
        <v>I&amp;C tariff</v>
      </c>
      <c r="C268" s="525"/>
      <c r="D268" s="523"/>
      <c r="E268" s="523"/>
      <c r="F268" s="523"/>
      <c r="G268" s="591"/>
      <c r="H268" s="525"/>
      <c r="I268" s="523"/>
      <c r="J268" s="523"/>
      <c r="K268" s="523"/>
      <c r="L268" s="523" t="e">
        <f t="shared" si="197"/>
        <v>#DIV/0!</v>
      </c>
      <c r="M268" s="1217" t="e">
        <f t="shared" si="197"/>
        <v>#DIV/0!</v>
      </c>
      <c r="N268" s="371" t="e">
        <f t="shared" si="197"/>
        <v>#DIV/0!</v>
      </c>
      <c r="O268" s="371" t="e">
        <f t="shared" si="197"/>
        <v>#DIV/0!</v>
      </c>
      <c r="P268" s="371" t="e">
        <f t="shared" si="197"/>
        <v>#DIV/0!</v>
      </c>
      <c r="Q268" s="372" t="e">
        <f t="shared" si="197"/>
        <v>#DIV/0!</v>
      </c>
      <c r="R268" s="1429"/>
      <c r="S268" s="514"/>
      <c r="T268" s="513"/>
      <c r="U268" s="513"/>
      <c r="V268" s="513"/>
      <c r="W268" s="515"/>
      <c r="X268" s="1218"/>
      <c r="Y268" s="514"/>
      <c r="Z268" s="513"/>
      <c r="AA268" s="513"/>
      <c r="AB268" s="513"/>
      <c r="AC268" s="513"/>
      <c r="AD268" s="1227" t="e">
        <f t="shared" si="198"/>
        <v>#DIV/0!</v>
      </c>
      <c r="AH268" s="525"/>
      <c r="AI268" s="523"/>
      <c r="AJ268" s="523"/>
      <c r="AK268" s="523"/>
      <c r="AL268" s="591"/>
      <c r="AM268" s="525"/>
      <c r="AN268" s="523"/>
      <c r="AO268" s="591"/>
    </row>
    <row r="269" spans="1:41" ht="13.5" thickBot="1">
      <c r="A269" s="308"/>
      <c r="B269" s="299" t="str">
        <f>B28</f>
        <v>I&amp;C contract</v>
      </c>
      <c r="C269" s="526"/>
      <c r="D269" s="524"/>
      <c r="E269" s="524"/>
      <c r="F269" s="524"/>
      <c r="G269" s="592"/>
      <c r="H269" s="526"/>
      <c r="I269" s="524"/>
      <c r="J269" s="524"/>
      <c r="K269" s="524"/>
      <c r="L269" s="524" t="e">
        <f t="shared" si="197"/>
        <v>#DIV/0!</v>
      </c>
      <c r="M269" s="1217" t="e">
        <f t="shared" si="197"/>
        <v>#DIV/0!</v>
      </c>
      <c r="N269" s="371" t="e">
        <f t="shared" si="197"/>
        <v>#DIV/0!</v>
      </c>
      <c r="O269" s="371" t="e">
        <f t="shared" si="197"/>
        <v>#DIV/0!</v>
      </c>
      <c r="P269" s="371" t="e">
        <f t="shared" si="197"/>
        <v>#DIV/0!</v>
      </c>
      <c r="Q269" s="372" t="e">
        <f t="shared" si="197"/>
        <v>#DIV/0!</v>
      </c>
      <c r="R269" s="1429"/>
      <c r="S269" s="517"/>
      <c r="T269" s="518"/>
      <c r="U269" s="518"/>
      <c r="V269" s="518"/>
      <c r="W269" s="519"/>
      <c r="X269" s="1219"/>
      <c r="Y269" s="517"/>
      <c r="Z269" s="518"/>
      <c r="AA269" s="518"/>
      <c r="AB269" s="518"/>
      <c r="AC269" s="518"/>
      <c r="AD269" s="1227" t="e">
        <f t="shared" si="198"/>
        <v>#DIV/0!</v>
      </c>
      <c r="AH269" s="2098"/>
      <c r="AI269" s="2099"/>
      <c r="AJ269" s="2099"/>
      <c r="AK269" s="2099"/>
      <c r="AL269" s="2100"/>
      <c r="AM269" s="2098"/>
      <c r="AN269" s="2099"/>
      <c r="AO269" s="2100"/>
    </row>
    <row r="270" spans="1:41" ht="13.5" thickBot="1">
      <c r="A270" s="308"/>
      <c r="B270" s="255" t="s">
        <v>53</v>
      </c>
      <c r="C270" s="373"/>
      <c r="D270" s="374"/>
      <c r="E270" s="374"/>
      <c r="F270" s="374"/>
      <c r="G270" s="1216"/>
      <c r="H270" s="373"/>
      <c r="I270" s="374"/>
      <c r="J270" s="374"/>
      <c r="K270" s="374"/>
      <c r="L270" s="374" t="e">
        <f t="shared" ref="L270:AC270" si="199">SUM(L265:L269)</f>
        <v>#DIV/0!</v>
      </c>
      <c r="M270" s="377" t="e">
        <f t="shared" si="199"/>
        <v>#DIV/0!</v>
      </c>
      <c r="N270" s="375" t="e">
        <f t="shared" si="199"/>
        <v>#DIV/0!</v>
      </c>
      <c r="O270" s="375" t="e">
        <f t="shared" si="199"/>
        <v>#DIV/0!</v>
      </c>
      <c r="P270" s="375" t="e">
        <f t="shared" si="199"/>
        <v>#DIV/0!</v>
      </c>
      <c r="Q270" s="376" t="e">
        <f t="shared" si="199"/>
        <v>#DIV/0!</v>
      </c>
      <c r="R270" s="1429"/>
      <c r="S270" s="377">
        <f t="shared" si="199"/>
        <v>0</v>
      </c>
      <c r="T270" s="375">
        <f t="shared" si="199"/>
        <v>0</v>
      </c>
      <c r="U270" s="375">
        <f t="shared" si="199"/>
        <v>0</v>
      </c>
      <c r="V270" s="375">
        <f t="shared" si="199"/>
        <v>0</v>
      </c>
      <c r="W270" s="376">
        <f t="shared" si="199"/>
        <v>0</v>
      </c>
      <c r="X270" s="1222">
        <f t="shared" si="199"/>
        <v>0</v>
      </c>
      <c r="Y270" s="377">
        <f t="shared" si="199"/>
        <v>0</v>
      </c>
      <c r="Z270" s="375">
        <f t="shared" ref="Z270" si="200">SUM(Z265:Z269)</f>
        <v>0</v>
      </c>
      <c r="AA270" s="375">
        <f t="shared" si="199"/>
        <v>0</v>
      </c>
      <c r="AB270" s="375">
        <f t="shared" si="199"/>
        <v>0</v>
      </c>
      <c r="AC270" s="375">
        <f t="shared" si="199"/>
        <v>0</v>
      </c>
      <c r="AD270" s="1228" t="e">
        <f t="shared" si="198"/>
        <v>#DIV/0!</v>
      </c>
      <c r="AH270" s="2095"/>
      <c r="AI270" s="2096"/>
      <c r="AJ270" s="2096"/>
      <c r="AK270" s="2096"/>
      <c r="AL270" s="2097"/>
      <c r="AM270" s="2095"/>
      <c r="AN270" s="2096"/>
      <c r="AO270" s="2096"/>
    </row>
    <row r="271" spans="1:41" s="176" customFormat="1" ht="31.5" customHeight="1" thickBot="1">
      <c r="A271" s="862"/>
      <c r="B271" s="1724" t="s">
        <v>125</v>
      </c>
      <c r="C271" s="309"/>
      <c r="D271" s="1247"/>
      <c r="E271" s="1247"/>
      <c r="F271" s="1247"/>
      <c r="G271" s="1247"/>
      <c r="H271" s="1247"/>
      <c r="I271" s="1247"/>
      <c r="J271" s="1247"/>
      <c r="K271" s="1247"/>
      <c r="L271" s="1247"/>
      <c r="M271" s="1247"/>
      <c r="N271" s="1247"/>
      <c r="O271" s="1247"/>
      <c r="P271" s="1247"/>
      <c r="Q271" s="1248"/>
      <c r="R271" s="1429"/>
      <c r="S271" s="309"/>
      <c r="T271" s="1247"/>
      <c r="U271" s="1247"/>
      <c r="V271" s="1247"/>
      <c r="W271" s="1247"/>
      <c r="X271" s="1247"/>
      <c r="Y271" s="1247"/>
      <c r="Z271" s="1247"/>
      <c r="AA271" s="1247"/>
      <c r="AB271" s="1247"/>
      <c r="AC271" s="1247"/>
      <c r="AD271" s="1248"/>
      <c r="AE271"/>
      <c r="AH271" s="2107"/>
      <c r="AI271" s="2108"/>
      <c r="AJ271" s="2108"/>
      <c r="AK271" s="2108"/>
      <c r="AL271" s="2108"/>
      <c r="AM271" s="2108"/>
      <c r="AN271" s="2108"/>
      <c r="AO271" s="2109"/>
    </row>
  </sheetData>
  <mergeCells count="51">
    <mergeCell ref="C237:J237"/>
    <mergeCell ref="K237:Q237"/>
    <mergeCell ref="S237:W237"/>
    <mergeCell ref="Y237:AC237"/>
    <mergeCell ref="C238:J238"/>
    <mergeCell ref="K238:Q238"/>
    <mergeCell ref="S238:W238"/>
    <mergeCell ref="Y238:AC238"/>
    <mergeCell ref="C236:G236"/>
    <mergeCell ref="H236:L236"/>
    <mergeCell ref="M236:Q236"/>
    <mergeCell ref="S236:X236"/>
    <mergeCell ref="Y236:AD236"/>
    <mergeCell ref="S56:X56"/>
    <mergeCell ref="Y56:AD56"/>
    <mergeCell ref="C58:J58"/>
    <mergeCell ref="K58:Q58"/>
    <mergeCell ref="S58:W58"/>
    <mergeCell ref="Y58:AC58"/>
    <mergeCell ref="C57:J57"/>
    <mergeCell ref="K57:Q57"/>
    <mergeCell ref="S57:W57"/>
    <mergeCell ref="Y57:AC57"/>
    <mergeCell ref="C56:G56"/>
    <mergeCell ref="H56:L56"/>
    <mergeCell ref="M56:Q56"/>
    <mergeCell ref="Y18:AD18"/>
    <mergeCell ref="C19:Q19"/>
    <mergeCell ref="C20:J20"/>
    <mergeCell ref="K20:Q20"/>
    <mergeCell ref="S18:X18"/>
    <mergeCell ref="S19:AD19"/>
    <mergeCell ref="S20:AD20"/>
    <mergeCell ref="B12:F12"/>
    <mergeCell ref="B13:F13"/>
    <mergeCell ref="C18:G18"/>
    <mergeCell ref="H18:L18"/>
    <mergeCell ref="M18:Q18"/>
    <mergeCell ref="B11:F11"/>
    <mergeCell ref="B7:F7"/>
    <mergeCell ref="B8:F8"/>
    <mergeCell ref="B9:F9"/>
    <mergeCell ref="B10:F10"/>
    <mergeCell ref="AH236:AL236"/>
    <mergeCell ref="AH237:AO237"/>
    <mergeCell ref="AH238:AO238"/>
    <mergeCell ref="AM56:AO56"/>
    <mergeCell ref="AM236:AO236"/>
    <mergeCell ref="AH56:AL56"/>
    <mergeCell ref="AH57:AO57"/>
    <mergeCell ref="AH58:AO58"/>
  </mergeCells>
  <pageMargins left="0.7" right="0.7" top="0.75" bottom="0.75" header="0.3" footer="0.3"/>
  <pageSetup paperSize="9" orientation="portrait" r:id="rId1"/>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39997558519241921"/>
    <pageSetUpPr autoPageBreaks="0"/>
  </sheetPr>
  <dimension ref="A1:AI188"/>
  <sheetViews>
    <sheetView showGridLines="0" topLeftCell="D1" zoomScale="70" zoomScaleNormal="70" workbookViewId="0"/>
  </sheetViews>
  <sheetFormatPr defaultRowHeight="12.75" outlineLevelRow="2"/>
  <cols>
    <col min="1" max="1" width="12" style="78" hidden="1" customWidth="1"/>
    <col min="2" max="2" width="16.28515625" style="78" hidden="1" customWidth="1"/>
    <col min="3" max="3" width="11.85546875" style="78" hidden="1" customWidth="1"/>
    <col min="4" max="4" width="24.140625" style="308" customWidth="1"/>
    <col min="5" max="5" width="48.85546875" style="77" customWidth="1"/>
    <col min="6" max="6" width="61.28515625" style="78" customWidth="1"/>
    <col min="7" max="21" width="15.7109375" style="78" customWidth="1"/>
    <col min="22" max="22" width="35.85546875" style="78" customWidth="1"/>
    <col min="23" max="23" width="22.5703125" customWidth="1"/>
    <col min="27" max="34" width="15.7109375" style="529" customWidth="1"/>
    <col min="35" max="235" width="9.140625" style="78"/>
    <col min="236" max="237" width="16.28515625" style="78" customWidth="1"/>
    <col min="238" max="238" width="93.28515625" style="78" customWidth="1"/>
    <col min="239" max="239" width="26.140625" style="78" customWidth="1"/>
    <col min="240" max="241" width="11.7109375" style="78" bestFit="1" customWidth="1"/>
    <col min="242" max="242" width="11.7109375" style="78" customWidth="1"/>
    <col min="243" max="244" width="17.42578125" style="78" bestFit="1" customWidth="1"/>
    <col min="245" max="246" width="14" style="78" bestFit="1" customWidth="1"/>
    <col min="247" max="247" width="20" style="78" bestFit="1" customWidth="1"/>
    <col min="248" max="248" width="17.42578125" style="78" customWidth="1"/>
    <col min="249" max="249" width="10.7109375" style="78" bestFit="1" customWidth="1"/>
    <col min="250" max="250" width="11" style="78" bestFit="1" customWidth="1"/>
    <col min="251" max="251" width="10.5703125" style="78" bestFit="1" customWidth="1"/>
    <col min="252" max="252" width="15.85546875" style="78" bestFit="1" customWidth="1"/>
    <col min="253" max="253" width="17.42578125" style="78" bestFit="1" customWidth="1"/>
    <col min="254" max="491" width="9.140625" style="78"/>
    <col min="492" max="493" width="16.28515625" style="78" customWidth="1"/>
    <col min="494" max="494" width="93.28515625" style="78" customWidth="1"/>
    <col min="495" max="495" width="26.140625" style="78" customWidth="1"/>
    <col min="496" max="497" width="11.7109375" style="78" bestFit="1" customWidth="1"/>
    <col min="498" max="498" width="11.7109375" style="78" customWidth="1"/>
    <col min="499" max="500" width="17.42578125" style="78" bestFit="1" customWidth="1"/>
    <col min="501" max="502" width="14" style="78" bestFit="1" customWidth="1"/>
    <col min="503" max="503" width="20" style="78" bestFit="1" customWidth="1"/>
    <col min="504" max="504" width="17.42578125" style="78" customWidth="1"/>
    <col min="505" max="505" width="10.7109375" style="78" bestFit="1" customWidth="1"/>
    <col min="506" max="506" width="11" style="78" bestFit="1" customWidth="1"/>
    <col min="507" max="507" width="10.5703125" style="78" bestFit="1" customWidth="1"/>
    <col min="508" max="508" width="15.85546875" style="78" bestFit="1" customWidth="1"/>
    <col min="509" max="509" width="17.42578125" style="78" bestFit="1" customWidth="1"/>
    <col min="510" max="747" width="9.140625" style="78"/>
    <col min="748" max="749" width="16.28515625" style="78" customWidth="1"/>
    <col min="750" max="750" width="93.28515625" style="78" customWidth="1"/>
    <col min="751" max="751" width="26.140625" style="78" customWidth="1"/>
    <col min="752" max="753" width="11.7109375" style="78" bestFit="1" customWidth="1"/>
    <col min="754" max="754" width="11.7109375" style="78" customWidth="1"/>
    <col min="755" max="756" width="17.42578125" style="78" bestFit="1" customWidth="1"/>
    <col min="757" max="758" width="14" style="78" bestFit="1" customWidth="1"/>
    <col min="759" max="759" width="20" style="78" bestFit="1" customWidth="1"/>
    <col min="760" max="760" width="17.42578125" style="78" customWidth="1"/>
    <col min="761" max="761" width="10.7109375" style="78" bestFit="1" customWidth="1"/>
    <col min="762" max="762" width="11" style="78" bestFit="1" customWidth="1"/>
    <col min="763" max="763" width="10.5703125" style="78" bestFit="1" customWidth="1"/>
    <col min="764" max="764" width="15.85546875" style="78" bestFit="1" customWidth="1"/>
    <col min="765" max="765" width="17.42578125" style="78" bestFit="1" customWidth="1"/>
    <col min="766" max="1003" width="9.140625" style="78"/>
    <col min="1004" max="1005" width="16.28515625" style="78" customWidth="1"/>
    <col min="1006" max="1006" width="93.28515625" style="78" customWidth="1"/>
    <col min="1007" max="1007" width="26.140625" style="78" customWidth="1"/>
    <col min="1008" max="1009" width="11.7109375" style="78" bestFit="1" customWidth="1"/>
    <col min="1010" max="1010" width="11.7109375" style="78" customWidth="1"/>
    <col min="1011" max="1012" width="17.42578125" style="78" bestFit="1" customWidth="1"/>
    <col min="1013" max="1014" width="14" style="78" bestFit="1" customWidth="1"/>
    <col min="1015" max="1015" width="20" style="78" bestFit="1" customWidth="1"/>
    <col min="1016" max="1016" width="17.42578125" style="78" customWidth="1"/>
    <col min="1017" max="1017" width="10.7109375" style="78" bestFit="1" customWidth="1"/>
    <col min="1018" max="1018" width="11" style="78" bestFit="1" customWidth="1"/>
    <col min="1019" max="1019" width="10.5703125" style="78" bestFit="1" customWidth="1"/>
    <col min="1020" max="1020" width="15.85546875" style="78" bestFit="1" customWidth="1"/>
    <col min="1021" max="1021" width="17.42578125" style="78" bestFit="1" customWidth="1"/>
    <col min="1022" max="1259" width="9.140625" style="78"/>
    <col min="1260" max="1261" width="16.28515625" style="78" customWidth="1"/>
    <col min="1262" max="1262" width="93.28515625" style="78" customWidth="1"/>
    <col min="1263" max="1263" width="26.140625" style="78" customWidth="1"/>
    <col min="1264" max="1265" width="11.7109375" style="78" bestFit="1" customWidth="1"/>
    <col min="1266" max="1266" width="11.7109375" style="78" customWidth="1"/>
    <col min="1267" max="1268" width="17.42578125" style="78" bestFit="1" customWidth="1"/>
    <col min="1269" max="1270" width="14" style="78" bestFit="1" customWidth="1"/>
    <col min="1271" max="1271" width="20" style="78" bestFit="1" customWidth="1"/>
    <col min="1272" max="1272" width="17.42578125" style="78" customWidth="1"/>
    <col min="1273" max="1273" width="10.7109375" style="78" bestFit="1" customWidth="1"/>
    <col min="1274" max="1274" width="11" style="78" bestFit="1" customWidth="1"/>
    <col min="1275" max="1275" width="10.5703125" style="78" bestFit="1" customWidth="1"/>
    <col min="1276" max="1276" width="15.85546875" style="78" bestFit="1" customWidth="1"/>
    <col min="1277" max="1277" width="17.42578125" style="78" bestFit="1" customWidth="1"/>
    <col min="1278" max="1515" width="9.140625" style="78"/>
    <col min="1516" max="1517" width="16.28515625" style="78" customWidth="1"/>
    <col min="1518" max="1518" width="93.28515625" style="78" customWidth="1"/>
    <col min="1519" max="1519" width="26.140625" style="78" customWidth="1"/>
    <col min="1520" max="1521" width="11.7109375" style="78" bestFit="1" customWidth="1"/>
    <col min="1522" max="1522" width="11.7109375" style="78" customWidth="1"/>
    <col min="1523" max="1524" width="17.42578125" style="78" bestFit="1" customWidth="1"/>
    <col min="1525" max="1526" width="14" style="78" bestFit="1" customWidth="1"/>
    <col min="1527" max="1527" width="20" style="78" bestFit="1" customWidth="1"/>
    <col min="1528" max="1528" width="17.42578125" style="78" customWidth="1"/>
    <col min="1529" max="1529" width="10.7109375" style="78" bestFit="1" customWidth="1"/>
    <col min="1530" max="1530" width="11" style="78" bestFit="1" customWidth="1"/>
    <col min="1531" max="1531" width="10.5703125" style="78" bestFit="1" customWidth="1"/>
    <col min="1532" max="1532" width="15.85546875" style="78" bestFit="1" customWidth="1"/>
    <col min="1533" max="1533" width="17.42578125" style="78" bestFit="1" customWidth="1"/>
    <col min="1534" max="1771" width="9.140625" style="78"/>
    <col min="1772" max="1773" width="16.28515625" style="78" customWidth="1"/>
    <col min="1774" max="1774" width="93.28515625" style="78" customWidth="1"/>
    <col min="1775" max="1775" width="26.140625" style="78" customWidth="1"/>
    <col min="1776" max="1777" width="11.7109375" style="78" bestFit="1" customWidth="1"/>
    <col min="1778" max="1778" width="11.7109375" style="78" customWidth="1"/>
    <col min="1779" max="1780" width="17.42578125" style="78" bestFit="1" customWidth="1"/>
    <col min="1781" max="1782" width="14" style="78" bestFit="1" customWidth="1"/>
    <col min="1783" max="1783" width="20" style="78" bestFit="1" customWidth="1"/>
    <col min="1784" max="1784" width="17.42578125" style="78" customWidth="1"/>
    <col min="1785" max="1785" width="10.7109375" style="78" bestFit="1" customWidth="1"/>
    <col min="1786" max="1786" width="11" style="78" bestFit="1" customWidth="1"/>
    <col min="1787" max="1787" width="10.5703125" style="78" bestFit="1" customWidth="1"/>
    <col min="1788" max="1788" width="15.85546875" style="78" bestFit="1" customWidth="1"/>
    <col min="1789" max="1789" width="17.42578125" style="78" bestFit="1" customWidth="1"/>
    <col min="1790" max="2027" width="9.140625" style="78"/>
    <col min="2028" max="2029" width="16.28515625" style="78" customWidth="1"/>
    <col min="2030" max="2030" width="93.28515625" style="78" customWidth="1"/>
    <col min="2031" max="2031" width="26.140625" style="78" customWidth="1"/>
    <col min="2032" max="2033" width="11.7109375" style="78" bestFit="1" customWidth="1"/>
    <col min="2034" max="2034" width="11.7109375" style="78" customWidth="1"/>
    <col min="2035" max="2036" width="17.42578125" style="78" bestFit="1" customWidth="1"/>
    <col min="2037" max="2038" width="14" style="78" bestFit="1" customWidth="1"/>
    <col min="2039" max="2039" width="20" style="78" bestFit="1" customWidth="1"/>
    <col min="2040" max="2040" width="17.42578125" style="78" customWidth="1"/>
    <col min="2041" max="2041" width="10.7109375" style="78" bestFit="1" customWidth="1"/>
    <col min="2042" max="2042" width="11" style="78" bestFit="1" customWidth="1"/>
    <col min="2043" max="2043" width="10.5703125" style="78" bestFit="1" customWidth="1"/>
    <col min="2044" max="2044" width="15.85546875" style="78" bestFit="1" customWidth="1"/>
    <col min="2045" max="2045" width="17.42578125" style="78" bestFit="1" customWidth="1"/>
    <col min="2046" max="2283" width="9.140625" style="78"/>
    <col min="2284" max="2285" width="16.28515625" style="78" customWidth="1"/>
    <col min="2286" max="2286" width="93.28515625" style="78" customWidth="1"/>
    <col min="2287" max="2287" width="26.140625" style="78" customWidth="1"/>
    <col min="2288" max="2289" width="11.7109375" style="78" bestFit="1" customWidth="1"/>
    <col min="2290" max="2290" width="11.7109375" style="78" customWidth="1"/>
    <col min="2291" max="2292" width="17.42578125" style="78" bestFit="1" customWidth="1"/>
    <col min="2293" max="2294" width="14" style="78" bestFit="1" customWidth="1"/>
    <col min="2295" max="2295" width="20" style="78" bestFit="1" customWidth="1"/>
    <col min="2296" max="2296" width="17.42578125" style="78" customWidth="1"/>
    <col min="2297" max="2297" width="10.7109375" style="78" bestFit="1" customWidth="1"/>
    <col min="2298" max="2298" width="11" style="78" bestFit="1" customWidth="1"/>
    <col min="2299" max="2299" width="10.5703125" style="78" bestFit="1" customWidth="1"/>
    <col min="2300" max="2300" width="15.85546875" style="78" bestFit="1" customWidth="1"/>
    <col min="2301" max="2301" width="17.42578125" style="78" bestFit="1" customWidth="1"/>
    <col min="2302" max="2539" width="9.140625" style="78"/>
    <col min="2540" max="2541" width="16.28515625" style="78" customWidth="1"/>
    <col min="2542" max="2542" width="93.28515625" style="78" customWidth="1"/>
    <col min="2543" max="2543" width="26.140625" style="78" customWidth="1"/>
    <col min="2544" max="2545" width="11.7109375" style="78" bestFit="1" customWidth="1"/>
    <col min="2546" max="2546" width="11.7109375" style="78" customWidth="1"/>
    <col min="2547" max="2548" width="17.42578125" style="78" bestFit="1" customWidth="1"/>
    <col min="2549" max="2550" width="14" style="78" bestFit="1" customWidth="1"/>
    <col min="2551" max="2551" width="20" style="78" bestFit="1" customWidth="1"/>
    <col min="2552" max="2552" width="17.42578125" style="78" customWidth="1"/>
    <col min="2553" max="2553" width="10.7109375" style="78" bestFit="1" customWidth="1"/>
    <col min="2554" max="2554" width="11" style="78" bestFit="1" customWidth="1"/>
    <col min="2555" max="2555" width="10.5703125" style="78" bestFit="1" customWidth="1"/>
    <col min="2556" max="2556" width="15.85546875" style="78" bestFit="1" customWidth="1"/>
    <col min="2557" max="2557" width="17.42578125" style="78" bestFit="1" customWidth="1"/>
    <col min="2558" max="2795" width="9.140625" style="78"/>
    <col min="2796" max="2797" width="16.28515625" style="78" customWidth="1"/>
    <col min="2798" max="2798" width="93.28515625" style="78" customWidth="1"/>
    <col min="2799" max="2799" width="26.140625" style="78" customWidth="1"/>
    <col min="2800" max="2801" width="11.7109375" style="78" bestFit="1" customWidth="1"/>
    <col min="2802" max="2802" width="11.7109375" style="78" customWidth="1"/>
    <col min="2803" max="2804" width="17.42578125" style="78" bestFit="1" customWidth="1"/>
    <col min="2805" max="2806" width="14" style="78" bestFit="1" customWidth="1"/>
    <col min="2807" max="2807" width="20" style="78" bestFit="1" customWidth="1"/>
    <col min="2808" max="2808" width="17.42578125" style="78" customWidth="1"/>
    <col min="2809" max="2809" width="10.7109375" style="78" bestFit="1" customWidth="1"/>
    <col min="2810" max="2810" width="11" style="78" bestFit="1" customWidth="1"/>
    <col min="2811" max="2811" width="10.5703125" style="78" bestFit="1" customWidth="1"/>
    <col min="2812" max="2812" width="15.85546875" style="78" bestFit="1" customWidth="1"/>
    <col min="2813" max="2813" width="17.42578125" style="78" bestFit="1" customWidth="1"/>
    <col min="2814" max="3051" width="9.140625" style="78"/>
    <col min="3052" max="3053" width="16.28515625" style="78" customWidth="1"/>
    <col min="3054" max="3054" width="93.28515625" style="78" customWidth="1"/>
    <col min="3055" max="3055" width="26.140625" style="78" customWidth="1"/>
    <col min="3056" max="3057" width="11.7109375" style="78" bestFit="1" customWidth="1"/>
    <col min="3058" max="3058" width="11.7109375" style="78" customWidth="1"/>
    <col min="3059" max="3060" width="17.42578125" style="78" bestFit="1" customWidth="1"/>
    <col min="3061" max="3062" width="14" style="78" bestFit="1" customWidth="1"/>
    <col min="3063" max="3063" width="20" style="78" bestFit="1" customWidth="1"/>
    <col min="3064" max="3064" width="17.42578125" style="78" customWidth="1"/>
    <col min="3065" max="3065" width="10.7109375" style="78" bestFit="1" customWidth="1"/>
    <col min="3066" max="3066" width="11" style="78" bestFit="1" customWidth="1"/>
    <col min="3067" max="3067" width="10.5703125" style="78" bestFit="1" customWidth="1"/>
    <col min="3068" max="3068" width="15.85546875" style="78" bestFit="1" customWidth="1"/>
    <col min="3069" max="3069" width="17.42578125" style="78" bestFit="1" customWidth="1"/>
    <col min="3070" max="3307" width="9.140625" style="78"/>
    <col min="3308" max="3309" width="16.28515625" style="78" customWidth="1"/>
    <col min="3310" max="3310" width="93.28515625" style="78" customWidth="1"/>
    <col min="3311" max="3311" width="26.140625" style="78" customWidth="1"/>
    <col min="3312" max="3313" width="11.7109375" style="78" bestFit="1" customWidth="1"/>
    <col min="3314" max="3314" width="11.7109375" style="78" customWidth="1"/>
    <col min="3315" max="3316" width="17.42578125" style="78" bestFit="1" customWidth="1"/>
    <col min="3317" max="3318" width="14" style="78" bestFit="1" customWidth="1"/>
    <col min="3319" max="3319" width="20" style="78" bestFit="1" customWidth="1"/>
    <col min="3320" max="3320" width="17.42578125" style="78" customWidth="1"/>
    <col min="3321" max="3321" width="10.7109375" style="78" bestFit="1" customWidth="1"/>
    <col min="3322" max="3322" width="11" style="78" bestFit="1" customWidth="1"/>
    <col min="3323" max="3323" width="10.5703125" style="78" bestFit="1" customWidth="1"/>
    <col min="3324" max="3324" width="15.85546875" style="78" bestFit="1" customWidth="1"/>
    <col min="3325" max="3325" width="17.42578125" style="78" bestFit="1" customWidth="1"/>
    <col min="3326" max="3563" width="9.140625" style="78"/>
    <col min="3564" max="3565" width="16.28515625" style="78" customWidth="1"/>
    <col min="3566" max="3566" width="93.28515625" style="78" customWidth="1"/>
    <col min="3567" max="3567" width="26.140625" style="78" customWidth="1"/>
    <col min="3568" max="3569" width="11.7109375" style="78" bestFit="1" customWidth="1"/>
    <col min="3570" max="3570" width="11.7109375" style="78" customWidth="1"/>
    <col min="3571" max="3572" width="17.42578125" style="78" bestFit="1" customWidth="1"/>
    <col min="3573" max="3574" width="14" style="78" bestFit="1" customWidth="1"/>
    <col min="3575" max="3575" width="20" style="78" bestFit="1" customWidth="1"/>
    <col min="3576" max="3576" width="17.42578125" style="78" customWidth="1"/>
    <col min="3577" max="3577" width="10.7109375" style="78" bestFit="1" customWidth="1"/>
    <col min="3578" max="3578" width="11" style="78" bestFit="1" customWidth="1"/>
    <col min="3579" max="3579" width="10.5703125" style="78" bestFit="1" customWidth="1"/>
    <col min="3580" max="3580" width="15.85546875" style="78" bestFit="1" customWidth="1"/>
    <col min="3581" max="3581" width="17.42578125" style="78" bestFit="1" customWidth="1"/>
    <col min="3582" max="3819" width="9.140625" style="78"/>
    <col min="3820" max="3821" width="16.28515625" style="78" customWidth="1"/>
    <col min="3822" max="3822" width="93.28515625" style="78" customWidth="1"/>
    <col min="3823" max="3823" width="26.140625" style="78" customWidth="1"/>
    <col min="3824" max="3825" width="11.7109375" style="78" bestFit="1" customWidth="1"/>
    <col min="3826" max="3826" width="11.7109375" style="78" customWidth="1"/>
    <col min="3827" max="3828" width="17.42578125" style="78" bestFit="1" customWidth="1"/>
    <col min="3829" max="3830" width="14" style="78" bestFit="1" customWidth="1"/>
    <col min="3831" max="3831" width="20" style="78" bestFit="1" customWidth="1"/>
    <col min="3832" max="3832" width="17.42578125" style="78" customWidth="1"/>
    <col min="3833" max="3833" width="10.7109375" style="78" bestFit="1" customWidth="1"/>
    <col min="3834" max="3834" width="11" style="78" bestFit="1" customWidth="1"/>
    <col min="3835" max="3835" width="10.5703125" style="78" bestFit="1" customWidth="1"/>
    <col min="3836" max="3836" width="15.85546875" style="78" bestFit="1" customWidth="1"/>
    <col min="3837" max="3837" width="17.42578125" style="78" bestFit="1" customWidth="1"/>
    <col min="3838" max="4075" width="9.140625" style="78"/>
    <col min="4076" max="4077" width="16.28515625" style="78" customWidth="1"/>
    <col min="4078" max="4078" width="93.28515625" style="78" customWidth="1"/>
    <col min="4079" max="4079" width="26.140625" style="78" customWidth="1"/>
    <col min="4080" max="4081" width="11.7109375" style="78" bestFit="1" customWidth="1"/>
    <col min="4082" max="4082" width="11.7109375" style="78" customWidth="1"/>
    <col min="4083" max="4084" width="17.42578125" style="78" bestFit="1" customWidth="1"/>
    <col min="4085" max="4086" width="14" style="78" bestFit="1" customWidth="1"/>
    <col min="4087" max="4087" width="20" style="78" bestFit="1" customWidth="1"/>
    <col min="4088" max="4088" width="17.42578125" style="78" customWidth="1"/>
    <col min="4089" max="4089" width="10.7109375" style="78" bestFit="1" customWidth="1"/>
    <col min="4090" max="4090" width="11" style="78" bestFit="1" customWidth="1"/>
    <col min="4091" max="4091" width="10.5703125" style="78" bestFit="1" customWidth="1"/>
    <col min="4092" max="4092" width="15.85546875" style="78" bestFit="1" customWidth="1"/>
    <col min="4093" max="4093" width="17.42578125" style="78" bestFit="1" customWidth="1"/>
    <col min="4094" max="4331" width="9.140625" style="78"/>
    <col min="4332" max="4333" width="16.28515625" style="78" customWidth="1"/>
    <col min="4334" max="4334" width="93.28515625" style="78" customWidth="1"/>
    <col min="4335" max="4335" width="26.140625" style="78" customWidth="1"/>
    <col min="4336" max="4337" width="11.7109375" style="78" bestFit="1" customWidth="1"/>
    <col min="4338" max="4338" width="11.7109375" style="78" customWidth="1"/>
    <col min="4339" max="4340" width="17.42578125" style="78" bestFit="1" customWidth="1"/>
    <col min="4341" max="4342" width="14" style="78" bestFit="1" customWidth="1"/>
    <col min="4343" max="4343" width="20" style="78" bestFit="1" customWidth="1"/>
    <col min="4344" max="4344" width="17.42578125" style="78" customWidth="1"/>
    <col min="4345" max="4345" width="10.7109375" style="78" bestFit="1" customWidth="1"/>
    <col min="4346" max="4346" width="11" style="78" bestFit="1" customWidth="1"/>
    <col min="4347" max="4347" width="10.5703125" style="78" bestFit="1" customWidth="1"/>
    <col min="4348" max="4348" width="15.85546875" style="78" bestFit="1" customWidth="1"/>
    <col min="4349" max="4349" width="17.42578125" style="78" bestFit="1" customWidth="1"/>
    <col min="4350" max="4587" width="9.140625" style="78"/>
    <col min="4588" max="4589" width="16.28515625" style="78" customWidth="1"/>
    <col min="4590" max="4590" width="93.28515625" style="78" customWidth="1"/>
    <col min="4591" max="4591" width="26.140625" style="78" customWidth="1"/>
    <col min="4592" max="4593" width="11.7109375" style="78" bestFit="1" customWidth="1"/>
    <col min="4594" max="4594" width="11.7109375" style="78" customWidth="1"/>
    <col min="4595" max="4596" width="17.42578125" style="78" bestFit="1" customWidth="1"/>
    <col min="4597" max="4598" width="14" style="78" bestFit="1" customWidth="1"/>
    <col min="4599" max="4599" width="20" style="78" bestFit="1" customWidth="1"/>
    <col min="4600" max="4600" width="17.42578125" style="78" customWidth="1"/>
    <col min="4601" max="4601" width="10.7109375" style="78" bestFit="1" customWidth="1"/>
    <col min="4602" max="4602" width="11" style="78" bestFit="1" customWidth="1"/>
    <col min="4603" max="4603" width="10.5703125" style="78" bestFit="1" customWidth="1"/>
    <col min="4604" max="4604" width="15.85546875" style="78" bestFit="1" customWidth="1"/>
    <col min="4605" max="4605" width="17.42578125" style="78" bestFit="1" customWidth="1"/>
    <col min="4606" max="4843" width="9.140625" style="78"/>
    <col min="4844" max="4845" width="16.28515625" style="78" customWidth="1"/>
    <col min="4846" max="4846" width="93.28515625" style="78" customWidth="1"/>
    <col min="4847" max="4847" width="26.140625" style="78" customWidth="1"/>
    <col min="4848" max="4849" width="11.7109375" style="78" bestFit="1" customWidth="1"/>
    <col min="4850" max="4850" width="11.7109375" style="78" customWidth="1"/>
    <col min="4851" max="4852" width="17.42578125" style="78" bestFit="1" customWidth="1"/>
    <col min="4853" max="4854" width="14" style="78" bestFit="1" customWidth="1"/>
    <col min="4855" max="4855" width="20" style="78" bestFit="1" customWidth="1"/>
    <col min="4856" max="4856" width="17.42578125" style="78" customWidth="1"/>
    <col min="4857" max="4857" width="10.7109375" style="78" bestFit="1" customWidth="1"/>
    <col min="4858" max="4858" width="11" style="78" bestFit="1" customWidth="1"/>
    <col min="4859" max="4859" width="10.5703125" style="78" bestFit="1" customWidth="1"/>
    <col min="4860" max="4860" width="15.85546875" style="78" bestFit="1" customWidth="1"/>
    <col min="4861" max="4861" width="17.42578125" style="78" bestFit="1" customWidth="1"/>
    <col min="4862" max="5099" width="9.140625" style="78"/>
    <col min="5100" max="5101" width="16.28515625" style="78" customWidth="1"/>
    <col min="5102" max="5102" width="93.28515625" style="78" customWidth="1"/>
    <col min="5103" max="5103" width="26.140625" style="78" customWidth="1"/>
    <col min="5104" max="5105" width="11.7109375" style="78" bestFit="1" customWidth="1"/>
    <col min="5106" max="5106" width="11.7109375" style="78" customWidth="1"/>
    <col min="5107" max="5108" width="17.42578125" style="78" bestFit="1" customWidth="1"/>
    <col min="5109" max="5110" width="14" style="78" bestFit="1" customWidth="1"/>
    <col min="5111" max="5111" width="20" style="78" bestFit="1" customWidth="1"/>
    <col min="5112" max="5112" width="17.42578125" style="78" customWidth="1"/>
    <col min="5113" max="5113" width="10.7109375" style="78" bestFit="1" customWidth="1"/>
    <col min="5114" max="5114" width="11" style="78" bestFit="1" customWidth="1"/>
    <col min="5115" max="5115" width="10.5703125" style="78" bestFit="1" customWidth="1"/>
    <col min="5116" max="5116" width="15.85546875" style="78" bestFit="1" customWidth="1"/>
    <col min="5117" max="5117" width="17.42578125" style="78" bestFit="1" customWidth="1"/>
    <col min="5118" max="5355" width="9.140625" style="78"/>
    <col min="5356" max="5357" width="16.28515625" style="78" customWidth="1"/>
    <col min="5358" max="5358" width="93.28515625" style="78" customWidth="1"/>
    <col min="5359" max="5359" width="26.140625" style="78" customWidth="1"/>
    <col min="5360" max="5361" width="11.7109375" style="78" bestFit="1" customWidth="1"/>
    <col min="5362" max="5362" width="11.7109375" style="78" customWidth="1"/>
    <col min="5363" max="5364" width="17.42578125" style="78" bestFit="1" customWidth="1"/>
    <col min="5365" max="5366" width="14" style="78" bestFit="1" customWidth="1"/>
    <col min="5367" max="5367" width="20" style="78" bestFit="1" customWidth="1"/>
    <col min="5368" max="5368" width="17.42578125" style="78" customWidth="1"/>
    <col min="5369" max="5369" width="10.7109375" style="78" bestFit="1" customWidth="1"/>
    <col min="5370" max="5370" width="11" style="78" bestFit="1" customWidth="1"/>
    <col min="5371" max="5371" width="10.5703125" style="78" bestFit="1" customWidth="1"/>
    <col min="5372" max="5372" width="15.85546875" style="78" bestFit="1" customWidth="1"/>
    <col min="5373" max="5373" width="17.42578125" style="78" bestFit="1" customWidth="1"/>
    <col min="5374" max="5611" width="9.140625" style="78"/>
    <col min="5612" max="5613" width="16.28515625" style="78" customWidth="1"/>
    <col min="5614" max="5614" width="93.28515625" style="78" customWidth="1"/>
    <col min="5615" max="5615" width="26.140625" style="78" customWidth="1"/>
    <col min="5616" max="5617" width="11.7109375" style="78" bestFit="1" customWidth="1"/>
    <col min="5618" max="5618" width="11.7109375" style="78" customWidth="1"/>
    <col min="5619" max="5620" width="17.42578125" style="78" bestFit="1" customWidth="1"/>
    <col min="5621" max="5622" width="14" style="78" bestFit="1" customWidth="1"/>
    <col min="5623" max="5623" width="20" style="78" bestFit="1" customWidth="1"/>
    <col min="5624" max="5624" width="17.42578125" style="78" customWidth="1"/>
    <col min="5625" max="5625" width="10.7109375" style="78" bestFit="1" customWidth="1"/>
    <col min="5626" max="5626" width="11" style="78" bestFit="1" customWidth="1"/>
    <col min="5627" max="5627" width="10.5703125" style="78" bestFit="1" customWidth="1"/>
    <col min="5628" max="5628" width="15.85546875" style="78" bestFit="1" customWidth="1"/>
    <col min="5629" max="5629" width="17.42578125" style="78" bestFit="1" customWidth="1"/>
    <col min="5630" max="5867" width="9.140625" style="78"/>
    <col min="5868" max="5869" width="16.28515625" style="78" customWidth="1"/>
    <col min="5870" max="5870" width="93.28515625" style="78" customWidth="1"/>
    <col min="5871" max="5871" width="26.140625" style="78" customWidth="1"/>
    <col min="5872" max="5873" width="11.7109375" style="78" bestFit="1" customWidth="1"/>
    <col min="5874" max="5874" width="11.7109375" style="78" customWidth="1"/>
    <col min="5875" max="5876" width="17.42578125" style="78" bestFit="1" customWidth="1"/>
    <col min="5877" max="5878" width="14" style="78" bestFit="1" customWidth="1"/>
    <col min="5879" max="5879" width="20" style="78" bestFit="1" customWidth="1"/>
    <col min="5880" max="5880" width="17.42578125" style="78" customWidth="1"/>
    <col min="5881" max="5881" width="10.7109375" style="78" bestFit="1" customWidth="1"/>
    <col min="5882" max="5882" width="11" style="78" bestFit="1" customWidth="1"/>
    <col min="5883" max="5883" width="10.5703125" style="78" bestFit="1" customWidth="1"/>
    <col min="5884" max="5884" width="15.85546875" style="78" bestFit="1" customWidth="1"/>
    <col min="5885" max="5885" width="17.42578125" style="78" bestFit="1" customWidth="1"/>
    <col min="5886" max="6123" width="9.140625" style="78"/>
    <col min="6124" max="6125" width="16.28515625" style="78" customWidth="1"/>
    <col min="6126" max="6126" width="93.28515625" style="78" customWidth="1"/>
    <col min="6127" max="6127" width="26.140625" style="78" customWidth="1"/>
    <col min="6128" max="6129" width="11.7109375" style="78" bestFit="1" customWidth="1"/>
    <col min="6130" max="6130" width="11.7109375" style="78" customWidth="1"/>
    <col min="6131" max="6132" width="17.42578125" style="78" bestFit="1" customWidth="1"/>
    <col min="6133" max="6134" width="14" style="78" bestFit="1" customWidth="1"/>
    <col min="6135" max="6135" width="20" style="78" bestFit="1" customWidth="1"/>
    <col min="6136" max="6136" width="17.42578125" style="78" customWidth="1"/>
    <col min="6137" max="6137" width="10.7109375" style="78" bestFit="1" customWidth="1"/>
    <col min="6138" max="6138" width="11" style="78" bestFit="1" customWidth="1"/>
    <col min="6139" max="6139" width="10.5703125" style="78" bestFit="1" customWidth="1"/>
    <col min="6140" max="6140" width="15.85546875" style="78" bestFit="1" customWidth="1"/>
    <col min="6141" max="6141" width="17.42578125" style="78" bestFit="1" customWidth="1"/>
    <col min="6142" max="6379" width="9.140625" style="78"/>
    <col min="6380" max="6381" width="16.28515625" style="78" customWidth="1"/>
    <col min="6382" max="6382" width="93.28515625" style="78" customWidth="1"/>
    <col min="6383" max="6383" width="26.140625" style="78" customWidth="1"/>
    <col min="6384" max="6385" width="11.7109375" style="78" bestFit="1" customWidth="1"/>
    <col min="6386" max="6386" width="11.7109375" style="78" customWidth="1"/>
    <col min="6387" max="6388" width="17.42578125" style="78" bestFit="1" customWidth="1"/>
    <col min="6389" max="6390" width="14" style="78" bestFit="1" customWidth="1"/>
    <col min="6391" max="6391" width="20" style="78" bestFit="1" customWidth="1"/>
    <col min="6392" max="6392" width="17.42578125" style="78" customWidth="1"/>
    <col min="6393" max="6393" width="10.7109375" style="78" bestFit="1" customWidth="1"/>
    <col min="6394" max="6394" width="11" style="78" bestFit="1" customWidth="1"/>
    <col min="6395" max="6395" width="10.5703125" style="78" bestFit="1" customWidth="1"/>
    <col min="6396" max="6396" width="15.85546875" style="78" bestFit="1" customWidth="1"/>
    <col min="6397" max="6397" width="17.42578125" style="78" bestFit="1" customWidth="1"/>
    <col min="6398" max="6635" width="9.140625" style="78"/>
    <col min="6636" max="6637" width="16.28515625" style="78" customWidth="1"/>
    <col min="6638" max="6638" width="93.28515625" style="78" customWidth="1"/>
    <col min="6639" max="6639" width="26.140625" style="78" customWidth="1"/>
    <col min="6640" max="6641" width="11.7109375" style="78" bestFit="1" customWidth="1"/>
    <col min="6642" max="6642" width="11.7109375" style="78" customWidth="1"/>
    <col min="6643" max="6644" width="17.42578125" style="78" bestFit="1" customWidth="1"/>
    <col min="6645" max="6646" width="14" style="78" bestFit="1" customWidth="1"/>
    <col min="6647" max="6647" width="20" style="78" bestFit="1" customWidth="1"/>
    <col min="6648" max="6648" width="17.42578125" style="78" customWidth="1"/>
    <col min="6649" max="6649" width="10.7109375" style="78" bestFit="1" customWidth="1"/>
    <col min="6650" max="6650" width="11" style="78" bestFit="1" customWidth="1"/>
    <col min="6651" max="6651" width="10.5703125" style="78" bestFit="1" customWidth="1"/>
    <col min="6652" max="6652" width="15.85546875" style="78" bestFit="1" customWidth="1"/>
    <col min="6653" max="6653" width="17.42578125" style="78" bestFit="1" customWidth="1"/>
    <col min="6654" max="6891" width="9.140625" style="78"/>
    <col min="6892" max="6893" width="16.28515625" style="78" customWidth="1"/>
    <col min="6894" max="6894" width="93.28515625" style="78" customWidth="1"/>
    <col min="6895" max="6895" width="26.140625" style="78" customWidth="1"/>
    <col min="6896" max="6897" width="11.7109375" style="78" bestFit="1" customWidth="1"/>
    <col min="6898" max="6898" width="11.7109375" style="78" customWidth="1"/>
    <col min="6899" max="6900" width="17.42578125" style="78" bestFit="1" customWidth="1"/>
    <col min="6901" max="6902" width="14" style="78" bestFit="1" customWidth="1"/>
    <col min="6903" max="6903" width="20" style="78" bestFit="1" customWidth="1"/>
    <col min="6904" max="6904" width="17.42578125" style="78" customWidth="1"/>
    <col min="6905" max="6905" width="10.7109375" style="78" bestFit="1" customWidth="1"/>
    <col min="6906" max="6906" width="11" style="78" bestFit="1" customWidth="1"/>
    <col min="6907" max="6907" width="10.5703125" style="78" bestFit="1" customWidth="1"/>
    <col min="6908" max="6908" width="15.85546875" style="78" bestFit="1" customWidth="1"/>
    <col min="6909" max="6909" width="17.42578125" style="78" bestFit="1" customWidth="1"/>
    <col min="6910" max="7147" width="9.140625" style="78"/>
    <col min="7148" max="7149" width="16.28515625" style="78" customWidth="1"/>
    <col min="7150" max="7150" width="93.28515625" style="78" customWidth="1"/>
    <col min="7151" max="7151" width="26.140625" style="78" customWidth="1"/>
    <col min="7152" max="7153" width="11.7109375" style="78" bestFit="1" customWidth="1"/>
    <col min="7154" max="7154" width="11.7109375" style="78" customWidth="1"/>
    <col min="7155" max="7156" width="17.42578125" style="78" bestFit="1" customWidth="1"/>
    <col min="7157" max="7158" width="14" style="78" bestFit="1" customWidth="1"/>
    <col min="7159" max="7159" width="20" style="78" bestFit="1" customWidth="1"/>
    <col min="7160" max="7160" width="17.42578125" style="78" customWidth="1"/>
    <col min="7161" max="7161" width="10.7109375" style="78" bestFit="1" customWidth="1"/>
    <col min="7162" max="7162" width="11" style="78" bestFit="1" customWidth="1"/>
    <col min="7163" max="7163" width="10.5703125" style="78" bestFit="1" customWidth="1"/>
    <col min="7164" max="7164" width="15.85546875" style="78" bestFit="1" customWidth="1"/>
    <col min="7165" max="7165" width="17.42578125" style="78" bestFit="1" customWidth="1"/>
    <col min="7166" max="7403" width="9.140625" style="78"/>
    <col min="7404" max="7405" width="16.28515625" style="78" customWidth="1"/>
    <col min="7406" max="7406" width="93.28515625" style="78" customWidth="1"/>
    <col min="7407" max="7407" width="26.140625" style="78" customWidth="1"/>
    <col min="7408" max="7409" width="11.7109375" style="78" bestFit="1" customWidth="1"/>
    <col min="7410" max="7410" width="11.7109375" style="78" customWidth="1"/>
    <col min="7411" max="7412" width="17.42578125" style="78" bestFit="1" customWidth="1"/>
    <col min="7413" max="7414" width="14" style="78" bestFit="1" customWidth="1"/>
    <col min="7415" max="7415" width="20" style="78" bestFit="1" customWidth="1"/>
    <col min="7416" max="7416" width="17.42578125" style="78" customWidth="1"/>
    <col min="7417" max="7417" width="10.7109375" style="78" bestFit="1" customWidth="1"/>
    <col min="7418" max="7418" width="11" style="78" bestFit="1" customWidth="1"/>
    <col min="7419" max="7419" width="10.5703125" style="78" bestFit="1" customWidth="1"/>
    <col min="7420" max="7420" width="15.85546875" style="78" bestFit="1" customWidth="1"/>
    <col min="7421" max="7421" width="17.42578125" style="78" bestFit="1" customWidth="1"/>
    <col min="7422" max="7659" width="9.140625" style="78"/>
    <col min="7660" max="7661" width="16.28515625" style="78" customWidth="1"/>
    <col min="7662" max="7662" width="93.28515625" style="78" customWidth="1"/>
    <col min="7663" max="7663" width="26.140625" style="78" customWidth="1"/>
    <col min="7664" max="7665" width="11.7109375" style="78" bestFit="1" customWidth="1"/>
    <col min="7666" max="7666" width="11.7109375" style="78" customWidth="1"/>
    <col min="7667" max="7668" width="17.42578125" style="78" bestFit="1" customWidth="1"/>
    <col min="7669" max="7670" width="14" style="78" bestFit="1" customWidth="1"/>
    <col min="7671" max="7671" width="20" style="78" bestFit="1" customWidth="1"/>
    <col min="7672" max="7672" width="17.42578125" style="78" customWidth="1"/>
    <col min="7673" max="7673" width="10.7109375" style="78" bestFit="1" customWidth="1"/>
    <col min="7674" max="7674" width="11" style="78" bestFit="1" customWidth="1"/>
    <col min="7675" max="7675" width="10.5703125" style="78" bestFit="1" customWidth="1"/>
    <col min="7676" max="7676" width="15.85546875" style="78" bestFit="1" customWidth="1"/>
    <col min="7677" max="7677" width="17.42578125" style="78" bestFit="1" customWidth="1"/>
    <col min="7678" max="7915" width="9.140625" style="78"/>
    <col min="7916" max="7917" width="16.28515625" style="78" customWidth="1"/>
    <col min="7918" max="7918" width="93.28515625" style="78" customWidth="1"/>
    <col min="7919" max="7919" width="26.140625" style="78" customWidth="1"/>
    <col min="7920" max="7921" width="11.7109375" style="78" bestFit="1" customWidth="1"/>
    <col min="7922" max="7922" width="11.7109375" style="78" customWidth="1"/>
    <col min="7923" max="7924" width="17.42578125" style="78" bestFit="1" customWidth="1"/>
    <col min="7925" max="7926" width="14" style="78" bestFit="1" customWidth="1"/>
    <col min="7927" max="7927" width="20" style="78" bestFit="1" customWidth="1"/>
    <col min="7928" max="7928" width="17.42578125" style="78" customWidth="1"/>
    <col min="7929" max="7929" width="10.7109375" style="78" bestFit="1" customWidth="1"/>
    <col min="7930" max="7930" width="11" style="78" bestFit="1" customWidth="1"/>
    <col min="7931" max="7931" width="10.5703125" style="78" bestFit="1" customWidth="1"/>
    <col min="7932" max="7932" width="15.85546875" style="78" bestFit="1" customWidth="1"/>
    <col min="7933" max="7933" width="17.42578125" style="78" bestFit="1" customWidth="1"/>
    <col min="7934" max="8171" width="9.140625" style="78"/>
    <col min="8172" max="8173" width="16.28515625" style="78" customWidth="1"/>
    <col min="8174" max="8174" width="93.28515625" style="78" customWidth="1"/>
    <col min="8175" max="8175" width="26.140625" style="78" customWidth="1"/>
    <col min="8176" max="8177" width="11.7109375" style="78" bestFit="1" customWidth="1"/>
    <col min="8178" max="8178" width="11.7109375" style="78" customWidth="1"/>
    <col min="8179" max="8180" width="17.42578125" style="78" bestFit="1" customWidth="1"/>
    <col min="8181" max="8182" width="14" style="78" bestFit="1" customWidth="1"/>
    <col min="8183" max="8183" width="20" style="78" bestFit="1" customWidth="1"/>
    <col min="8184" max="8184" width="17.42578125" style="78" customWidth="1"/>
    <col min="8185" max="8185" width="10.7109375" style="78" bestFit="1" customWidth="1"/>
    <col min="8186" max="8186" width="11" style="78" bestFit="1" customWidth="1"/>
    <col min="8187" max="8187" width="10.5703125" style="78" bestFit="1" customWidth="1"/>
    <col min="8188" max="8188" width="15.85546875" style="78" bestFit="1" customWidth="1"/>
    <col min="8189" max="8189" width="17.42578125" style="78" bestFit="1" customWidth="1"/>
    <col min="8190" max="8427" width="9.140625" style="78"/>
    <col min="8428" max="8429" width="16.28515625" style="78" customWidth="1"/>
    <col min="8430" max="8430" width="93.28515625" style="78" customWidth="1"/>
    <col min="8431" max="8431" width="26.140625" style="78" customWidth="1"/>
    <col min="8432" max="8433" width="11.7109375" style="78" bestFit="1" customWidth="1"/>
    <col min="8434" max="8434" width="11.7109375" style="78" customWidth="1"/>
    <col min="8435" max="8436" width="17.42578125" style="78" bestFit="1" customWidth="1"/>
    <col min="8437" max="8438" width="14" style="78" bestFit="1" customWidth="1"/>
    <col min="8439" max="8439" width="20" style="78" bestFit="1" customWidth="1"/>
    <col min="8440" max="8440" width="17.42578125" style="78" customWidth="1"/>
    <col min="8441" max="8441" width="10.7109375" style="78" bestFit="1" customWidth="1"/>
    <col min="8442" max="8442" width="11" style="78" bestFit="1" customWidth="1"/>
    <col min="8443" max="8443" width="10.5703125" style="78" bestFit="1" customWidth="1"/>
    <col min="8444" max="8444" width="15.85546875" style="78" bestFit="1" customWidth="1"/>
    <col min="8445" max="8445" width="17.42578125" style="78" bestFit="1" customWidth="1"/>
    <col min="8446" max="8683" width="9.140625" style="78"/>
    <col min="8684" max="8685" width="16.28515625" style="78" customWidth="1"/>
    <col min="8686" max="8686" width="93.28515625" style="78" customWidth="1"/>
    <col min="8687" max="8687" width="26.140625" style="78" customWidth="1"/>
    <col min="8688" max="8689" width="11.7109375" style="78" bestFit="1" customWidth="1"/>
    <col min="8690" max="8690" width="11.7109375" style="78" customWidth="1"/>
    <col min="8691" max="8692" width="17.42578125" style="78" bestFit="1" customWidth="1"/>
    <col min="8693" max="8694" width="14" style="78" bestFit="1" customWidth="1"/>
    <col min="8695" max="8695" width="20" style="78" bestFit="1" customWidth="1"/>
    <col min="8696" max="8696" width="17.42578125" style="78" customWidth="1"/>
    <col min="8697" max="8697" width="10.7109375" style="78" bestFit="1" customWidth="1"/>
    <col min="8698" max="8698" width="11" style="78" bestFit="1" customWidth="1"/>
    <col min="8699" max="8699" width="10.5703125" style="78" bestFit="1" customWidth="1"/>
    <col min="8700" max="8700" width="15.85546875" style="78" bestFit="1" customWidth="1"/>
    <col min="8701" max="8701" width="17.42578125" style="78" bestFit="1" customWidth="1"/>
    <col min="8702" max="8939" width="9.140625" style="78"/>
    <col min="8940" max="8941" width="16.28515625" style="78" customWidth="1"/>
    <col min="8942" max="8942" width="93.28515625" style="78" customWidth="1"/>
    <col min="8943" max="8943" width="26.140625" style="78" customWidth="1"/>
    <col min="8944" max="8945" width="11.7109375" style="78" bestFit="1" customWidth="1"/>
    <col min="8946" max="8946" width="11.7109375" style="78" customWidth="1"/>
    <col min="8947" max="8948" width="17.42578125" style="78" bestFit="1" customWidth="1"/>
    <col min="8949" max="8950" width="14" style="78" bestFit="1" customWidth="1"/>
    <col min="8951" max="8951" width="20" style="78" bestFit="1" customWidth="1"/>
    <col min="8952" max="8952" width="17.42578125" style="78" customWidth="1"/>
    <col min="8953" max="8953" width="10.7109375" style="78" bestFit="1" customWidth="1"/>
    <col min="8954" max="8954" width="11" style="78" bestFit="1" customWidth="1"/>
    <col min="8955" max="8955" width="10.5703125" style="78" bestFit="1" customWidth="1"/>
    <col min="8956" max="8956" width="15.85546875" style="78" bestFit="1" customWidth="1"/>
    <col min="8957" max="8957" width="17.42578125" style="78" bestFit="1" customWidth="1"/>
    <col min="8958" max="9195" width="9.140625" style="78"/>
    <col min="9196" max="9197" width="16.28515625" style="78" customWidth="1"/>
    <col min="9198" max="9198" width="93.28515625" style="78" customWidth="1"/>
    <col min="9199" max="9199" width="26.140625" style="78" customWidth="1"/>
    <col min="9200" max="9201" width="11.7109375" style="78" bestFit="1" customWidth="1"/>
    <col min="9202" max="9202" width="11.7109375" style="78" customWidth="1"/>
    <col min="9203" max="9204" width="17.42578125" style="78" bestFit="1" customWidth="1"/>
    <col min="9205" max="9206" width="14" style="78" bestFit="1" customWidth="1"/>
    <col min="9207" max="9207" width="20" style="78" bestFit="1" customWidth="1"/>
    <col min="9208" max="9208" width="17.42578125" style="78" customWidth="1"/>
    <col min="9209" max="9209" width="10.7109375" style="78" bestFit="1" customWidth="1"/>
    <col min="9210" max="9210" width="11" style="78" bestFit="1" customWidth="1"/>
    <col min="9211" max="9211" width="10.5703125" style="78" bestFit="1" customWidth="1"/>
    <col min="9212" max="9212" width="15.85546875" style="78" bestFit="1" customWidth="1"/>
    <col min="9213" max="9213" width="17.42578125" style="78" bestFit="1" customWidth="1"/>
    <col min="9214" max="9451" width="9.140625" style="78"/>
    <col min="9452" max="9453" width="16.28515625" style="78" customWidth="1"/>
    <col min="9454" max="9454" width="93.28515625" style="78" customWidth="1"/>
    <col min="9455" max="9455" width="26.140625" style="78" customWidth="1"/>
    <col min="9456" max="9457" width="11.7109375" style="78" bestFit="1" customWidth="1"/>
    <col min="9458" max="9458" width="11.7109375" style="78" customWidth="1"/>
    <col min="9459" max="9460" width="17.42578125" style="78" bestFit="1" customWidth="1"/>
    <col min="9461" max="9462" width="14" style="78" bestFit="1" customWidth="1"/>
    <col min="9463" max="9463" width="20" style="78" bestFit="1" customWidth="1"/>
    <col min="9464" max="9464" width="17.42578125" style="78" customWidth="1"/>
    <col min="9465" max="9465" width="10.7109375" style="78" bestFit="1" customWidth="1"/>
    <col min="9466" max="9466" width="11" style="78" bestFit="1" customWidth="1"/>
    <col min="9467" max="9467" width="10.5703125" style="78" bestFit="1" customWidth="1"/>
    <col min="9468" max="9468" width="15.85546875" style="78" bestFit="1" customWidth="1"/>
    <col min="9469" max="9469" width="17.42578125" style="78" bestFit="1" customWidth="1"/>
    <col min="9470" max="9707" width="9.140625" style="78"/>
    <col min="9708" max="9709" width="16.28515625" style="78" customWidth="1"/>
    <col min="9710" max="9710" width="93.28515625" style="78" customWidth="1"/>
    <col min="9711" max="9711" width="26.140625" style="78" customWidth="1"/>
    <col min="9712" max="9713" width="11.7109375" style="78" bestFit="1" customWidth="1"/>
    <col min="9714" max="9714" width="11.7109375" style="78" customWidth="1"/>
    <col min="9715" max="9716" width="17.42578125" style="78" bestFit="1" customWidth="1"/>
    <col min="9717" max="9718" width="14" style="78" bestFit="1" customWidth="1"/>
    <col min="9719" max="9719" width="20" style="78" bestFit="1" customWidth="1"/>
    <col min="9720" max="9720" width="17.42578125" style="78" customWidth="1"/>
    <col min="9721" max="9721" width="10.7109375" style="78" bestFit="1" customWidth="1"/>
    <col min="9722" max="9722" width="11" style="78" bestFit="1" customWidth="1"/>
    <col min="9723" max="9723" width="10.5703125" style="78" bestFit="1" customWidth="1"/>
    <col min="9724" max="9724" width="15.85546875" style="78" bestFit="1" customWidth="1"/>
    <col min="9725" max="9725" width="17.42578125" style="78" bestFit="1" customWidth="1"/>
    <col min="9726" max="9963" width="9.140625" style="78"/>
    <col min="9964" max="9965" width="16.28515625" style="78" customWidth="1"/>
    <col min="9966" max="9966" width="93.28515625" style="78" customWidth="1"/>
    <col min="9967" max="9967" width="26.140625" style="78" customWidth="1"/>
    <col min="9968" max="9969" width="11.7109375" style="78" bestFit="1" customWidth="1"/>
    <col min="9970" max="9970" width="11.7109375" style="78" customWidth="1"/>
    <col min="9971" max="9972" width="17.42578125" style="78" bestFit="1" customWidth="1"/>
    <col min="9973" max="9974" width="14" style="78" bestFit="1" customWidth="1"/>
    <col min="9975" max="9975" width="20" style="78" bestFit="1" customWidth="1"/>
    <col min="9976" max="9976" width="17.42578125" style="78" customWidth="1"/>
    <col min="9977" max="9977" width="10.7109375" style="78" bestFit="1" customWidth="1"/>
    <col min="9978" max="9978" width="11" style="78" bestFit="1" customWidth="1"/>
    <col min="9979" max="9979" width="10.5703125" style="78" bestFit="1" customWidth="1"/>
    <col min="9980" max="9980" width="15.85546875" style="78" bestFit="1" customWidth="1"/>
    <col min="9981" max="9981" width="17.42578125" style="78" bestFit="1" customWidth="1"/>
    <col min="9982" max="10219" width="9.140625" style="78"/>
    <col min="10220" max="10221" width="16.28515625" style="78" customWidth="1"/>
    <col min="10222" max="10222" width="93.28515625" style="78" customWidth="1"/>
    <col min="10223" max="10223" width="26.140625" style="78" customWidth="1"/>
    <col min="10224" max="10225" width="11.7109375" style="78" bestFit="1" customWidth="1"/>
    <col min="10226" max="10226" width="11.7109375" style="78" customWidth="1"/>
    <col min="10227" max="10228" width="17.42578125" style="78" bestFit="1" customWidth="1"/>
    <col min="10229" max="10230" width="14" style="78" bestFit="1" customWidth="1"/>
    <col min="10231" max="10231" width="20" style="78" bestFit="1" customWidth="1"/>
    <col min="10232" max="10232" width="17.42578125" style="78" customWidth="1"/>
    <col min="10233" max="10233" width="10.7109375" style="78" bestFit="1" customWidth="1"/>
    <col min="10234" max="10234" width="11" style="78" bestFit="1" customWidth="1"/>
    <col min="10235" max="10235" width="10.5703125" style="78" bestFit="1" customWidth="1"/>
    <col min="10236" max="10236" width="15.85546875" style="78" bestFit="1" customWidth="1"/>
    <col min="10237" max="10237" width="17.42578125" style="78" bestFit="1" customWidth="1"/>
    <col min="10238" max="10475" width="9.140625" style="78"/>
    <col min="10476" max="10477" width="16.28515625" style="78" customWidth="1"/>
    <col min="10478" max="10478" width="93.28515625" style="78" customWidth="1"/>
    <col min="10479" max="10479" width="26.140625" style="78" customWidth="1"/>
    <col min="10480" max="10481" width="11.7109375" style="78" bestFit="1" customWidth="1"/>
    <col min="10482" max="10482" width="11.7109375" style="78" customWidth="1"/>
    <col min="10483" max="10484" width="17.42578125" style="78" bestFit="1" customWidth="1"/>
    <col min="10485" max="10486" width="14" style="78" bestFit="1" customWidth="1"/>
    <col min="10487" max="10487" width="20" style="78" bestFit="1" customWidth="1"/>
    <col min="10488" max="10488" width="17.42578125" style="78" customWidth="1"/>
    <col min="10489" max="10489" width="10.7109375" style="78" bestFit="1" customWidth="1"/>
    <col min="10490" max="10490" width="11" style="78" bestFit="1" customWidth="1"/>
    <col min="10491" max="10491" width="10.5703125" style="78" bestFit="1" customWidth="1"/>
    <col min="10492" max="10492" width="15.85546875" style="78" bestFit="1" customWidth="1"/>
    <col min="10493" max="10493" width="17.42578125" style="78" bestFit="1" customWidth="1"/>
    <col min="10494" max="10731" width="9.140625" style="78"/>
    <col min="10732" max="10733" width="16.28515625" style="78" customWidth="1"/>
    <col min="10734" max="10734" width="93.28515625" style="78" customWidth="1"/>
    <col min="10735" max="10735" width="26.140625" style="78" customWidth="1"/>
    <col min="10736" max="10737" width="11.7109375" style="78" bestFit="1" customWidth="1"/>
    <col min="10738" max="10738" width="11.7109375" style="78" customWidth="1"/>
    <col min="10739" max="10740" width="17.42578125" style="78" bestFit="1" customWidth="1"/>
    <col min="10741" max="10742" width="14" style="78" bestFit="1" customWidth="1"/>
    <col min="10743" max="10743" width="20" style="78" bestFit="1" customWidth="1"/>
    <col min="10744" max="10744" width="17.42578125" style="78" customWidth="1"/>
    <col min="10745" max="10745" width="10.7109375" style="78" bestFit="1" customWidth="1"/>
    <col min="10746" max="10746" width="11" style="78" bestFit="1" customWidth="1"/>
    <col min="10747" max="10747" width="10.5703125" style="78" bestFit="1" customWidth="1"/>
    <col min="10748" max="10748" width="15.85546875" style="78" bestFit="1" customWidth="1"/>
    <col min="10749" max="10749" width="17.42578125" style="78" bestFit="1" customWidth="1"/>
    <col min="10750" max="10987" width="9.140625" style="78"/>
    <col min="10988" max="10989" width="16.28515625" style="78" customWidth="1"/>
    <col min="10990" max="10990" width="93.28515625" style="78" customWidth="1"/>
    <col min="10991" max="10991" width="26.140625" style="78" customWidth="1"/>
    <col min="10992" max="10993" width="11.7109375" style="78" bestFit="1" customWidth="1"/>
    <col min="10994" max="10994" width="11.7109375" style="78" customWidth="1"/>
    <col min="10995" max="10996" width="17.42578125" style="78" bestFit="1" customWidth="1"/>
    <col min="10997" max="10998" width="14" style="78" bestFit="1" customWidth="1"/>
    <col min="10999" max="10999" width="20" style="78" bestFit="1" customWidth="1"/>
    <col min="11000" max="11000" width="17.42578125" style="78" customWidth="1"/>
    <col min="11001" max="11001" width="10.7109375" style="78" bestFit="1" customWidth="1"/>
    <col min="11002" max="11002" width="11" style="78" bestFit="1" customWidth="1"/>
    <col min="11003" max="11003" width="10.5703125" style="78" bestFit="1" customWidth="1"/>
    <col min="11004" max="11004" width="15.85546875" style="78" bestFit="1" customWidth="1"/>
    <col min="11005" max="11005" width="17.42578125" style="78" bestFit="1" customWidth="1"/>
    <col min="11006" max="11243" width="9.140625" style="78"/>
    <col min="11244" max="11245" width="16.28515625" style="78" customWidth="1"/>
    <col min="11246" max="11246" width="93.28515625" style="78" customWidth="1"/>
    <col min="11247" max="11247" width="26.140625" style="78" customWidth="1"/>
    <col min="11248" max="11249" width="11.7109375" style="78" bestFit="1" customWidth="1"/>
    <col min="11250" max="11250" width="11.7109375" style="78" customWidth="1"/>
    <col min="11251" max="11252" width="17.42578125" style="78" bestFit="1" customWidth="1"/>
    <col min="11253" max="11254" width="14" style="78" bestFit="1" customWidth="1"/>
    <col min="11255" max="11255" width="20" style="78" bestFit="1" customWidth="1"/>
    <col min="11256" max="11256" width="17.42578125" style="78" customWidth="1"/>
    <col min="11257" max="11257" width="10.7109375" style="78" bestFit="1" customWidth="1"/>
    <col min="11258" max="11258" width="11" style="78" bestFit="1" customWidth="1"/>
    <col min="11259" max="11259" width="10.5703125" style="78" bestFit="1" customWidth="1"/>
    <col min="11260" max="11260" width="15.85546875" style="78" bestFit="1" customWidth="1"/>
    <col min="11261" max="11261" width="17.42578125" style="78" bestFit="1" customWidth="1"/>
    <col min="11262" max="11499" width="9.140625" style="78"/>
    <col min="11500" max="11501" width="16.28515625" style="78" customWidth="1"/>
    <col min="11502" max="11502" width="93.28515625" style="78" customWidth="1"/>
    <col min="11503" max="11503" width="26.140625" style="78" customWidth="1"/>
    <col min="11504" max="11505" width="11.7109375" style="78" bestFit="1" customWidth="1"/>
    <col min="11506" max="11506" width="11.7109375" style="78" customWidth="1"/>
    <col min="11507" max="11508" width="17.42578125" style="78" bestFit="1" customWidth="1"/>
    <col min="11509" max="11510" width="14" style="78" bestFit="1" customWidth="1"/>
    <col min="11511" max="11511" width="20" style="78" bestFit="1" customWidth="1"/>
    <col min="11512" max="11512" width="17.42578125" style="78" customWidth="1"/>
    <col min="11513" max="11513" width="10.7109375" style="78" bestFit="1" customWidth="1"/>
    <col min="11514" max="11514" width="11" style="78" bestFit="1" customWidth="1"/>
    <col min="11515" max="11515" width="10.5703125" style="78" bestFit="1" customWidth="1"/>
    <col min="11516" max="11516" width="15.85546875" style="78" bestFit="1" customWidth="1"/>
    <col min="11517" max="11517" width="17.42578125" style="78" bestFit="1" customWidth="1"/>
    <col min="11518" max="11755" width="9.140625" style="78"/>
    <col min="11756" max="11757" width="16.28515625" style="78" customWidth="1"/>
    <col min="11758" max="11758" width="93.28515625" style="78" customWidth="1"/>
    <col min="11759" max="11759" width="26.140625" style="78" customWidth="1"/>
    <col min="11760" max="11761" width="11.7109375" style="78" bestFit="1" customWidth="1"/>
    <col min="11762" max="11762" width="11.7109375" style="78" customWidth="1"/>
    <col min="11763" max="11764" width="17.42578125" style="78" bestFit="1" customWidth="1"/>
    <col min="11765" max="11766" width="14" style="78" bestFit="1" customWidth="1"/>
    <col min="11767" max="11767" width="20" style="78" bestFit="1" customWidth="1"/>
    <col min="11768" max="11768" width="17.42578125" style="78" customWidth="1"/>
    <col min="11769" max="11769" width="10.7109375" style="78" bestFit="1" customWidth="1"/>
    <col min="11770" max="11770" width="11" style="78" bestFit="1" customWidth="1"/>
    <col min="11771" max="11771" width="10.5703125" style="78" bestFit="1" customWidth="1"/>
    <col min="11772" max="11772" width="15.85546875" style="78" bestFit="1" customWidth="1"/>
    <col min="11773" max="11773" width="17.42578125" style="78" bestFit="1" customWidth="1"/>
    <col min="11774" max="12011" width="9.140625" style="78"/>
    <col min="12012" max="12013" width="16.28515625" style="78" customWidth="1"/>
    <col min="12014" max="12014" width="93.28515625" style="78" customWidth="1"/>
    <col min="12015" max="12015" width="26.140625" style="78" customWidth="1"/>
    <col min="12016" max="12017" width="11.7109375" style="78" bestFit="1" customWidth="1"/>
    <col min="12018" max="12018" width="11.7109375" style="78" customWidth="1"/>
    <col min="12019" max="12020" width="17.42578125" style="78" bestFit="1" customWidth="1"/>
    <col min="12021" max="12022" width="14" style="78" bestFit="1" customWidth="1"/>
    <col min="12023" max="12023" width="20" style="78" bestFit="1" customWidth="1"/>
    <col min="12024" max="12024" width="17.42578125" style="78" customWidth="1"/>
    <col min="12025" max="12025" width="10.7109375" style="78" bestFit="1" customWidth="1"/>
    <col min="12026" max="12026" width="11" style="78" bestFit="1" customWidth="1"/>
    <col min="12027" max="12027" width="10.5703125" style="78" bestFit="1" customWidth="1"/>
    <col min="12028" max="12028" width="15.85546875" style="78" bestFit="1" customWidth="1"/>
    <col min="12029" max="12029" width="17.42578125" style="78" bestFit="1" customWidth="1"/>
    <col min="12030" max="12267" width="9.140625" style="78"/>
    <col min="12268" max="12269" width="16.28515625" style="78" customWidth="1"/>
    <col min="12270" max="12270" width="93.28515625" style="78" customWidth="1"/>
    <col min="12271" max="12271" width="26.140625" style="78" customWidth="1"/>
    <col min="12272" max="12273" width="11.7109375" style="78" bestFit="1" customWidth="1"/>
    <col min="12274" max="12274" width="11.7109375" style="78" customWidth="1"/>
    <col min="12275" max="12276" width="17.42578125" style="78" bestFit="1" customWidth="1"/>
    <col min="12277" max="12278" width="14" style="78" bestFit="1" customWidth="1"/>
    <col min="12279" max="12279" width="20" style="78" bestFit="1" customWidth="1"/>
    <col min="12280" max="12280" width="17.42578125" style="78" customWidth="1"/>
    <col min="12281" max="12281" width="10.7109375" style="78" bestFit="1" customWidth="1"/>
    <col min="12282" max="12282" width="11" style="78" bestFit="1" customWidth="1"/>
    <col min="12283" max="12283" width="10.5703125" style="78" bestFit="1" customWidth="1"/>
    <col min="12284" max="12284" width="15.85546875" style="78" bestFit="1" customWidth="1"/>
    <col min="12285" max="12285" width="17.42578125" style="78" bestFit="1" customWidth="1"/>
    <col min="12286" max="12523" width="9.140625" style="78"/>
    <col min="12524" max="12525" width="16.28515625" style="78" customWidth="1"/>
    <col min="12526" max="12526" width="93.28515625" style="78" customWidth="1"/>
    <col min="12527" max="12527" width="26.140625" style="78" customWidth="1"/>
    <col min="12528" max="12529" width="11.7109375" style="78" bestFit="1" customWidth="1"/>
    <col min="12530" max="12530" width="11.7109375" style="78" customWidth="1"/>
    <col min="12531" max="12532" width="17.42578125" style="78" bestFit="1" customWidth="1"/>
    <col min="12533" max="12534" width="14" style="78" bestFit="1" customWidth="1"/>
    <col min="12535" max="12535" width="20" style="78" bestFit="1" customWidth="1"/>
    <col min="12536" max="12536" width="17.42578125" style="78" customWidth="1"/>
    <col min="12537" max="12537" width="10.7109375" style="78" bestFit="1" customWidth="1"/>
    <col min="12538" max="12538" width="11" style="78" bestFit="1" customWidth="1"/>
    <col min="12539" max="12539" width="10.5703125" style="78" bestFit="1" customWidth="1"/>
    <col min="12540" max="12540" width="15.85546875" style="78" bestFit="1" customWidth="1"/>
    <col min="12541" max="12541" width="17.42578125" style="78" bestFit="1" customWidth="1"/>
    <col min="12542" max="12779" width="9.140625" style="78"/>
    <col min="12780" max="12781" width="16.28515625" style="78" customWidth="1"/>
    <col min="12782" max="12782" width="93.28515625" style="78" customWidth="1"/>
    <col min="12783" max="12783" width="26.140625" style="78" customWidth="1"/>
    <col min="12784" max="12785" width="11.7109375" style="78" bestFit="1" customWidth="1"/>
    <col min="12786" max="12786" width="11.7109375" style="78" customWidth="1"/>
    <col min="12787" max="12788" width="17.42578125" style="78" bestFit="1" customWidth="1"/>
    <col min="12789" max="12790" width="14" style="78" bestFit="1" customWidth="1"/>
    <col min="12791" max="12791" width="20" style="78" bestFit="1" customWidth="1"/>
    <col min="12792" max="12792" width="17.42578125" style="78" customWidth="1"/>
    <col min="12793" max="12793" width="10.7109375" style="78" bestFit="1" customWidth="1"/>
    <col min="12794" max="12794" width="11" style="78" bestFit="1" customWidth="1"/>
    <col min="12795" max="12795" width="10.5703125" style="78" bestFit="1" customWidth="1"/>
    <col min="12796" max="12796" width="15.85546875" style="78" bestFit="1" customWidth="1"/>
    <col min="12797" max="12797" width="17.42578125" style="78" bestFit="1" customWidth="1"/>
    <col min="12798" max="13035" width="9.140625" style="78"/>
    <col min="13036" max="13037" width="16.28515625" style="78" customWidth="1"/>
    <col min="13038" max="13038" width="93.28515625" style="78" customWidth="1"/>
    <col min="13039" max="13039" width="26.140625" style="78" customWidth="1"/>
    <col min="13040" max="13041" width="11.7109375" style="78" bestFit="1" customWidth="1"/>
    <col min="13042" max="13042" width="11.7109375" style="78" customWidth="1"/>
    <col min="13043" max="13044" width="17.42578125" style="78" bestFit="1" customWidth="1"/>
    <col min="13045" max="13046" width="14" style="78" bestFit="1" customWidth="1"/>
    <col min="13047" max="13047" width="20" style="78" bestFit="1" customWidth="1"/>
    <col min="13048" max="13048" width="17.42578125" style="78" customWidth="1"/>
    <col min="13049" max="13049" width="10.7109375" style="78" bestFit="1" customWidth="1"/>
    <col min="13050" max="13050" width="11" style="78" bestFit="1" customWidth="1"/>
    <col min="13051" max="13051" width="10.5703125" style="78" bestFit="1" customWidth="1"/>
    <col min="13052" max="13052" width="15.85546875" style="78" bestFit="1" customWidth="1"/>
    <col min="13053" max="13053" width="17.42578125" style="78" bestFit="1" customWidth="1"/>
    <col min="13054" max="13291" width="9.140625" style="78"/>
    <col min="13292" max="13293" width="16.28515625" style="78" customWidth="1"/>
    <col min="13294" max="13294" width="93.28515625" style="78" customWidth="1"/>
    <col min="13295" max="13295" width="26.140625" style="78" customWidth="1"/>
    <col min="13296" max="13297" width="11.7109375" style="78" bestFit="1" customWidth="1"/>
    <col min="13298" max="13298" width="11.7109375" style="78" customWidth="1"/>
    <col min="13299" max="13300" width="17.42578125" style="78" bestFit="1" customWidth="1"/>
    <col min="13301" max="13302" width="14" style="78" bestFit="1" customWidth="1"/>
    <col min="13303" max="13303" width="20" style="78" bestFit="1" customWidth="1"/>
    <col min="13304" max="13304" width="17.42578125" style="78" customWidth="1"/>
    <col min="13305" max="13305" width="10.7109375" style="78" bestFit="1" customWidth="1"/>
    <col min="13306" max="13306" width="11" style="78" bestFit="1" customWidth="1"/>
    <col min="13307" max="13307" width="10.5703125" style="78" bestFit="1" customWidth="1"/>
    <col min="13308" max="13308" width="15.85546875" style="78" bestFit="1" customWidth="1"/>
    <col min="13309" max="13309" width="17.42578125" style="78" bestFit="1" customWidth="1"/>
    <col min="13310" max="13547" width="9.140625" style="78"/>
    <col min="13548" max="13549" width="16.28515625" style="78" customWidth="1"/>
    <col min="13550" max="13550" width="93.28515625" style="78" customWidth="1"/>
    <col min="13551" max="13551" width="26.140625" style="78" customWidth="1"/>
    <col min="13552" max="13553" width="11.7109375" style="78" bestFit="1" customWidth="1"/>
    <col min="13554" max="13554" width="11.7109375" style="78" customWidth="1"/>
    <col min="13555" max="13556" width="17.42578125" style="78" bestFit="1" customWidth="1"/>
    <col min="13557" max="13558" width="14" style="78" bestFit="1" customWidth="1"/>
    <col min="13559" max="13559" width="20" style="78" bestFit="1" customWidth="1"/>
    <col min="13560" max="13560" width="17.42578125" style="78" customWidth="1"/>
    <col min="13561" max="13561" width="10.7109375" style="78" bestFit="1" customWidth="1"/>
    <col min="13562" max="13562" width="11" style="78" bestFit="1" customWidth="1"/>
    <col min="13563" max="13563" width="10.5703125" style="78" bestFit="1" customWidth="1"/>
    <col min="13564" max="13564" width="15.85546875" style="78" bestFit="1" customWidth="1"/>
    <col min="13565" max="13565" width="17.42578125" style="78" bestFit="1" customWidth="1"/>
    <col min="13566" max="13803" width="9.140625" style="78"/>
    <col min="13804" max="13805" width="16.28515625" style="78" customWidth="1"/>
    <col min="13806" max="13806" width="93.28515625" style="78" customWidth="1"/>
    <col min="13807" max="13807" width="26.140625" style="78" customWidth="1"/>
    <col min="13808" max="13809" width="11.7109375" style="78" bestFit="1" customWidth="1"/>
    <col min="13810" max="13810" width="11.7109375" style="78" customWidth="1"/>
    <col min="13811" max="13812" width="17.42578125" style="78" bestFit="1" customWidth="1"/>
    <col min="13813" max="13814" width="14" style="78" bestFit="1" customWidth="1"/>
    <col min="13815" max="13815" width="20" style="78" bestFit="1" customWidth="1"/>
    <col min="13816" max="13816" width="17.42578125" style="78" customWidth="1"/>
    <col min="13817" max="13817" width="10.7109375" style="78" bestFit="1" customWidth="1"/>
    <col min="13818" max="13818" width="11" style="78" bestFit="1" customWidth="1"/>
    <col min="13819" max="13819" width="10.5703125" style="78" bestFit="1" customWidth="1"/>
    <col min="13820" max="13820" width="15.85546875" style="78" bestFit="1" customWidth="1"/>
    <col min="13821" max="13821" width="17.42578125" style="78" bestFit="1" customWidth="1"/>
    <col min="13822" max="14059" width="9.140625" style="78"/>
    <col min="14060" max="14061" width="16.28515625" style="78" customWidth="1"/>
    <col min="14062" max="14062" width="93.28515625" style="78" customWidth="1"/>
    <col min="14063" max="14063" width="26.140625" style="78" customWidth="1"/>
    <col min="14064" max="14065" width="11.7109375" style="78" bestFit="1" customWidth="1"/>
    <col min="14066" max="14066" width="11.7109375" style="78" customWidth="1"/>
    <col min="14067" max="14068" width="17.42578125" style="78" bestFit="1" customWidth="1"/>
    <col min="14069" max="14070" width="14" style="78" bestFit="1" customWidth="1"/>
    <col min="14071" max="14071" width="20" style="78" bestFit="1" customWidth="1"/>
    <col min="14072" max="14072" width="17.42578125" style="78" customWidth="1"/>
    <col min="14073" max="14073" width="10.7109375" style="78" bestFit="1" customWidth="1"/>
    <col min="14074" max="14074" width="11" style="78" bestFit="1" customWidth="1"/>
    <col min="14075" max="14075" width="10.5703125" style="78" bestFit="1" customWidth="1"/>
    <col min="14076" max="14076" width="15.85546875" style="78" bestFit="1" customWidth="1"/>
    <col min="14077" max="14077" width="17.42578125" style="78" bestFit="1" customWidth="1"/>
    <col min="14078" max="14315" width="9.140625" style="78"/>
    <col min="14316" max="14317" width="16.28515625" style="78" customWidth="1"/>
    <col min="14318" max="14318" width="93.28515625" style="78" customWidth="1"/>
    <col min="14319" max="14319" width="26.140625" style="78" customWidth="1"/>
    <col min="14320" max="14321" width="11.7109375" style="78" bestFit="1" customWidth="1"/>
    <col min="14322" max="14322" width="11.7109375" style="78" customWidth="1"/>
    <col min="14323" max="14324" width="17.42578125" style="78" bestFit="1" customWidth="1"/>
    <col min="14325" max="14326" width="14" style="78" bestFit="1" customWidth="1"/>
    <col min="14327" max="14327" width="20" style="78" bestFit="1" customWidth="1"/>
    <col min="14328" max="14328" width="17.42578125" style="78" customWidth="1"/>
    <col min="14329" max="14329" width="10.7109375" style="78" bestFit="1" customWidth="1"/>
    <col min="14330" max="14330" width="11" style="78" bestFit="1" customWidth="1"/>
    <col min="14331" max="14331" width="10.5703125" style="78" bestFit="1" customWidth="1"/>
    <col min="14332" max="14332" width="15.85546875" style="78" bestFit="1" customWidth="1"/>
    <col min="14333" max="14333" width="17.42578125" style="78" bestFit="1" customWidth="1"/>
    <col min="14334" max="14571" width="9.140625" style="78"/>
    <col min="14572" max="14573" width="16.28515625" style="78" customWidth="1"/>
    <col min="14574" max="14574" width="93.28515625" style="78" customWidth="1"/>
    <col min="14575" max="14575" width="26.140625" style="78" customWidth="1"/>
    <col min="14576" max="14577" width="11.7109375" style="78" bestFit="1" customWidth="1"/>
    <col min="14578" max="14578" width="11.7109375" style="78" customWidth="1"/>
    <col min="14579" max="14580" width="17.42578125" style="78" bestFit="1" customWidth="1"/>
    <col min="14581" max="14582" width="14" style="78" bestFit="1" customWidth="1"/>
    <col min="14583" max="14583" width="20" style="78" bestFit="1" customWidth="1"/>
    <col min="14584" max="14584" width="17.42578125" style="78" customWidth="1"/>
    <col min="14585" max="14585" width="10.7109375" style="78" bestFit="1" customWidth="1"/>
    <col min="14586" max="14586" width="11" style="78" bestFit="1" customWidth="1"/>
    <col min="14587" max="14587" width="10.5703125" style="78" bestFit="1" customWidth="1"/>
    <col min="14588" max="14588" width="15.85546875" style="78" bestFit="1" customWidth="1"/>
    <col min="14589" max="14589" width="17.42578125" style="78" bestFit="1" customWidth="1"/>
    <col min="14590" max="14827" width="9.140625" style="78"/>
    <col min="14828" max="14829" width="16.28515625" style="78" customWidth="1"/>
    <col min="14830" max="14830" width="93.28515625" style="78" customWidth="1"/>
    <col min="14831" max="14831" width="26.140625" style="78" customWidth="1"/>
    <col min="14832" max="14833" width="11.7109375" style="78" bestFit="1" customWidth="1"/>
    <col min="14834" max="14834" width="11.7109375" style="78" customWidth="1"/>
    <col min="14835" max="14836" width="17.42578125" style="78" bestFit="1" customWidth="1"/>
    <col min="14837" max="14838" width="14" style="78" bestFit="1" customWidth="1"/>
    <col min="14839" max="14839" width="20" style="78" bestFit="1" customWidth="1"/>
    <col min="14840" max="14840" width="17.42578125" style="78" customWidth="1"/>
    <col min="14841" max="14841" width="10.7109375" style="78" bestFit="1" customWidth="1"/>
    <col min="14842" max="14842" width="11" style="78" bestFit="1" customWidth="1"/>
    <col min="14843" max="14843" width="10.5703125" style="78" bestFit="1" customWidth="1"/>
    <col min="14844" max="14844" width="15.85546875" style="78" bestFit="1" customWidth="1"/>
    <col min="14845" max="14845" width="17.42578125" style="78" bestFit="1" customWidth="1"/>
    <col min="14846" max="15083" width="9.140625" style="78"/>
    <col min="15084" max="15085" width="16.28515625" style="78" customWidth="1"/>
    <col min="15086" max="15086" width="93.28515625" style="78" customWidth="1"/>
    <col min="15087" max="15087" width="26.140625" style="78" customWidth="1"/>
    <col min="15088" max="15089" width="11.7109375" style="78" bestFit="1" customWidth="1"/>
    <col min="15090" max="15090" width="11.7109375" style="78" customWidth="1"/>
    <col min="15091" max="15092" width="17.42578125" style="78" bestFit="1" customWidth="1"/>
    <col min="15093" max="15094" width="14" style="78" bestFit="1" customWidth="1"/>
    <col min="15095" max="15095" width="20" style="78" bestFit="1" customWidth="1"/>
    <col min="15096" max="15096" width="17.42578125" style="78" customWidth="1"/>
    <col min="15097" max="15097" width="10.7109375" style="78" bestFit="1" customWidth="1"/>
    <col min="15098" max="15098" width="11" style="78" bestFit="1" customWidth="1"/>
    <col min="15099" max="15099" width="10.5703125" style="78" bestFit="1" customWidth="1"/>
    <col min="15100" max="15100" width="15.85546875" style="78" bestFit="1" customWidth="1"/>
    <col min="15101" max="15101" width="17.42578125" style="78" bestFit="1" customWidth="1"/>
    <col min="15102" max="15339" width="9.140625" style="78"/>
    <col min="15340" max="15341" width="16.28515625" style="78" customWidth="1"/>
    <col min="15342" max="15342" width="93.28515625" style="78" customWidth="1"/>
    <col min="15343" max="15343" width="26.140625" style="78" customWidth="1"/>
    <col min="15344" max="15345" width="11.7109375" style="78" bestFit="1" customWidth="1"/>
    <col min="15346" max="15346" width="11.7109375" style="78" customWidth="1"/>
    <col min="15347" max="15348" width="17.42578125" style="78" bestFit="1" customWidth="1"/>
    <col min="15349" max="15350" width="14" style="78" bestFit="1" customWidth="1"/>
    <col min="15351" max="15351" width="20" style="78" bestFit="1" customWidth="1"/>
    <col min="15352" max="15352" width="17.42578125" style="78" customWidth="1"/>
    <col min="15353" max="15353" width="10.7109375" style="78" bestFit="1" customWidth="1"/>
    <col min="15354" max="15354" width="11" style="78" bestFit="1" customWidth="1"/>
    <col min="15355" max="15355" width="10.5703125" style="78" bestFit="1" customWidth="1"/>
    <col min="15356" max="15356" width="15.85546875" style="78" bestFit="1" customWidth="1"/>
    <col min="15357" max="15357" width="17.42578125" style="78" bestFit="1" customWidth="1"/>
    <col min="15358" max="15595" width="9.140625" style="78"/>
    <col min="15596" max="15597" width="16.28515625" style="78" customWidth="1"/>
    <col min="15598" max="15598" width="93.28515625" style="78" customWidth="1"/>
    <col min="15599" max="15599" width="26.140625" style="78" customWidth="1"/>
    <col min="15600" max="15601" width="11.7109375" style="78" bestFit="1" customWidth="1"/>
    <col min="15602" max="15602" width="11.7109375" style="78" customWidth="1"/>
    <col min="15603" max="15604" width="17.42578125" style="78" bestFit="1" customWidth="1"/>
    <col min="15605" max="15606" width="14" style="78" bestFit="1" customWidth="1"/>
    <col min="15607" max="15607" width="20" style="78" bestFit="1" customWidth="1"/>
    <col min="15608" max="15608" width="17.42578125" style="78" customWidth="1"/>
    <col min="15609" max="15609" width="10.7109375" style="78" bestFit="1" customWidth="1"/>
    <col min="15610" max="15610" width="11" style="78" bestFit="1" customWidth="1"/>
    <col min="15611" max="15611" width="10.5703125" style="78" bestFit="1" customWidth="1"/>
    <col min="15612" max="15612" width="15.85546875" style="78" bestFit="1" customWidth="1"/>
    <col min="15613" max="15613" width="17.42578125" style="78" bestFit="1" customWidth="1"/>
    <col min="15614" max="15851" width="9.140625" style="78"/>
    <col min="15852" max="15853" width="16.28515625" style="78" customWidth="1"/>
    <col min="15854" max="15854" width="93.28515625" style="78" customWidth="1"/>
    <col min="15855" max="15855" width="26.140625" style="78" customWidth="1"/>
    <col min="15856" max="15857" width="11.7109375" style="78" bestFit="1" customWidth="1"/>
    <col min="15858" max="15858" width="11.7109375" style="78" customWidth="1"/>
    <col min="15859" max="15860" width="17.42578125" style="78" bestFit="1" customWidth="1"/>
    <col min="15861" max="15862" width="14" style="78" bestFit="1" customWidth="1"/>
    <col min="15863" max="15863" width="20" style="78" bestFit="1" customWidth="1"/>
    <col min="15864" max="15864" width="17.42578125" style="78" customWidth="1"/>
    <col min="15865" max="15865" width="10.7109375" style="78" bestFit="1" customWidth="1"/>
    <col min="15866" max="15866" width="11" style="78" bestFit="1" customWidth="1"/>
    <col min="15867" max="15867" width="10.5703125" style="78" bestFit="1" customWidth="1"/>
    <col min="15868" max="15868" width="15.85546875" style="78" bestFit="1" customWidth="1"/>
    <col min="15869" max="15869" width="17.42578125" style="78" bestFit="1" customWidth="1"/>
    <col min="15870" max="16107" width="9.140625" style="78"/>
    <col min="16108" max="16109" width="16.28515625" style="78" customWidth="1"/>
    <col min="16110" max="16110" width="93.28515625" style="78" customWidth="1"/>
    <col min="16111" max="16111" width="26.140625" style="78" customWidth="1"/>
    <col min="16112" max="16113" width="11.7109375" style="78" bestFit="1" customWidth="1"/>
    <col min="16114" max="16114" width="11.7109375" style="78" customWidth="1"/>
    <col min="16115" max="16116" width="17.42578125" style="78" bestFit="1" customWidth="1"/>
    <col min="16117" max="16118" width="14" style="78" bestFit="1" customWidth="1"/>
    <col min="16119" max="16119" width="20" style="78" bestFit="1" customWidth="1"/>
    <col min="16120" max="16120" width="17.42578125" style="78" customWidth="1"/>
    <col min="16121" max="16121" width="10.7109375" style="78" bestFit="1" customWidth="1"/>
    <col min="16122" max="16122" width="11" style="78" bestFit="1" customWidth="1"/>
    <col min="16123" max="16123" width="10.5703125" style="78" bestFit="1" customWidth="1"/>
    <col min="16124" max="16124" width="15.85546875" style="78" bestFit="1" customWidth="1"/>
    <col min="16125" max="16125" width="17.42578125" style="78" bestFit="1" customWidth="1"/>
    <col min="16126" max="16384" width="9.140625" style="78"/>
  </cols>
  <sheetData>
    <row r="1" spans="1:35" s="223" customFormat="1" ht="20.25">
      <c r="E1" s="3050" t="str">
        <f>IF(dms_DataQuality="backcast",INDEX(dms_Worksheet_List,MATCH(dms_Model,dms_Model_List))&amp;" BACKCAST",INDEX(dms_Worksheet_List,MATCH(dms_Model,dms_Model_List)))</f>
        <v>REGULATORY REPORTING STATEMENT</v>
      </c>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row>
    <row r="2" spans="1:35" s="223" customFormat="1" ht="20.25">
      <c r="E2" s="3054" t="str">
        <f>INDEX(dms_TradingNameFull_List,MATCH(dms_TradingName,dms_TradingName_List))</f>
        <v>AusNet Gas Services</v>
      </c>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row>
    <row r="3" spans="1:35" s="223" customFormat="1" ht="20.25">
      <c r="E3" s="3054" t="str">
        <f ca="1">IF(SUM(dms_SingleYear_Model)&gt;0,CRY,CONCATENATE(FRCP_y1," to ",dms_MultiYear_FinalYear_Result))</f>
        <v>2018 to 2022</v>
      </c>
      <c r="F3" s="228" t="str">
        <f>CONCATENATE(LEFT(FRCP_y1,4),"-",LEFT(FRCP_y5,2),RIGHT(FRCP_y5,2))</f>
        <v>2018-2022</v>
      </c>
      <c r="G3" s="227"/>
      <c r="H3" s="227"/>
      <c r="I3" s="227"/>
      <c r="J3" s="227"/>
      <c r="K3" s="227"/>
      <c r="L3" s="227"/>
      <c r="M3" s="227"/>
      <c r="N3" s="227"/>
      <c r="O3" s="227"/>
      <c r="P3" s="227"/>
      <c r="Q3" s="227"/>
      <c r="R3" s="227"/>
      <c r="S3" s="227"/>
      <c r="T3" s="227"/>
      <c r="U3" s="227"/>
      <c r="V3" s="227"/>
      <c r="W3" s="1426"/>
      <c r="X3" s="1426"/>
      <c r="Y3" s="1426"/>
      <c r="Z3" s="1426"/>
      <c r="AA3" s="1426"/>
      <c r="AB3" s="1426"/>
      <c r="AC3" s="1426"/>
      <c r="AD3" s="1426"/>
      <c r="AE3" s="1426"/>
      <c r="AF3" s="1426"/>
      <c r="AG3" s="1426"/>
      <c r="AH3" s="1426"/>
      <c r="AI3"/>
    </row>
    <row r="4" spans="1:35" s="165" customFormat="1" ht="20.25">
      <c r="B4" s="10"/>
      <c r="C4" s="12"/>
      <c r="D4"/>
      <c r="E4" s="12" t="s">
        <v>464</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row>
    <row r="5" spans="1:35" ht="13.5" thickBot="1">
      <c r="A5" s="409"/>
      <c r="B5" s="409"/>
      <c r="C5" s="409"/>
      <c r="D5" s="409"/>
      <c r="E5" s="545"/>
      <c r="F5" s="308"/>
      <c r="G5" s="308"/>
      <c r="H5" s="308"/>
      <c r="I5" s="308"/>
      <c r="J5" s="308"/>
      <c r="K5" s="308"/>
      <c r="L5" s="308"/>
      <c r="M5" s="308"/>
      <c r="N5" s="308"/>
      <c r="O5" s="308"/>
      <c r="P5" s="308"/>
      <c r="Q5" s="308"/>
      <c r="R5" s="308"/>
      <c r="S5" s="308"/>
      <c r="T5" s="308"/>
      <c r="U5" s="308"/>
      <c r="V5" s="308"/>
      <c r="AA5"/>
      <c r="AB5"/>
      <c r="AC5"/>
      <c r="AD5"/>
      <c r="AE5"/>
      <c r="AF5"/>
      <c r="AG5"/>
      <c r="AH5"/>
      <c r="AI5"/>
    </row>
    <row r="6" spans="1:35" ht="21" customHeight="1">
      <c r="A6" s="1126" t="s">
        <v>195</v>
      </c>
      <c r="B6" s="1127" t="s">
        <v>201</v>
      </c>
      <c r="C6" s="308"/>
      <c r="E6" s="1152" t="s">
        <v>59</v>
      </c>
      <c r="F6" s="86"/>
      <c r="G6" s="86"/>
      <c r="H6" s="288"/>
      <c r="I6" s="288"/>
      <c r="J6" s="288"/>
      <c r="K6" s="288"/>
      <c r="L6" s="288"/>
      <c r="M6" s="288"/>
      <c r="N6" s="288"/>
      <c r="O6" s="288"/>
      <c r="P6" s="308"/>
      <c r="Q6" s="308"/>
      <c r="R6" s="308"/>
      <c r="S6" s="308"/>
      <c r="T6" s="308"/>
      <c r="U6" s="308"/>
      <c r="V6" s="308"/>
      <c r="AA6"/>
      <c r="AB6"/>
      <c r="AC6"/>
      <c r="AD6"/>
      <c r="AE6"/>
      <c r="AF6"/>
      <c r="AG6"/>
      <c r="AH6"/>
      <c r="AI6"/>
    </row>
    <row r="7" spans="1:35" ht="21" customHeight="1">
      <c r="A7" s="1128" t="s">
        <v>196</v>
      </c>
      <c r="B7" s="1129" t="s">
        <v>202</v>
      </c>
      <c r="C7" s="308"/>
      <c r="E7" s="3616" t="s">
        <v>468</v>
      </c>
      <c r="F7" s="3616"/>
      <c r="G7" s="3616"/>
      <c r="H7" s="288"/>
      <c r="I7" s="288"/>
      <c r="J7" s="288"/>
      <c r="K7" s="288"/>
      <c r="L7" s="288"/>
      <c r="M7" s="288"/>
      <c r="N7" s="288"/>
      <c r="O7" s="288"/>
      <c r="P7" s="308"/>
      <c r="Q7" s="308"/>
      <c r="R7" s="308"/>
      <c r="S7" s="308"/>
      <c r="T7" s="308"/>
      <c r="U7" s="308"/>
      <c r="V7" s="308"/>
      <c r="AA7"/>
      <c r="AB7"/>
      <c r="AC7"/>
      <c r="AD7"/>
      <c r="AE7"/>
      <c r="AF7"/>
      <c r="AG7"/>
      <c r="AH7"/>
      <c r="AI7"/>
    </row>
    <row r="8" spans="1:35" s="70" customFormat="1" ht="43.5" customHeight="1">
      <c r="A8" s="1128" t="s">
        <v>198</v>
      </c>
      <c r="B8" s="1129" t="s">
        <v>204</v>
      </c>
      <c r="C8" s="410"/>
      <c r="D8" s="410"/>
      <c r="E8" s="3616" t="str">
        <f>CONCATENATE("As set out in cl.6.1 of the ", dms_TradingName, " RIN, for tables 5.1 to 5.2, where the requested data is captured in the ", dms_TradingName, " capex model it is not required to be reentered in the RIN template tables.  If the requested data has not been provided in the ", dms_TradingName, " RIN please enter into the tables. This may require the insertion of new lines in each table.")</f>
        <v>As set out in cl.6.1 of the AusNet (Gas) RIN, for tables 5.1 to 5.2, where the requested data is captured in the AusNet (Gas) capex model it is not required to be reentered in the RIN template tables.  If the requested data has not been provided in the AusNet (Gas) RIN please enter into the tables. This may require the insertion of new lines in each table.</v>
      </c>
      <c r="F8" s="3616"/>
      <c r="G8" s="3616"/>
      <c r="H8" s="288"/>
      <c r="I8" s="288"/>
      <c r="J8" s="288"/>
      <c r="K8" s="288"/>
      <c r="L8" s="288"/>
      <c r="M8" s="288"/>
      <c r="N8" s="288"/>
      <c r="O8" s="288"/>
      <c r="P8" s="539"/>
      <c r="Q8" s="539"/>
      <c r="R8" s="539"/>
      <c r="S8" s="539"/>
      <c r="T8" s="539"/>
      <c r="U8" s="410"/>
      <c r="V8" s="410"/>
      <c r="W8"/>
      <c r="X8"/>
      <c r="Y8"/>
      <c r="Z8"/>
      <c r="AA8"/>
      <c r="AB8" s="1429"/>
      <c r="AC8" s="1429"/>
      <c r="AD8" s="1429"/>
      <c r="AE8" s="1429"/>
      <c r="AF8" s="1429"/>
      <c r="AG8" s="1429"/>
      <c r="AH8" s="1429"/>
    </row>
    <row r="9" spans="1:35" s="70" customFormat="1" ht="43.5" customHeight="1">
      <c r="A9" s="1128" t="s">
        <v>285</v>
      </c>
      <c r="B9" s="1129" t="s">
        <v>279</v>
      </c>
      <c r="C9" s="410"/>
      <c r="D9" s="410"/>
      <c r="E9" s="3616" t="s">
        <v>618</v>
      </c>
      <c r="F9" s="3616"/>
      <c r="G9" s="3616"/>
      <c r="H9" s="288"/>
      <c r="I9" s="288"/>
      <c r="J9" s="288"/>
      <c r="K9" s="288"/>
      <c r="L9" s="288"/>
      <c r="M9" s="288"/>
      <c r="N9" s="288"/>
      <c r="O9" s="288"/>
      <c r="P9" s="539"/>
      <c r="Q9" s="539"/>
      <c r="R9" s="539"/>
      <c r="S9" s="539"/>
      <c r="T9" s="539"/>
      <c r="U9" s="410"/>
      <c r="V9" s="410"/>
      <c r="W9"/>
      <c r="X9"/>
      <c r="Y9"/>
      <c r="Z9"/>
      <c r="AA9"/>
      <c r="AB9" s="1429"/>
      <c r="AC9" s="1429"/>
      <c r="AD9" s="1429"/>
      <c r="AE9" s="1429"/>
      <c r="AF9" s="1429"/>
      <c r="AG9" s="1429"/>
      <c r="AH9" s="1429"/>
    </row>
    <row r="10" spans="1:35" ht="43.5" customHeight="1">
      <c r="A10" s="1128" t="s">
        <v>199</v>
      </c>
      <c r="B10" s="1129" t="s">
        <v>205</v>
      </c>
      <c r="C10" s="308"/>
      <c r="E10" s="3616"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AusNet (Gas) RIN, where linked/adjustable overhead expenditure and Related party margin expenditure is not provided in the AusNet (Gas) capex model, overhead expenditure and Related party margin expenditure should be linked to allocations derived in tabs '14. Overheads' and '15. Related party transactions'.</v>
      </c>
      <c r="F10" s="3616"/>
      <c r="G10" s="3616"/>
      <c r="H10" s="308"/>
      <c r="I10" s="538"/>
      <c r="J10" s="538"/>
      <c r="K10" s="537"/>
      <c r="L10" s="538"/>
      <c r="M10" s="538"/>
      <c r="N10" s="538"/>
      <c r="O10" s="538"/>
      <c r="P10" s="308"/>
      <c r="Q10" s="308"/>
      <c r="R10" s="308"/>
      <c r="S10" s="308"/>
      <c r="T10" s="308"/>
      <c r="U10" s="308"/>
      <c r="V10" s="308"/>
      <c r="AA10"/>
      <c r="AB10" s="308"/>
      <c r="AC10" s="538"/>
      <c r="AD10" s="538"/>
      <c r="AE10" s="1016"/>
      <c r="AF10" s="538"/>
      <c r="AG10" s="538"/>
      <c r="AH10" s="538"/>
    </row>
    <row r="11" spans="1:35" s="79" customFormat="1" ht="32.25" customHeight="1">
      <c r="A11" s="1128" t="s">
        <v>286</v>
      </c>
      <c r="B11" s="1129" t="s">
        <v>280</v>
      </c>
      <c r="C11" s="308"/>
      <c r="D11" s="308"/>
      <c r="E11" s="3616" t="s">
        <v>161</v>
      </c>
      <c r="F11" s="3617"/>
      <c r="G11" s="3617"/>
      <c r="H11" s="544"/>
      <c r="I11" s="538"/>
      <c r="J11" s="538"/>
      <c r="K11" s="538"/>
      <c r="L11" s="538"/>
      <c r="M11" s="538"/>
      <c r="N11" s="538"/>
      <c r="O11" s="538"/>
      <c r="P11" s="308"/>
      <c r="Q11" s="308"/>
      <c r="R11" s="308"/>
      <c r="S11" s="308"/>
      <c r="T11" s="308"/>
      <c r="U11" s="308"/>
      <c r="V11" s="308"/>
      <c r="W11"/>
      <c r="X11"/>
      <c r="Y11"/>
      <c r="Z11"/>
      <c r="AA11"/>
      <c r="AB11" s="544"/>
      <c r="AC11" s="538"/>
      <c r="AD11" s="538"/>
      <c r="AE11" s="538"/>
      <c r="AF11" s="538"/>
      <c r="AG11" s="538"/>
      <c r="AH11" s="538"/>
    </row>
    <row r="12" spans="1:35" s="79" customFormat="1" ht="13.5" thickBot="1">
      <c r="A12" s="1130" t="s">
        <v>289</v>
      </c>
      <c r="B12" s="1131" t="s">
        <v>135</v>
      </c>
      <c r="C12" s="308"/>
      <c r="D12"/>
      <c r="E12"/>
      <c r="F12"/>
      <c r="G12"/>
      <c r="H12" s="308"/>
      <c r="I12" s="308"/>
      <c r="J12" s="308"/>
      <c r="K12" s="308"/>
      <c r="L12" s="308"/>
      <c r="M12" s="308"/>
      <c r="N12" s="308"/>
      <c r="O12" s="308"/>
      <c r="P12" s="308"/>
      <c r="Q12" s="308"/>
      <c r="R12" s="308"/>
      <c r="S12" s="308"/>
      <c r="T12" s="308"/>
      <c r="U12" s="308"/>
      <c r="V12" s="308"/>
      <c r="W12"/>
      <c r="X12"/>
      <c r="Y12"/>
      <c r="Z12"/>
      <c r="AA12" s="1427"/>
      <c r="AB12" s="308"/>
      <c r="AC12" s="308"/>
      <c r="AD12" s="308"/>
      <c r="AE12" s="308"/>
      <c r="AF12" s="308"/>
      <c r="AG12" s="308"/>
      <c r="AH12" s="308"/>
    </row>
    <row r="13" spans="1:35" s="79" customFormat="1" ht="21" thickBot="1">
      <c r="A13" s="308"/>
      <c r="B13" s="308"/>
      <c r="C13" s="308"/>
      <c r="D13" s="308"/>
      <c r="F13" s="544"/>
      <c r="G13" s="544"/>
      <c r="H13" s="544"/>
      <c r="I13" s="544"/>
      <c r="J13" s="544"/>
      <c r="K13" s="544"/>
      <c r="L13" s="544"/>
      <c r="M13" s="544"/>
      <c r="N13" s="544"/>
      <c r="O13" s="544"/>
      <c r="P13" s="544"/>
      <c r="Q13" s="544"/>
      <c r="R13" s="544"/>
      <c r="S13" s="544"/>
      <c r="T13" s="544"/>
      <c r="U13" s="308"/>
      <c r="V13" s="308"/>
      <c r="W13"/>
      <c r="X13"/>
      <c r="Y13"/>
      <c r="Z13"/>
      <c r="AA13" s="544"/>
      <c r="AB13" s="544"/>
      <c r="AC13" s="544"/>
      <c r="AD13" s="544"/>
      <c r="AE13" s="544"/>
      <c r="AF13" s="544"/>
      <c r="AG13" s="544"/>
      <c r="AH13" s="544"/>
    </row>
    <row r="14" spans="1:35" s="1427" customFormat="1" ht="16.5" thickBot="1">
      <c r="A14" s="308"/>
      <c r="B14" s="308"/>
      <c r="C14" s="308"/>
      <c r="D14" s="308"/>
      <c r="E14" s="856" t="s">
        <v>582</v>
      </c>
      <c r="F14" s="856"/>
      <c r="G14" s="856"/>
      <c r="H14" s="856"/>
      <c r="I14" s="856"/>
      <c r="J14" s="856"/>
      <c r="K14" s="856"/>
      <c r="L14" s="856"/>
      <c r="M14" s="856"/>
      <c r="N14" s="856"/>
      <c r="O14" s="856"/>
      <c r="P14" s="856"/>
      <c r="Q14" s="856"/>
      <c r="R14" s="856"/>
      <c r="S14" s="856"/>
      <c r="T14" s="856"/>
      <c r="U14" s="856"/>
      <c r="V14" s="856"/>
      <c r="W14" s="856"/>
      <c r="AA14" s="856" t="s">
        <v>681</v>
      </c>
      <c r="AB14" s="856"/>
      <c r="AC14" s="856"/>
      <c r="AD14" s="856"/>
      <c r="AE14" s="856"/>
      <c r="AF14" s="856"/>
      <c r="AG14" s="856"/>
      <c r="AH14" s="1465"/>
    </row>
    <row r="15" spans="1:35" s="66" customFormat="1" ht="16.5" thickBot="1">
      <c r="A15" s="289"/>
      <c r="B15" s="289"/>
      <c r="C15" s="289"/>
      <c r="D15" s="289"/>
      <c r="E15" s="1576" t="s">
        <v>613</v>
      </c>
      <c r="F15" s="1576"/>
      <c r="G15" s="1577"/>
      <c r="H15" s="1577"/>
      <c r="I15" s="1577"/>
      <c r="J15" s="1577"/>
      <c r="K15" s="1577"/>
      <c r="L15" s="1577"/>
      <c r="M15" s="1577"/>
      <c r="N15" s="1577"/>
      <c r="O15" s="1577"/>
      <c r="P15" s="1577"/>
      <c r="Q15" s="1577"/>
      <c r="R15" s="1577"/>
      <c r="S15" s="1577"/>
      <c r="T15" s="1577"/>
      <c r="U15" s="1577"/>
      <c r="V15" s="1577"/>
      <c r="W15" s="1578"/>
      <c r="X15"/>
      <c r="Y15"/>
      <c r="Z15"/>
      <c r="AA15" s="1576"/>
      <c r="AB15" s="1577"/>
      <c r="AC15" s="1577"/>
      <c r="AD15" s="1577"/>
      <c r="AE15" s="1577"/>
      <c r="AF15" s="1577"/>
      <c r="AG15" s="1577"/>
      <c r="AH15" s="1578"/>
    </row>
    <row r="16" spans="1:35" ht="18" customHeight="1">
      <c r="A16" s="308"/>
      <c r="B16" s="308"/>
      <c r="C16" s="308"/>
      <c r="E16" s="3624"/>
      <c r="F16" s="3625"/>
      <c r="G16" s="3620" t="s">
        <v>36</v>
      </c>
      <c r="H16" s="3549"/>
      <c r="I16" s="3549"/>
      <c r="J16" s="3549"/>
      <c r="K16" s="3549"/>
      <c r="L16" s="3602" t="s">
        <v>37</v>
      </c>
      <c r="M16" s="3603"/>
      <c r="N16" s="3603"/>
      <c r="O16" s="3603"/>
      <c r="P16" s="3603"/>
      <c r="Q16" s="3637" t="s">
        <v>365</v>
      </c>
      <c r="R16" s="3543" t="s">
        <v>73</v>
      </c>
      <c r="S16" s="3549"/>
      <c r="T16" s="3549"/>
      <c r="U16" s="3549"/>
      <c r="V16" s="3636"/>
      <c r="W16" s="3640" t="s">
        <v>162</v>
      </c>
      <c r="AA16" s="3601" t="s">
        <v>36</v>
      </c>
      <c r="AB16" s="3549"/>
      <c r="AC16" s="3549"/>
      <c r="AD16" s="3549"/>
      <c r="AE16" s="3549"/>
      <c r="AF16" s="3602" t="s">
        <v>37</v>
      </c>
      <c r="AG16" s="3603"/>
      <c r="AH16" s="3604"/>
    </row>
    <row r="17" spans="1:34" ht="15" customHeight="1">
      <c r="A17" s="308"/>
      <c r="B17" s="308"/>
      <c r="C17" s="308"/>
      <c r="E17" s="3626"/>
      <c r="F17" s="3627"/>
      <c r="G17" s="3550" t="s">
        <v>579</v>
      </c>
      <c r="H17" s="3551"/>
      <c r="I17" s="3551"/>
      <c r="J17" s="3551"/>
      <c r="K17" s="3551"/>
      <c r="L17" s="3551"/>
      <c r="M17" s="3551"/>
      <c r="N17" s="3551"/>
      <c r="O17" s="3590" t="str">
        <f>CONCATENATE("$0's, real ",dms_DollarReal)</f>
        <v>$0's, real December 2017</v>
      </c>
      <c r="P17" s="3615"/>
      <c r="Q17" s="3638"/>
      <c r="R17" s="3594" t="str">
        <f>CONCATENATE("$0's, real ",dms_DollarReal)</f>
        <v>$0's, real December 2017</v>
      </c>
      <c r="S17" s="3594"/>
      <c r="T17" s="3594"/>
      <c r="U17" s="3594"/>
      <c r="V17" s="3639"/>
      <c r="W17" s="3641"/>
      <c r="AA17" s="3605" t="str">
        <f>CONCATENATE("$0's, real ",dms_DollarReal)</f>
        <v>$0's, real December 2017</v>
      </c>
      <c r="AB17" s="3590"/>
      <c r="AC17" s="3590"/>
      <c r="AD17" s="3590"/>
      <c r="AE17" s="3590"/>
      <c r="AF17" s="3590"/>
      <c r="AG17" s="3590"/>
      <c r="AH17" s="3591"/>
    </row>
    <row r="18" spans="1:34" ht="25.5">
      <c r="A18" s="3618" t="s">
        <v>192</v>
      </c>
      <c r="B18" s="3618" t="s">
        <v>193</v>
      </c>
      <c r="C18" s="3618" t="s">
        <v>206</v>
      </c>
      <c r="E18" s="3626"/>
      <c r="F18" s="3627"/>
      <c r="G18" s="3550" t="s">
        <v>54</v>
      </c>
      <c r="H18" s="3551"/>
      <c r="I18" s="3551"/>
      <c r="J18" s="3551"/>
      <c r="K18" s="3551"/>
      <c r="L18" s="3551"/>
      <c r="M18" s="3551"/>
      <c r="N18" s="3595"/>
      <c r="O18" s="3589" t="s">
        <v>55</v>
      </c>
      <c r="P18" s="3615"/>
      <c r="Q18" s="422" t="s">
        <v>356</v>
      </c>
      <c r="R18" s="3594" t="s">
        <v>55</v>
      </c>
      <c r="S18" s="3594"/>
      <c r="T18" s="3594"/>
      <c r="U18" s="3594"/>
      <c r="V18" s="3639"/>
      <c r="W18" s="3641"/>
      <c r="AA18" s="3550" t="s">
        <v>54</v>
      </c>
      <c r="AB18" s="3551"/>
      <c r="AC18" s="3551"/>
      <c r="AD18" s="3551"/>
      <c r="AE18" s="3551"/>
      <c r="AF18" s="3551"/>
      <c r="AG18" s="3551"/>
      <c r="AH18" s="3552"/>
    </row>
    <row r="19" spans="1:34" ht="15.75" customHeight="1" thickBot="1">
      <c r="A19" s="3619"/>
      <c r="B19" s="3619"/>
      <c r="C19" s="3619"/>
      <c r="E19" s="3628"/>
      <c r="F19" s="3629"/>
      <c r="G19" s="393">
        <f t="array" ref="G19:K19">PRCP</f>
        <v>2008</v>
      </c>
      <c r="H19" s="394">
        <v>2009</v>
      </c>
      <c r="I19" s="394">
        <v>2010</v>
      </c>
      <c r="J19" s="394">
        <v>2011</v>
      </c>
      <c r="K19" s="394">
        <v>2012</v>
      </c>
      <c r="L19" s="395">
        <f>CRCP_y1</f>
        <v>2013</v>
      </c>
      <c r="M19" s="395">
        <f>CRCP_y2</f>
        <v>2014</v>
      </c>
      <c r="N19" s="395">
        <f>CRCP_y3</f>
        <v>2015</v>
      </c>
      <c r="O19" s="395">
        <f>CRCP_y4</f>
        <v>2016</v>
      </c>
      <c r="P19" s="395">
        <f>CRCP_y5</f>
        <v>2017</v>
      </c>
      <c r="Q19" s="396" t="s">
        <v>116</v>
      </c>
      <c r="R19" s="394" t="str">
        <f t="array" ref="R19:V19">FRCP</f>
        <v>2018</v>
      </c>
      <c r="S19" s="394">
        <v>2019</v>
      </c>
      <c r="T19" s="394">
        <v>2020</v>
      </c>
      <c r="U19" s="394">
        <v>2021</v>
      </c>
      <c r="V19" s="397">
        <v>2022</v>
      </c>
      <c r="W19" s="3642"/>
      <c r="AA19" s="1487">
        <f t="array" ref="AA19:AE19">PRCP</f>
        <v>2008</v>
      </c>
      <c r="AB19" s="1488">
        <v>2009</v>
      </c>
      <c r="AC19" s="1488">
        <v>2010</v>
      </c>
      <c r="AD19" s="1488">
        <v>2011</v>
      </c>
      <c r="AE19" s="1488">
        <v>2012</v>
      </c>
      <c r="AF19" s="395">
        <f>CRCP_y1</f>
        <v>2013</v>
      </c>
      <c r="AG19" s="395">
        <f>CRCP_y2</f>
        <v>2014</v>
      </c>
      <c r="AH19" s="2117">
        <f>CRCP_y3</f>
        <v>2015</v>
      </c>
    </row>
    <row r="20" spans="1:34" ht="18" customHeight="1" outlineLevel="1">
      <c r="A20" s="308"/>
      <c r="B20" s="308"/>
      <c r="C20" s="308"/>
      <c r="E20" s="3621" t="s">
        <v>290</v>
      </c>
      <c r="F20" s="399" t="s">
        <v>595</v>
      </c>
      <c r="G20" s="428"/>
      <c r="H20" s="429"/>
      <c r="I20" s="429"/>
      <c r="J20" s="429"/>
      <c r="K20" s="431"/>
      <c r="L20" s="428"/>
      <c r="M20" s="429"/>
      <c r="N20" s="429"/>
      <c r="O20" s="429"/>
      <c r="P20" s="429"/>
      <c r="Q20" s="429"/>
      <c r="R20" s="1709"/>
      <c r="S20" s="463"/>
      <c r="T20" s="463"/>
      <c r="U20" s="463"/>
      <c r="V20" s="562"/>
      <c r="W20" s="1274"/>
      <c r="AA20" s="428"/>
      <c r="AB20" s="429"/>
      <c r="AC20" s="429"/>
      <c r="AD20" s="429"/>
      <c r="AE20" s="431"/>
      <c r="AF20" s="428"/>
      <c r="AG20" s="429"/>
      <c r="AH20" s="431"/>
    </row>
    <row r="21" spans="1:34" outlineLevel="1">
      <c r="A21" s="308"/>
      <c r="B21" s="308"/>
      <c r="C21" s="308"/>
      <c r="E21" s="3622"/>
      <c r="F21" s="237" t="s">
        <v>594</v>
      </c>
      <c r="G21" s="424"/>
      <c r="H21" s="425"/>
      <c r="I21" s="425"/>
      <c r="J21" s="425"/>
      <c r="K21" s="1259"/>
      <c r="L21" s="424"/>
      <c r="M21" s="425"/>
      <c r="N21" s="425"/>
      <c r="O21" s="425"/>
      <c r="P21" s="425"/>
      <c r="Q21" s="425"/>
      <c r="R21" s="514"/>
      <c r="S21" s="513"/>
      <c r="T21" s="513"/>
      <c r="U21" s="513"/>
      <c r="V21" s="515"/>
      <c r="W21" s="1275"/>
      <c r="AA21" s="424"/>
      <c r="AB21" s="425"/>
      <c r="AC21" s="425"/>
      <c r="AD21" s="425"/>
      <c r="AE21" s="1259"/>
      <c r="AF21" s="424"/>
      <c r="AG21" s="425"/>
      <c r="AH21" s="1259"/>
    </row>
    <row r="22" spans="1:34" outlineLevel="1">
      <c r="A22" s="308"/>
      <c r="B22" s="308"/>
      <c r="C22" s="308"/>
      <c r="E22" s="3622"/>
      <c r="F22" s="237" t="s">
        <v>614</v>
      </c>
      <c r="G22" s="424"/>
      <c r="H22" s="425"/>
      <c r="I22" s="425"/>
      <c r="J22" s="425"/>
      <c r="K22" s="1259"/>
      <c r="L22" s="424"/>
      <c r="M22" s="425"/>
      <c r="N22" s="425"/>
      <c r="O22" s="425"/>
      <c r="P22" s="425"/>
      <c r="Q22" s="425"/>
      <c r="R22" s="514"/>
      <c r="S22" s="513"/>
      <c r="T22" s="513"/>
      <c r="U22" s="513"/>
      <c r="V22" s="515"/>
      <c r="W22" s="1275"/>
      <c r="AA22" s="424"/>
      <c r="AB22" s="425"/>
      <c r="AC22" s="425"/>
      <c r="AD22" s="425"/>
      <c r="AE22" s="1259"/>
      <c r="AF22" s="424"/>
      <c r="AG22" s="425"/>
      <c r="AH22" s="1259"/>
    </row>
    <row r="23" spans="1:34" outlineLevel="1">
      <c r="A23" s="308"/>
      <c r="B23" s="308"/>
      <c r="C23" s="308"/>
      <c r="E23" s="3622"/>
      <c r="F23" s="240" t="s">
        <v>615</v>
      </c>
      <c r="G23" s="514"/>
      <c r="H23" s="513"/>
      <c r="I23" s="513"/>
      <c r="J23" s="513"/>
      <c r="K23" s="515"/>
      <c r="L23" s="483"/>
      <c r="M23" s="531"/>
      <c r="N23" s="531"/>
      <c r="O23" s="531"/>
      <c r="P23" s="532"/>
      <c r="Q23" s="1218"/>
      <c r="R23" s="401">
        <f>SUM(R20:R22)</f>
        <v>0</v>
      </c>
      <c r="S23" s="402">
        <f>SUM(S20:S22)</f>
        <v>0</v>
      </c>
      <c r="T23" s="402">
        <f>SUM(T20:T22)</f>
        <v>0</v>
      </c>
      <c r="U23" s="402">
        <f>SUM(U20:U22)</f>
        <v>0</v>
      </c>
      <c r="V23" s="505">
        <f>SUM(V20:V22)</f>
        <v>0</v>
      </c>
      <c r="W23" s="1275"/>
      <c r="AA23" s="517"/>
      <c r="AB23" s="518"/>
      <c r="AC23" s="518"/>
      <c r="AD23" s="518"/>
      <c r="AE23" s="519"/>
      <c r="AF23" s="569"/>
      <c r="AG23" s="570"/>
      <c r="AH23" s="608"/>
    </row>
    <row r="24" spans="1:34" outlineLevel="1">
      <c r="A24" s="308"/>
      <c r="B24" s="308"/>
      <c r="C24" s="308"/>
      <c r="E24" s="3622"/>
      <c r="F24" s="237" t="s">
        <v>619</v>
      </c>
      <c r="G24" s="514"/>
      <c r="H24" s="513"/>
      <c r="I24" s="513"/>
      <c r="J24" s="513"/>
      <c r="K24" s="515"/>
      <c r="L24" s="483"/>
      <c r="M24" s="531"/>
      <c r="N24" s="531"/>
      <c r="O24" s="531"/>
      <c r="P24" s="532"/>
      <c r="Q24" s="1218"/>
      <c r="R24" s="636"/>
      <c r="S24" s="532"/>
      <c r="T24" s="532"/>
      <c r="U24" s="532"/>
      <c r="V24" s="579"/>
      <c r="W24" s="1275"/>
      <c r="AA24" s="517"/>
      <c r="AB24" s="518"/>
      <c r="AC24" s="518"/>
      <c r="AD24" s="518"/>
      <c r="AE24" s="519"/>
      <c r="AF24" s="569"/>
      <c r="AG24" s="570"/>
      <c r="AH24" s="608"/>
    </row>
    <row r="25" spans="1:34" outlineLevel="1">
      <c r="A25" s="308"/>
      <c r="B25" s="308"/>
      <c r="C25" s="308"/>
      <c r="E25" s="3622"/>
      <c r="F25" s="237" t="s">
        <v>617</v>
      </c>
      <c r="G25" s="514"/>
      <c r="H25" s="513"/>
      <c r="I25" s="513"/>
      <c r="J25" s="513"/>
      <c r="K25" s="515"/>
      <c r="L25" s="514"/>
      <c r="M25" s="513"/>
      <c r="N25" s="513"/>
      <c r="O25" s="513"/>
      <c r="P25" s="530"/>
      <c r="Q25" s="1218"/>
      <c r="R25" s="1279"/>
      <c r="S25" s="530"/>
      <c r="T25" s="530"/>
      <c r="U25" s="530"/>
      <c r="V25" s="578"/>
      <c r="W25" s="1275"/>
      <c r="AA25" s="517"/>
      <c r="AB25" s="518"/>
      <c r="AC25" s="518"/>
      <c r="AD25" s="518"/>
      <c r="AE25" s="519"/>
      <c r="AF25" s="517"/>
      <c r="AG25" s="518"/>
      <c r="AH25" s="519"/>
    </row>
    <row r="26" spans="1:34" outlineLevel="1">
      <c r="A26" s="308"/>
      <c r="B26" s="308"/>
      <c r="C26" s="308"/>
      <c r="E26" s="3622"/>
      <c r="F26" s="240" t="s">
        <v>620</v>
      </c>
      <c r="G26" s="401">
        <f>SUM(G23:G25)</f>
        <v>0</v>
      </c>
      <c r="H26" s="402">
        <f t="shared" ref="H26:V26" si="0">SUM(H23:H25)</f>
        <v>0</v>
      </c>
      <c r="I26" s="402">
        <f t="shared" si="0"/>
        <v>0</v>
      </c>
      <c r="J26" s="402">
        <f t="shared" si="0"/>
        <v>0</v>
      </c>
      <c r="K26" s="505">
        <f t="shared" si="0"/>
        <v>0</v>
      </c>
      <c r="L26" s="401">
        <f t="shared" si="0"/>
        <v>0</v>
      </c>
      <c r="M26" s="402">
        <f t="shared" si="0"/>
        <v>0</v>
      </c>
      <c r="N26" s="402">
        <f t="shared" si="0"/>
        <v>0</v>
      </c>
      <c r="O26" s="402">
        <f t="shared" si="0"/>
        <v>0</v>
      </c>
      <c r="P26" s="402">
        <f t="shared" si="0"/>
        <v>0</v>
      </c>
      <c r="Q26" s="1269">
        <f t="shared" si="0"/>
        <v>0</v>
      </c>
      <c r="R26" s="401">
        <f t="shared" si="0"/>
        <v>0</v>
      </c>
      <c r="S26" s="402">
        <f t="shared" si="0"/>
        <v>0</v>
      </c>
      <c r="T26" s="402">
        <f t="shared" si="0"/>
        <v>0</v>
      </c>
      <c r="U26" s="402">
        <f t="shared" si="0"/>
        <v>0</v>
      </c>
      <c r="V26" s="505">
        <f t="shared" si="0"/>
        <v>0</v>
      </c>
      <c r="W26" s="1275"/>
      <c r="AA26" s="401">
        <f>SUM(AA23:AA25)</f>
        <v>0</v>
      </c>
      <c r="AB26" s="402">
        <f t="shared" ref="AB26:AH26" si="1">SUM(AB23:AB25)</f>
        <v>0</v>
      </c>
      <c r="AC26" s="402">
        <f t="shared" si="1"/>
        <v>0</v>
      </c>
      <c r="AD26" s="402">
        <f t="shared" si="1"/>
        <v>0</v>
      </c>
      <c r="AE26" s="505">
        <f t="shared" si="1"/>
        <v>0</v>
      </c>
      <c r="AF26" s="401">
        <f t="shared" si="1"/>
        <v>0</v>
      </c>
      <c r="AG26" s="402">
        <f t="shared" si="1"/>
        <v>0</v>
      </c>
      <c r="AH26" s="505">
        <f t="shared" si="1"/>
        <v>0</v>
      </c>
    </row>
    <row r="27" spans="1:34" outlineLevel="1">
      <c r="A27" s="308"/>
      <c r="B27" s="308"/>
      <c r="C27" s="308"/>
      <c r="E27" s="3622"/>
      <c r="F27" s="237" t="s">
        <v>35</v>
      </c>
      <c r="G27" s="514"/>
      <c r="H27" s="513"/>
      <c r="I27" s="513"/>
      <c r="J27" s="513"/>
      <c r="K27" s="515"/>
      <c r="L27" s="514"/>
      <c r="M27" s="513"/>
      <c r="N27" s="513"/>
      <c r="O27" s="513"/>
      <c r="P27" s="513"/>
      <c r="Q27" s="1218"/>
      <c r="R27" s="514"/>
      <c r="S27" s="513"/>
      <c r="T27" s="513"/>
      <c r="U27" s="513"/>
      <c r="V27" s="515"/>
      <c r="W27" s="1275"/>
      <c r="AA27" s="517"/>
      <c r="AB27" s="518"/>
      <c r="AC27" s="518"/>
      <c r="AD27" s="518"/>
      <c r="AE27" s="519"/>
      <c r="AF27" s="517"/>
      <c r="AG27" s="518"/>
      <c r="AH27" s="519"/>
    </row>
    <row r="28" spans="1:34" ht="13.5" outlineLevel="1" thickBot="1">
      <c r="A28" s="308"/>
      <c r="B28" s="308"/>
      <c r="C28" s="308"/>
      <c r="E28" s="3623"/>
      <c r="F28" s="406" t="s">
        <v>621</v>
      </c>
      <c r="G28" s="1710">
        <f>G26-G27</f>
        <v>0</v>
      </c>
      <c r="H28" s="405">
        <f>H26-H27</f>
        <v>0</v>
      </c>
      <c r="I28" s="405">
        <f>I26-I27</f>
        <v>0</v>
      </c>
      <c r="J28" s="405">
        <f>J26-J27</f>
        <v>0</v>
      </c>
      <c r="K28" s="560">
        <f>K26-K27</f>
        <v>0</v>
      </c>
      <c r="L28" s="1710">
        <f t="shared" ref="L28:V28" si="2">L26-L27</f>
        <v>0</v>
      </c>
      <c r="M28" s="405">
        <f t="shared" si="2"/>
        <v>0</v>
      </c>
      <c r="N28" s="405">
        <f t="shared" ref="N28" si="3">N26-N27</f>
        <v>0</v>
      </c>
      <c r="O28" s="405">
        <f t="shared" si="2"/>
        <v>0</v>
      </c>
      <c r="P28" s="405">
        <f t="shared" si="2"/>
        <v>0</v>
      </c>
      <c r="Q28" s="1270">
        <f t="shared" si="2"/>
        <v>0</v>
      </c>
      <c r="R28" s="1710">
        <f>R26-R27</f>
        <v>0</v>
      </c>
      <c r="S28" s="405">
        <f t="shared" si="2"/>
        <v>0</v>
      </c>
      <c r="T28" s="405">
        <f t="shared" si="2"/>
        <v>0</v>
      </c>
      <c r="U28" s="405">
        <f t="shared" si="2"/>
        <v>0</v>
      </c>
      <c r="V28" s="560">
        <f t="shared" si="2"/>
        <v>0</v>
      </c>
      <c r="W28" s="1276"/>
      <c r="AA28" s="1710">
        <f>AA26-AA27</f>
        <v>0</v>
      </c>
      <c r="AB28" s="405">
        <f>AB26-AB27</f>
        <v>0</v>
      </c>
      <c r="AC28" s="405">
        <f>AC26-AC27</f>
        <v>0</v>
      </c>
      <c r="AD28" s="405">
        <f>AD26-AD27</f>
        <v>0</v>
      </c>
      <c r="AE28" s="560">
        <f>AE26-AE27</f>
        <v>0</v>
      </c>
      <c r="AF28" s="1710">
        <f t="shared" ref="AF28:AH28" si="4">AF26-AF27</f>
        <v>0</v>
      </c>
      <c r="AG28" s="405">
        <f t="shared" si="4"/>
        <v>0</v>
      </c>
      <c r="AH28" s="560">
        <f t="shared" si="4"/>
        <v>0</v>
      </c>
    </row>
    <row r="29" spans="1:34" outlineLevel="1">
      <c r="A29" s="308"/>
      <c r="B29" s="308"/>
      <c r="C29" s="308"/>
      <c r="E29" s="3621" t="s">
        <v>290</v>
      </c>
      <c r="F29" s="399" t="s">
        <v>595</v>
      </c>
      <c r="G29" s="424"/>
      <c r="H29" s="425"/>
      <c r="I29" s="425"/>
      <c r="J29" s="425"/>
      <c r="K29" s="1259"/>
      <c r="L29" s="424"/>
      <c r="M29" s="425"/>
      <c r="N29" s="425"/>
      <c r="O29" s="425"/>
      <c r="P29" s="425"/>
      <c r="Q29" s="425"/>
      <c r="R29" s="514"/>
      <c r="S29" s="513"/>
      <c r="T29" s="513"/>
      <c r="U29" s="513"/>
      <c r="V29" s="515"/>
      <c r="W29" s="1274"/>
      <c r="AA29" s="424"/>
      <c r="AB29" s="425"/>
      <c r="AC29" s="425"/>
      <c r="AD29" s="425"/>
      <c r="AE29" s="1259"/>
      <c r="AF29" s="424"/>
      <c r="AG29" s="425"/>
      <c r="AH29" s="1259"/>
    </row>
    <row r="30" spans="1:34" outlineLevel="1">
      <c r="A30" s="308"/>
      <c r="B30" s="308"/>
      <c r="C30" s="308"/>
      <c r="E30" s="3622"/>
      <c r="F30" s="237" t="s">
        <v>594</v>
      </c>
      <c r="G30" s="424"/>
      <c r="H30" s="425"/>
      <c r="I30" s="425"/>
      <c r="J30" s="425"/>
      <c r="K30" s="1259"/>
      <c r="L30" s="424"/>
      <c r="M30" s="425"/>
      <c r="N30" s="425"/>
      <c r="O30" s="425"/>
      <c r="P30" s="425"/>
      <c r="Q30" s="425"/>
      <c r="R30" s="514"/>
      <c r="S30" s="513"/>
      <c r="T30" s="513"/>
      <c r="U30" s="513"/>
      <c r="V30" s="515"/>
      <c r="W30" s="1275"/>
      <c r="AA30" s="424"/>
      <c r="AB30" s="425"/>
      <c r="AC30" s="425"/>
      <c r="AD30" s="425"/>
      <c r="AE30" s="1259"/>
      <c r="AF30" s="424"/>
      <c r="AG30" s="425"/>
      <c r="AH30" s="1259"/>
    </row>
    <row r="31" spans="1:34" outlineLevel="1">
      <c r="A31" s="308"/>
      <c r="B31" s="308"/>
      <c r="C31" s="308"/>
      <c r="E31" s="3622"/>
      <c r="F31" s="237" t="s">
        <v>614</v>
      </c>
      <c r="G31" s="424"/>
      <c r="H31" s="425"/>
      <c r="I31" s="425"/>
      <c r="J31" s="425"/>
      <c r="K31" s="1259"/>
      <c r="L31" s="424"/>
      <c r="M31" s="425"/>
      <c r="N31" s="425"/>
      <c r="O31" s="425"/>
      <c r="P31" s="425"/>
      <c r="Q31" s="425"/>
      <c r="R31" s="514"/>
      <c r="S31" s="513"/>
      <c r="T31" s="513"/>
      <c r="U31" s="513"/>
      <c r="V31" s="515"/>
      <c r="W31" s="1275"/>
      <c r="AA31" s="424"/>
      <c r="AB31" s="425"/>
      <c r="AC31" s="425"/>
      <c r="AD31" s="425"/>
      <c r="AE31" s="1259"/>
      <c r="AF31" s="424"/>
      <c r="AG31" s="425"/>
      <c r="AH31" s="1259"/>
    </row>
    <row r="32" spans="1:34" s="529" customFormat="1" outlineLevel="1">
      <c r="A32" s="308"/>
      <c r="B32" s="308"/>
      <c r="C32" s="308"/>
      <c r="D32" s="308"/>
      <c r="E32" s="3622"/>
      <c r="F32" s="1768" t="s">
        <v>615</v>
      </c>
      <c r="G32" s="514"/>
      <c r="H32" s="513"/>
      <c r="I32" s="513"/>
      <c r="J32" s="513"/>
      <c r="K32" s="515"/>
      <c r="L32" s="483"/>
      <c r="M32" s="531"/>
      <c r="N32" s="531"/>
      <c r="O32" s="531"/>
      <c r="P32" s="532"/>
      <c r="Q32" s="1218"/>
      <c r="R32" s="401">
        <f>SUM(R29:R31)</f>
        <v>0</v>
      </c>
      <c r="S32" s="402">
        <f>SUM(S29:S31)</f>
        <v>0</v>
      </c>
      <c r="T32" s="402">
        <f>SUM(T29:T31)</f>
        <v>0</v>
      </c>
      <c r="U32" s="402">
        <f>SUM(U29:U31)</f>
        <v>0</v>
      </c>
      <c r="V32" s="505">
        <f>SUM(V29:V31)</f>
        <v>0</v>
      </c>
      <c r="W32" s="1275"/>
      <c r="X32" s="1427"/>
      <c r="Y32" s="1427"/>
      <c r="Z32" s="1427"/>
      <c r="AA32" s="517"/>
      <c r="AB32" s="518"/>
      <c r="AC32" s="518"/>
      <c r="AD32" s="518"/>
      <c r="AE32" s="519"/>
      <c r="AF32" s="569"/>
      <c r="AG32" s="570"/>
      <c r="AH32" s="608"/>
    </row>
    <row r="33" spans="1:34" outlineLevel="1">
      <c r="A33" s="308"/>
      <c r="B33" s="308"/>
      <c r="C33" s="308"/>
      <c r="E33" s="3622"/>
      <c r="F33" s="237" t="s">
        <v>619</v>
      </c>
      <c r="G33" s="514"/>
      <c r="H33" s="513"/>
      <c r="I33" s="513"/>
      <c r="J33" s="513"/>
      <c r="K33" s="515"/>
      <c r="L33" s="483"/>
      <c r="M33" s="531"/>
      <c r="N33" s="531"/>
      <c r="O33" s="531"/>
      <c r="P33" s="532"/>
      <c r="Q33" s="1218"/>
      <c r="R33" s="636"/>
      <c r="S33" s="532"/>
      <c r="T33" s="532"/>
      <c r="U33" s="532"/>
      <c r="V33" s="579"/>
      <c r="W33" s="1275"/>
      <c r="AA33" s="517"/>
      <c r="AB33" s="518"/>
      <c r="AC33" s="518"/>
      <c r="AD33" s="518"/>
      <c r="AE33" s="519"/>
      <c r="AF33" s="569"/>
      <c r="AG33" s="570"/>
      <c r="AH33" s="608"/>
    </row>
    <row r="34" spans="1:34" outlineLevel="1">
      <c r="A34" s="308"/>
      <c r="B34" s="308"/>
      <c r="C34" s="308"/>
      <c r="E34" s="3622"/>
      <c r="F34" s="237" t="s">
        <v>617</v>
      </c>
      <c r="G34" s="514"/>
      <c r="H34" s="513"/>
      <c r="I34" s="513"/>
      <c r="J34" s="513"/>
      <c r="K34" s="515"/>
      <c r="L34" s="514"/>
      <c r="M34" s="513"/>
      <c r="N34" s="513"/>
      <c r="O34" s="513"/>
      <c r="P34" s="530"/>
      <c r="Q34" s="1218"/>
      <c r="R34" s="1279"/>
      <c r="S34" s="530"/>
      <c r="T34" s="530"/>
      <c r="U34" s="530"/>
      <c r="V34" s="578"/>
      <c r="W34" s="1275"/>
      <c r="AA34" s="517"/>
      <c r="AB34" s="518"/>
      <c r="AC34" s="518"/>
      <c r="AD34" s="518"/>
      <c r="AE34" s="519"/>
      <c r="AF34" s="517"/>
      <c r="AG34" s="518"/>
      <c r="AH34" s="519"/>
    </row>
    <row r="35" spans="1:34" s="529" customFormat="1" outlineLevel="1">
      <c r="A35" s="308"/>
      <c r="B35" s="308"/>
      <c r="C35" s="308"/>
      <c r="D35" s="308"/>
      <c r="E35" s="3622"/>
      <c r="F35" s="1768" t="s">
        <v>620</v>
      </c>
      <c r="G35" s="401">
        <f>SUM(G32:G34)</f>
        <v>0</v>
      </c>
      <c r="H35" s="402">
        <f t="shared" ref="H35" si="5">SUM(H32:H34)</f>
        <v>0</v>
      </c>
      <c r="I35" s="402">
        <f t="shared" ref="I35" si="6">SUM(I32:I34)</f>
        <v>0</v>
      </c>
      <c r="J35" s="402">
        <f t="shared" ref="J35" si="7">SUM(J32:J34)</f>
        <v>0</v>
      </c>
      <c r="K35" s="505">
        <f t="shared" ref="K35" si="8">SUM(K32:K34)</f>
        <v>0</v>
      </c>
      <c r="L35" s="401">
        <f t="shared" ref="L35" si="9">SUM(L32:L34)</f>
        <v>0</v>
      </c>
      <c r="M35" s="402">
        <f t="shared" ref="M35" si="10">SUM(M32:M34)</f>
        <v>0</v>
      </c>
      <c r="N35" s="402">
        <f t="shared" ref="N35" si="11">SUM(N32:N34)</f>
        <v>0</v>
      </c>
      <c r="O35" s="402">
        <f t="shared" ref="O35" si="12">SUM(O32:O34)</f>
        <v>0</v>
      </c>
      <c r="P35" s="402">
        <f t="shared" ref="P35" si="13">SUM(P32:P34)</f>
        <v>0</v>
      </c>
      <c r="Q35" s="1269">
        <f t="shared" ref="Q35" si="14">SUM(Q32:Q34)</f>
        <v>0</v>
      </c>
      <c r="R35" s="401">
        <f t="shared" ref="R35" si="15">SUM(R32:R34)</f>
        <v>0</v>
      </c>
      <c r="S35" s="402">
        <f t="shared" ref="S35" si="16">SUM(S32:S34)</f>
        <v>0</v>
      </c>
      <c r="T35" s="402">
        <f t="shared" ref="T35" si="17">SUM(T32:T34)</f>
        <v>0</v>
      </c>
      <c r="U35" s="402">
        <f t="shared" ref="U35" si="18">SUM(U32:U34)</f>
        <v>0</v>
      </c>
      <c r="V35" s="505">
        <f t="shared" ref="V35" si="19">SUM(V32:V34)</f>
        <v>0</v>
      </c>
      <c r="W35" s="1275"/>
      <c r="X35" s="1427"/>
      <c r="Y35" s="1427"/>
      <c r="Z35" s="1427"/>
      <c r="AA35" s="401">
        <f>SUM(AA32:AA34)</f>
        <v>0</v>
      </c>
      <c r="AB35" s="402">
        <f t="shared" ref="AB35:AH35" si="20">SUM(AB32:AB34)</f>
        <v>0</v>
      </c>
      <c r="AC35" s="402">
        <f t="shared" si="20"/>
        <v>0</v>
      </c>
      <c r="AD35" s="402">
        <f t="shared" si="20"/>
        <v>0</v>
      </c>
      <c r="AE35" s="505">
        <f t="shared" si="20"/>
        <v>0</v>
      </c>
      <c r="AF35" s="401">
        <f t="shared" si="20"/>
        <v>0</v>
      </c>
      <c r="AG35" s="402">
        <f t="shared" si="20"/>
        <v>0</v>
      </c>
      <c r="AH35" s="505">
        <f t="shared" si="20"/>
        <v>0</v>
      </c>
    </row>
    <row r="36" spans="1:34" outlineLevel="1">
      <c r="A36" s="308"/>
      <c r="B36" s="308"/>
      <c r="C36" s="308"/>
      <c r="E36" s="3622"/>
      <c r="F36" s="237" t="s">
        <v>35</v>
      </c>
      <c r="G36" s="514"/>
      <c r="H36" s="513"/>
      <c r="I36" s="513"/>
      <c r="J36" s="513"/>
      <c r="K36" s="515"/>
      <c r="L36" s="514"/>
      <c r="M36" s="513"/>
      <c r="N36" s="513"/>
      <c r="O36" s="513"/>
      <c r="P36" s="513"/>
      <c r="Q36" s="1218"/>
      <c r="R36" s="514"/>
      <c r="S36" s="513"/>
      <c r="T36" s="513"/>
      <c r="U36" s="513"/>
      <c r="V36" s="515"/>
      <c r="W36" s="1275"/>
      <c r="AA36" s="517"/>
      <c r="AB36" s="518"/>
      <c r="AC36" s="518"/>
      <c r="AD36" s="518"/>
      <c r="AE36" s="519"/>
      <c r="AF36" s="517"/>
      <c r="AG36" s="518"/>
      <c r="AH36" s="519"/>
    </row>
    <row r="37" spans="1:34" ht="13.5" outlineLevel="1" thickBot="1">
      <c r="A37" s="308"/>
      <c r="B37" s="308"/>
      <c r="C37" s="308"/>
      <c r="E37" s="3623"/>
      <c r="F37" s="406" t="s">
        <v>621</v>
      </c>
      <c r="G37" s="404">
        <f t="shared" ref="G37:V37" si="21">G35-G36</f>
        <v>0</v>
      </c>
      <c r="H37" s="405">
        <f t="shared" si="21"/>
        <v>0</v>
      </c>
      <c r="I37" s="405">
        <f t="shared" si="21"/>
        <v>0</v>
      </c>
      <c r="J37" s="405">
        <f t="shared" si="21"/>
        <v>0</v>
      </c>
      <c r="K37" s="560">
        <f t="shared" si="21"/>
        <v>0</v>
      </c>
      <c r="L37" s="404">
        <f t="shared" si="21"/>
        <v>0</v>
      </c>
      <c r="M37" s="405">
        <f t="shared" si="21"/>
        <v>0</v>
      </c>
      <c r="N37" s="405">
        <f t="shared" ref="N37" si="22">N35-N36</f>
        <v>0</v>
      </c>
      <c r="O37" s="405">
        <f t="shared" si="21"/>
        <v>0</v>
      </c>
      <c r="P37" s="405">
        <f t="shared" si="21"/>
        <v>0</v>
      </c>
      <c r="Q37" s="1270">
        <f t="shared" si="21"/>
        <v>0</v>
      </c>
      <c r="R37" s="404">
        <f t="shared" si="21"/>
        <v>0</v>
      </c>
      <c r="S37" s="405">
        <f t="shared" si="21"/>
        <v>0</v>
      </c>
      <c r="T37" s="405">
        <f t="shared" si="21"/>
        <v>0</v>
      </c>
      <c r="U37" s="405">
        <f t="shared" si="21"/>
        <v>0</v>
      </c>
      <c r="V37" s="560">
        <f t="shared" si="21"/>
        <v>0</v>
      </c>
      <c r="W37" s="1276"/>
      <c r="AA37" s="1710">
        <f t="shared" ref="AA37:AH37" si="23">AA35-AA36</f>
        <v>0</v>
      </c>
      <c r="AB37" s="405">
        <f t="shared" si="23"/>
        <v>0</v>
      </c>
      <c r="AC37" s="405">
        <f t="shared" si="23"/>
        <v>0</v>
      </c>
      <c r="AD37" s="405">
        <f t="shared" si="23"/>
        <v>0</v>
      </c>
      <c r="AE37" s="560">
        <f t="shared" si="23"/>
        <v>0</v>
      </c>
      <c r="AF37" s="1710">
        <f t="shared" si="23"/>
        <v>0</v>
      </c>
      <c r="AG37" s="405">
        <f t="shared" si="23"/>
        <v>0</v>
      </c>
      <c r="AH37" s="560">
        <f t="shared" si="23"/>
        <v>0</v>
      </c>
    </row>
    <row r="38" spans="1:34" outlineLevel="1">
      <c r="A38" s="308"/>
      <c r="B38" s="308"/>
      <c r="C38" s="308"/>
      <c r="E38" s="3621" t="s">
        <v>290</v>
      </c>
      <c r="F38" s="399" t="s">
        <v>595</v>
      </c>
      <c r="G38" s="424"/>
      <c r="H38" s="425"/>
      <c r="I38" s="425"/>
      <c r="J38" s="425"/>
      <c r="K38" s="1259"/>
      <c r="L38" s="424"/>
      <c r="M38" s="425"/>
      <c r="N38" s="425"/>
      <c r="O38" s="425"/>
      <c r="P38" s="425"/>
      <c r="Q38" s="425"/>
      <c r="R38" s="514"/>
      <c r="S38" s="513"/>
      <c r="T38" s="513"/>
      <c r="U38" s="513"/>
      <c r="V38" s="515"/>
      <c r="W38" s="1274"/>
      <c r="AA38" s="424"/>
      <c r="AB38" s="425"/>
      <c r="AC38" s="425"/>
      <c r="AD38" s="425"/>
      <c r="AE38" s="1259"/>
      <c r="AF38" s="424"/>
      <c r="AG38" s="425"/>
      <c r="AH38" s="1259"/>
    </row>
    <row r="39" spans="1:34" outlineLevel="1">
      <c r="A39" s="308"/>
      <c r="B39" s="308"/>
      <c r="C39" s="308"/>
      <c r="E39" s="3622"/>
      <c r="F39" s="237" t="s">
        <v>594</v>
      </c>
      <c r="G39" s="424"/>
      <c r="H39" s="425"/>
      <c r="I39" s="425"/>
      <c r="J39" s="425"/>
      <c r="K39" s="1259"/>
      <c r="L39" s="424"/>
      <c r="M39" s="425"/>
      <c r="N39" s="425"/>
      <c r="O39" s="425"/>
      <c r="P39" s="425"/>
      <c r="Q39" s="425"/>
      <c r="R39" s="514"/>
      <c r="S39" s="513"/>
      <c r="T39" s="513"/>
      <c r="U39" s="513"/>
      <c r="V39" s="515"/>
      <c r="W39" s="1275"/>
      <c r="AA39" s="424"/>
      <c r="AB39" s="425"/>
      <c r="AC39" s="425"/>
      <c r="AD39" s="425"/>
      <c r="AE39" s="1259"/>
      <c r="AF39" s="424"/>
      <c r="AG39" s="425"/>
      <c r="AH39" s="1259"/>
    </row>
    <row r="40" spans="1:34" outlineLevel="1">
      <c r="A40" s="308"/>
      <c r="B40" s="308"/>
      <c r="C40" s="308"/>
      <c r="E40" s="3622"/>
      <c r="F40" s="237" t="s">
        <v>614</v>
      </c>
      <c r="G40" s="424"/>
      <c r="H40" s="425"/>
      <c r="I40" s="425"/>
      <c r="J40" s="425"/>
      <c r="K40" s="1259"/>
      <c r="L40" s="424"/>
      <c r="M40" s="425"/>
      <c r="N40" s="425"/>
      <c r="O40" s="425"/>
      <c r="P40" s="425"/>
      <c r="Q40" s="425"/>
      <c r="R40" s="514"/>
      <c r="S40" s="513"/>
      <c r="T40" s="513"/>
      <c r="U40" s="513"/>
      <c r="V40" s="515"/>
      <c r="W40" s="1275"/>
      <c r="AA40" s="424"/>
      <c r="AB40" s="425"/>
      <c r="AC40" s="425"/>
      <c r="AD40" s="425"/>
      <c r="AE40" s="1259"/>
      <c r="AF40" s="424"/>
      <c r="AG40" s="425"/>
      <c r="AH40" s="1259"/>
    </row>
    <row r="41" spans="1:34" s="529" customFormat="1" outlineLevel="1">
      <c r="A41" s="308"/>
      <c r="B41" s="308"/>
      <c r="C41" s="308"/>
      <c r="D41" s="308"/>
      <c r="E41" s="3622"/>
      <c r="F41" s="1768" t="s">
        <v>615</v>
      </c>
      <c r="G41" s="514"/>
      <c r="H41" s="513"/>
      <c r="I41" s="513"/>
      <c r="J41" s="513"/>
      <c r="K41" s="515"/>
      <c r="L41" s="483"/>
      <c r="M41" s="531"/>
      <c r="N41" s="531"/>
      <c r="O41" s="531"/>
      <c r="P41" s="532"/>
      <c r="Q41" s="1218"/>
      <c r="R41" s="401">
        <f>SUM(R38:R40)</f>
        <v>0</v>
      </c>
      <c r="S41" s="402">
        <f>SUM(S38:S40)</f>
        <v>0</v>
      </c>
      <c r="T41" s="402">
        <f>SUM(T38:T40)</f>
        <v>0</v>
      </c>
      <c r="U41" s="402">
        <f>SUM(U38:U40)</f>
        <v>0</v>
      </c>
      <c r="V41" s="505">
        <f>SUM(V38:V40)</f>
        <v>0</v>
      </c>
      <c r="W41" s="1275"/>
      <c r="X41" s="1427"/>
      <c r="Y41" s="1427"/>
      <c r="Z41" s="1427"/>
      <c r="AA41" s="517"/>
      <c r="AB41" s="518"/>
      <c r="AC41" s="518"/>
      <c r="AD41" s="518"/>
      <c r="AE41" s="519"/>
      <c r="AF41" s="569"/>
      <c r="AG41" s="570"/>
      <c r="AH41" s="608"/>
    </row>
    <row r="42" spans="1:34" outlineLevel="1">
      <c r="A42" s="308"/>
      <c r="B42" s="308"/>
      <c r="C42" s="308"/>
      <c r="E42" s="3622"/>
      <c r="F42" s="237" t="s">
        <v>619</v>
      </c>
      <c r="G42" s="514"/>
      <c r="H42" s="513"/>
      <c r="I42" s="513"/>
      <c r="J42" s="513"/>
      <c r="K42" s="515"/>
      <c r="L42" s="483"/>
      <c r="M42" s="531"/>
      <c r="N42" s="531"/>
      <c r="O42" s="531"/>
      <c r="P42" s="532"/>
      <c r="Q42" s="1218"/>
      <c r="R42" s="636"/>
      <c r="S42" s="532"/>
      <c r="T42" s="532"/>
      <c r="U42" s="532"/>
      <c r="V42" s="579"/>
      <c r="W42" s="1275"/>
      <c r="AA42" s="517"/>
      <c r="AB42" s="518"/>
      <c r="AC42" s="518"/>
      <c r="AD42" s="518"/>
      <c r="AE42" s="519"/>
      <c r="AF42" s="569"/>
      <c r="AG42" s="570"/>
      <c r="AH42" s="608"/>
    </row>
    <row r="43" spans="1:34" outlineLevel="1">
      <c r="A43" s="308"/>
      <c r="B43" s="308"/>
      <c r="C43" s="308"/>
      <c r="E43" s="3622"/>
      <c r="F43" s="237" t="s">
        <v>617</v>
      </c>
      <c r="G43" s="514"/>
      <c r="H43" s="513"/>
      <c r="I43" s="513"/>
      <c r="J43" s="513"/>
      <c r="K43" s="515"/>
      <c r="L43" s="514"/>
      <c r="M43" s="513"/>
      <c r="N43" s="513"/>
      <c r="O43" s="513"/>
      <c r="P43" s="530"/>
      <c r="Q43" s="1218"/>
      <c r="R43" s="1279"/>
      <c r="S43" s="530"/>
      <c r="T43" s="530"/>
      <c r="U43" s="530"/>
      <c r="V43" s="578"/>
      <c r="W43" s="1275"/>
      <c r="AA43" s="517"/>
      <c r="AB43" s="518"/>
      <c r="AC43" s="518"/>
      <c r="AD43" s="518"/>
      <c r="AE43" s="519"/>
      <c r="AF43" s="517"/>
      <c r="AG43" s="518"/>
      <c r="AH43" s="519"/>
    </row>
    <row r="44" spans="1:34" s="529" customFormat="1" outlineLevel="1">
      <c r="A44" s="308"/>
      <c r="B44" s="308"/>
      <c r="C44" s="308"/>
      <c r="D44" s="308"/>
      <c r="E44" s="3622"/>
      <c r="F44" s="1768" t="s">
        <v>620</v>
      </c>
      <c r="G44" s="401">
        <f>SUM(G41:G43)</f>
        <v>0</v>
      </c>
      <c r="H44" s="402">
        <f t="shared" ref="H44" si="24">SUM(H41:H43)</f>
        <v>0</v>
      </c>
      <c r="I44" s="402">
        <f t="shared" ref="I44" si="25">SUM(I41:I43)</f>
        <v>0</v>
      </c>
      <c r="J44" s="402">
        <f t="shared" ref="J44" si="26">SUM(J41:J43)</f>
        <v>0</v>
      </c>
      <c r="K44" s="505">
        <f t="shared" ref="K44" si="27">SUM(K41:K43)</f>
        <v>0</v>
      </c>
      <c r="L44" s="401">
        <f t="shared" ref="L44" si="28">SUM(L41:L43)</f>
        <v>0</v>
      </c>
      <c r="M44" s="402">
        <f t="shared" ref="M44" si="29">SUM(M41:M43)</f>
        <v>0</v>
      </c>
      <c r="N44" s="402">
        <f t="shared" ref="N44" si="30">SUM(N41:N43)</f>
        <v>0</v>
      </c>
      <c r="O44" s="402">
        <f t="shared" ref="O44" si="31">SUM(O41:O43)</f>
        <v>0</v>
      </c>
      <c r="P44" s="402">
        <f t="shared" ref="P44" si="32">SUM(P41:P43)</f>
        <v>0</v>
      </c>
      <c r="Q44" s="1269">
        <f t="shared" ref="Q44" si="33">SUM(Q41:Q43)</f>
        <v>0</v>
      </c>
      <c r="R44" s="401">
        <f t="shared" ref="R44" si="34">SUM(R41:R43)</f>
        <v>0</v>
      </c>
      <c r="S44" s="402">
        <f t="shared" ref="S44" si="35">SUM(S41:S43)</f>
        <v>0</v>
      </c>
      <c r="T44" s="402">
        <f t="shared" ref="T44" si="36">SUM(T41:T43)</f>
        <v>0</v>
      </c>
      <c r="U44" s="402">
        <f t="shared" ref="U44" si="37">SUM(U41:U43)</f>
        <v>0</v>
      </c>
      <c r="V44" s="505">
        <f t="shared" ref="V44" si="38">SUM(V41:V43)</f>
        <v>0</v>
      </c>
      <c r="W44" s="1275"/>
      <c r="X44" s="1427"/>
      <c r="Y44" s="1427"/>
      <c r="Z44" s="1427"/>
      <c r="AA44" s="401">
        <f>SUM(AA41:AA43)</f>
        <v>0</v>
      </c>
      <c r="AB44" s="402">
        <f t="shared" ref="AB44:AH44" si="39">SUM(AB41:AB43)</f>
        <v>0</v>
      </c>
      <c r="AC44" s="402">
        <f t="shared" si="39"/>
        <v>0</v>
      </c>
      <c r="AD44" s="402">
        <f t="shared" si="39"/>
        <v>0</v>
      </c>
      <c r="AE44" s="505">
        <f t="shared" si="39"/>
        <v>0</v>
      </c>
      <c r="AF44" s="401">
        <f t="shared" si="39"/>
        <v>0</v>
      </c>
      <c r="AG44" s="402">
        <f t="shared" si="39"/>
        <v>0</v>
      </c>
      <c r="AH44" s="505">
        <f t="shared" si="39"/>
        <v>0</v>
      </c>
    </row>
    <row r="45" spans="1:34" outlineLevel="1">
      <c r="A45" s="308"/>
      <c r="B45" s="308"/>
      <c r="C45" s="308"/>
      <c r="E45" s="3622"/>
      <c r="F45" s="237" t="s">
        <v>35</v>
      </c>
      <c r="G45" s="514"/>
      <c r="H45" s="513"/>
      <c r="I45" s="513"/>
      <c r="J45" s="513"/>
      <c r="K45" s="515"/>
      <c r="L45" s="514"/>
      <c r="M45" s="513"/>
      <c r="N45" s="513"/>
      <c r="O45" s="513"/>
      <c r="P45" s="513"/>
      <c r="Q45" s="1218"/>
      <c r="R45" s="514"/>
      <c r="S45" s="513"/>
      <c r="T45" s="513"/>
      <c r="U45" s="513"/>
      <c r="V45" s="515"/>
      <c r="W45" s="1275"/>
      <c r="AA45" s="517"/>
      <c r="AB45" s="518"/>
      <c r="AC45" s="518"/>
      <c r="AD45" s="518"/>
      <c r="AE45" s="519"/>
      <c r="AF45" s="517"/>
      <c r="AG45" s="518"/>
      <c r="AH45" s="519"/>
    </row>
    <row r="46" spans="1:34" ht="13.5" outlineLevel="1" thickBot="1">
      <c r="A46" s="308"/>
      <c r="B46" s="308"/>
      <c r="C46" s="308"/>
      <c r="E46" s="3623"/>
      <c r="F46" s="406" t="s">
        <v>621</v>
      </c>
      <c r="G46" s="404">
        <f t="shared" ref="G46:V46" si="40">G44-G45</f>
        <v>0</v>
      </c>
      <c r="H46" s="405">
        <f t="shared" si="40"/>
        <v>0</v>
      </c>
      <c r="I46" s="405">
        <f t="shared" si="40"/>
        <v>0</v>
      </c>
      <c r="J46" s="405">
        <f t="shared" si="40"/>
        <v>0</v>
      </c>
      <c r="K46" s="560">
        <f t="shared" si="40"/>
        <v>0</v>
      </c>
      <c r="L46" s="404">
        <f t="shared" si="40"/>
        <v>0</v>
      </c>
      <c r="M46" s="405">
        <f t="shared" si="40"/>
        <v>0</v>
      </c>
      <c r="N46" s="405">
        <f t="shared" ref="N46" si="41">N44-N45</f>
        <v>0</v>
      </c>
      <c r="O46" s="405">
        <f t="shared" si="40"/>
        <v>0</v>
      </c>
      <c r="P46" s="405">
        <f t="shared" si="40"/>
        <v>0</v>
      </c>
      <c r="Q46" s="1270">
        <f t="shared" si="40"/>
        <v>0</v>
      </c>
      <c r="R46" s="404">
        <f t="shared" si="40"/>
        <v>0</v>
      </c>
      <c r="S46" s="405">
        <f t="shared" si="40"/>
        <v>0</v>
      </c>
      <c r="T46" s="405">
        <f t="shared" si="40"/>
        <v>0</v>
      </c>
      <c r="U46" s="405">
        <f t="shared" si="40"/>
        <v>0</v>
      </c>
      <c r="V46" s="560">
        <f t="shared" si="40"/>
        <v>0</v>
      </c>
      <c r="W46" s="1276"/>
      <c r="AA46" s="1710">
        <f t="shared" ref="AA46:AH46" si="42">AA44-AA45</f>
        <v>0</v>
      </c>
      <c r="AB46" s="405">
        <f t="shared" si="42"/>
        <v>0</v>
      </c>
      <c r="AC46" s="405">
        <f t="shared" si="42"/>
        <v>0</v>
      </c>
      <c r="AD46" s="405">
        <f t="shared" si="42"/>
        <v>0</v>
      </c>
      <c r="AE46" s="560">
        <f t="shared" si="42"/>
        <v>0</v>
      </c>
      <c r="AF46" s="1710">
        <f t="shared" si="42"/>
        <v>0</v>
      </c>
      <c r="AG46" s="405">
        <f t="shared" si="42"/>
        <v>0</v>
      </c>
      <c r="AH46" s="560">
        <f t="shared" si="42"/>
        <v>0</v>
      </c>
    </row>
    <row r="47" spans="1:34" outlineLevel="1">
      <c r="A47" s="308"/>
      <c r="B47" s="308"/>
      <c r="C47" s="308"/>
      <c r="E47" s="3621" t="s">
        <v>290</v>
      </c>
      <c r="F47" s="399" t="s">
        <v>595</v>
      </c>
      <c r="G47" s="424"/>
      <c r="H47" s="425"/>
      <c r="I47" s="425"/>
      <c r="J47" s="425"/>
      <c r="K47" s="1259"/>
      <c r="L47" s="424"/>
      <c r="M47" s="425"/>
      <c r="N47" s="425"/>
      <c r="O47" s="425"/>
      <c r="P47" s="425"/>
      <c r="Q47" s="425"/>
      <c r="R47" s="514"/>
      <c r="S47" s="513"/>
      <c r="T47" s="513"/>
      <c r="U47" s="513"/>
      <c r="V47" s="515"/>
      <c r="W47" s="1274"/>
      <c r="AA47" s="424"/>
      <c r="AB47" s="425"/>
      <c r="AC47" s="425"/>
      <c r="AD47" s="425"/>
      <c r="AE47" s="1259"/>
      <c r="AF47" s="424"/>
      <c r="AG47" s="425"/>
      <c r="AH47" s="1259"/>
    </row>
    <row r="48" spans="1:34" outlineLevel="1">
      <c r="A48" s="308"/>
      <c r="B48" s="308"/>
      <c r="C48" s="308"/>
      <c r="E48" s="3622"/>
      <c r="F48" s="237" t="s">
        <v>594</v>
      </c>
      <c r="G48" s="424"/>
      <c r="H48" s="425"/>
      <c r="I48" s="425"/>
      <c r="J48" s="425"/>
      <c r="K48" s="1259"/>
      <c r="L48" s="424"/>
      <c r="M48" s="425"/>
      <c r="N48" s="425"/>
      <c r="O48" s="425"/>
      <c r="P48" s="425"/>
      <c r="Q48" s="425"/>
      <c r="R48" s="514"/>
      <c r="S48" s="513"/>
      <c r="T48" s="513"/>
      <c r="U48" s="513"/>
      <c r="V48" s="515"/>
      <c r="W48" s="1275"/>
      <c r="AA48" s="424"/>
      <c r="AB48" s="425"/>
      <c r="AC48" s="425"/>
      <c r="AD48" s="425"/>
      <c r="AE48" s="1259"/>
      <c r="AF48" s="424"/>
      <c r="AG48" s="425"/>
      <c r="AH48" s="1259"/>
    </row>
    <row r="49" spans="1:34" outlineLevel="1">
      <c r="A49" s="308"/>
      <c r="B49" s="308"/>
      <c r="C49" s="308"/>
      <c r="E49" s="3622"/>
      <c r="F49" s="237" t="s">
        <v>614</v>
      </c>
      <c r="G49" s="424"/>
      <c r="H49" s="425"/>
      <c r="I49" s="425"/>
      <c r="J49" s="425"/>
      <c r="K49" s="1259"/>
      <c r="L49" s="424"/>
      <c r="M49" s="425"/>
      <c r="N49" s="425"/>
      <c r="O49" s="425"/>
      <c r="P49" s="425"/>
      <c r="Q49" s="425"/>
      <c r="R49" s="514"/>
      <c r="S49" s="513"/>
      <c r="T49" s="513"/>
      <c r="U49" s="513"/>
      <c r="V49" s="515"/>
      <c r="W49" s="1275"/>
      <c r="AA49" s="424"/>
      <c r="AB49" s="425"/>
      <c r="AC49" s="425"/>
      <c r="AD49" s="425"/>
      <c r="AE49" s="1259"/>
      <c r="AF49" s="424"/>
      <c r="AG49" s="425"/>
      <c r="AH49" s="1259"/>
    </row>
    <row r="50" spans="1:34" s="529" customFormat="1" outlineLevel="1">
      <c r="A50" s="308"/>
      <c r="B50" s="308"/>
      <c r="C50" s="308"/>
      <c r="D50" s="308"/>
      <c r="E50" s="3622"/>
      <c r="F50" s="1768" t="s">
        <v>615</v>
      </c>
      <c r="G50" s="514"/>
      <c r="H50" s="513"/>
      <c r="I50" s="513"/>
      <c r="J50" s="513"/>
      <c r="K50" s="515"/>
      <c r="L50" s="483"/>
      <c r="M50" s="531"/>
      <c r="N50" s="531"/>
      <c r="O50" s="531"/>
      <c r="P50" s="532"/>
      <c r="Q50" s="1218"/>
      <c r="R50" s="401">
        <f>SUM(R47:R49)</f>
        <v>0</v>
      </c>
      <c r="S50" s="402">
        <f>SUM(S47:S49)</f>
        <v>0</v>
      </c>
      <c r="T50" s="402">
        <f>SUM(T47:T49)</f>
        <v>0</v>
      </c>
      <c r="U50" s="402">
        <f>SUM(U47:U49)</f>
        <v>0</v>
      </c>
      <c r="V50" s="505">
        <f>SUM(V47:V49)</f>
        <v>0</v>
      </c>
      <c r="W50" s="1275"/>
      <c r="X50" s="1427"/>
      <c r="Y50" s="1427"/>
      <c r="Z50" s="1427"/>
      <c r="AA50" s="517"/>
      <c r="AB50" s="518"/>
      <c r="AC50" s="518"/>
      <c r="AD50" s="518"/>
      <c r="AE50" s="519"/>
      <c r="AF50" s="569"/>
      <c r="AG50" s="570"/>
      <c r="AH50" s="608"/>
    </row>
    <row r="51" spans="1:34" outlineLevel="1">
      <c r="A51" s="308"/>
      <c r="B51" s="308"/>
      <c r="C51" s="308"/>
      <c r="E51" s="3622"/>
      <c r="F51" s="237" t="s">
        <v>619</v>
      </c>
      <c r="G51" s="514"/>
      <c r="H51" s="513"/>
      <c r="I51" s="513"/>
      <c r="J51" s="513"/>
      <c r="K51" s="515"/>
      <c r="L51" s="483"/>
      <c r="M51" s="531"/>
      <c r="N51" s="531"/>
      <c r="O51" s="531"/>
      <c r="P51" s="532"/>
      <c r="Q51" s="1218"/>
      <c r="R51" s="636"/>
      <c r="S51" s="532"/>
      <c r="T51" s="532"/>
      <c r="U51" s="532"/>
      <c r="V51" s="579"/>
      <c r="W51" s="1275"/>
      <c r="AA51" s="517"/>
      <c r="AB51" s="518"/>
      <c r="AC51" s="518"/>
      <c r="AD51" s="518"/>
      <c r="AE51" s="519"/>
      <c r="AF51" s="569"/>
      <c r="AG51" s="570"/>
      <c r="AH51" s="608"/>
    </row>
    <row r="52" spans="1:34" outlineLevel="1">
      <c r="A52" s="308"/>
      <c r="B52" s="308"/>
      <c r="C52" s="308"/>
      <c r="E52" s="3622"/>
      <c r="F52" s="237" t="s">
        <v>617</v>
      </c>
      <c r="G52" s="514"/>
      <c r="H52" s="513"/>
      <c r="I52" s="513"/>
      <c r="J52" s="513"/>
      <c r="K52" s="515"/>
      <c r="L52" s="514"/>
      <c r="M52" s="513"/>
      <c r="N52" s="513"/>
      <c r="O52" s="513"/>
      <c r="P52" s="530"/>
      <c r="Q52" s="1218"/>
      <c r="R52" s="1279"/>
      <c r="S52" s="530"/>
      <c r="T52" s="530"/>
      <c r="U52" s="530"/>
      <c r="V52" s="578"/>
      <c r="W52" s="1275"/>
      <c r="AA52" s="517"/>
      <c r="AB52" s="518"/>
      <c r="AC52" s="518"/>
      <c r="AD52" s="518"/>
      <c r="AE52" s="519"/>
      <c r="AF52" s="517"/>
      <c r="AG52" s="518"/>
      <c r="AH52" s="519"/>
    </row>
    <row r="53" spans="1:34" s="529" customFormat="1" outlineLevel="1">
      <c r="A53" s="308"/>
      <c r="B53" s="308"/>
      <c r="C53" s="308"/>
      <c r="D53" s="308"/>
      <c r="E53" s="3622"/>
      <c r="F53" s="1768" t="s">
        <v>620</v>
      </c>
      <c r="G53" s="401">
        <f>SUM(G50:G52)</f>
        <v>0</v>
      </c>
      <c r="H53" s="402">
        <f t="shared" ref="H53" si="43">SUM(H50:H52)</f>
        <v>0</v>
      </c>
      <c r="I53" s="402">
        <f t="shared" ref="I53" si="44">SUM(I50:I52)</f>
        <v>0</v>
      </c>
      <c r="J53" s="402">
        <f t="shared" ref="J53" si="45">SUM(J50:J52)</f>
        <v>0</v>
      </c>
      <c r="K53" s="505">
        <f t="shared" ref="K53" si="46">SUM(K50:K52)</f>
        <v>0</v>
      </c>
      <c r="L53" s="401">
        <f t="shared" ref="L53" si="47">SUM(L50:L52)</f>
        <v>0</v>
      </c>
      <c r="M53" s="402">
        <f t="shared" ref="M53" si="48">SUM(M50:M52)</f>
        <v>0</v>
      </c>
      <c r="N53" s="402">
        <f t="shared" ref="N53" si="49">SUM(N50:N52)</f>
        <v>0</v>
      </c>
      <c r="O53" s="402">
        <f t="shared" ref="O53" si="50">SUM(O50:O52)</f>
        <v>0</v>
      </c>
      <c r="P53" s="402">
        <f t="shared" ref="P53" si="51">SUM(P50:P52)</f>
        <v>0</v>
      </c>
      <c r="Q53" s="1269">
        <f t="shared" ref="Q53" si="52">SUM(Q50:Q52)</f>
        <v>0</v>
      </c>
      <c r="R53" s="401">
        <f t="shared" ref="R53" si="53">SUM(R50:R52)</f>
        <v>0</v>
      </c>
      <c r="S53" s="402">
        <f t="shared" ref="S53" si="54">SUM(S50:S52)</f>
        <v>0</v>
      </c>
      <c r="T53" s="402">
        <f t="shared" ref="T53" si="55">SUM(T50:T52)</f>
        <v>0</v>
      </c>
      <c r="U53" s="402">
        <f t="shared" ref="U53" si="56">SUM(U50:U52)</f>
        <v>0</v>
      </c>
      <c r="V53" s="505">
        <f t="shared" ref="V53" si="57">SUM(V50:V52)</f>
        <v>0</v>
      </c>
      <c r="W53" s="1275"/>
      <c r="X53" s="1427"/>
      <c r="Y53" s="1427"/>
      <c r="Z53" s="1427"/>
      <c r="AA53" s="401">
        <f>SUM(AA50:AA52)</f>
        <v>0</v>
      </c>
      <c r="AB53" s="402">
        <f t="shared" ref="AB53:AH53" si="58">SUM(AB50:AB52)</f>
        <v>0</v>
      </c>
      <c r="AC53" s="402">
        <f t="shared" si="58"/>
        <v>0</v>
      </c>
      <c r="AD53" s="402">
        <f t="shared" si="58"/>
        <v>0</v>
      </c>
      <c r="AE53" s="505">
        <f t="shared" si="58"/>
        <v>0</v>
      </c>
      <c r="AF53" s="401">
        <f t="shared" si="58"/>
        <v>0</v>
      </c>
      <c r="AG53" s="402">
        <f t="shared" si="58"/>
        <v>0</v>
      </c>
      <c r="AH53" s="505">
        <f t="shared" si="58"/>
        <v>0</v>
      </c>
    </row>
    <row r="54" spans="1:34" outlineLevel="1">
      <c r="A54" s="308"/>
      <c r="B54" s="308"/>
      <c r="C54" s="308"/>
      <c r="E54" s="3622"/>
      <c r="F54" s="237" t="s">
        <v>35</v>
      </c>
      <c r="G54" s="514"/>
      <c r="H54" s="513"/>
      <c r="I54" s="513"/>
      <c r="J54" s="513"/>
      <c r="K54" s="515"/>
      <c r="L54" s="514"/>
      <c r="M54" s="513"/>
      <c r="N54" s="513"/>
      <c r="O54" s="513"/>
      <c r="P54" s="513"/>
      <c r="Q54" s="1218"/>
      <c r="R54" s="514"/>
      <c r="S54" s="513"/>
      <c r="T54" s="513"/>
      <c r="U54" s="513"/>
      <c r="V54" s="515"/>
      <c r="W54" s="1275"/>
      <c r="AA54" s="517"/>
      <c r="AB54" s="518"/>
      <c r="AC54" s="518"/>
      <c r="AD54" s="518"/>
      <c r="AE54" s="519"/>
      <c r="AF54" s="517"/>
      <c r="AG54" s="518"/>
      <c r="AH54" s="519"/>
    </row>
    <row r="55" spans="1:34" ht="13.5" outlineLevel="1" thickBot="1">
      <c r="A55" s="308"/>
      <c r="B55" s="308"/>
      <c r="C55" s="308"/>
      <c r="E55" s="3623"/>
      <c r="F55" s="406" t="s">
        <v>621</v>
      </c>
      <c r="G55" s="404">
        <f t="shared" ref="G55:V55" si="59">G53-G54</f>
        <v>0</v>
      </c>
      <c r="H55" s="405">
        <f t="shared" si="59"/>
        <v>0</v>
      </c>
      <c r="I55" s="405">
        <f t="shared" si="59"/>
        <v>0</v>
      </c>
      <c r="J55" s="405">
        <f t="shared" si="59"/>
        <v>0</v>
      </c>
      <c r="K55" s="560">
        <f t="shared" si="59"/>
        <v>0</v>
      </c>
      <c r="L55" s="404">
        <f t="shared" si="59"/>
        <v>0</v>
      </c>
      <c r="M55" s="405">
        <f t="shared" si="59"/>
        <v>0</v>
      </c>
      <c r="N55" s="405">
        <f t="shared" ref="N55" si="60">N53-N54</f>
        <v>0</v>
      </c>
      <c r="O55" s="405">
        <f t="shared" si="59"/>
        <v>0</v>
      </c>
      <c r="P55" s="405">
        <f t="shared" si="59"/>
        <v>0</v>
      </c>
      <c r="Q55" s="1270">
        <f t="shared" si="59"/>
        <v>0</v>
      </c>
      <c r="R55" s="404">
        <f t="shared" si="59"/>
        <v>0</v>
      </c>
      <c r="S55" s="405">
        <f t="shared" si="59"/>
        <v>0</v>
      </c>
      <c r="T55" s="405">
        <f t="shared" si="59"/>
        <v>0</v>
      </c>
      <c r="U55" s="405">
        <f t="shared" si="59"/>
        <v>0</v>
      </c>
      <c r="V55" s="560">
        <f t="shared" si="59"/>
        <v>0</v>
      </c>
      <c r="W55" s="1276"/>
      <c r="AA55" s="1710">
        <f t="shared" ref="AA55:AH55" si="61">AA53-AA54</f>
        <v>0</v>
      </c>
      <c r="AB55" s="405">
        <f t="shared" si="61"/>
        <v>0</v>
      </c>
      <c r="AC55" s="405">
        <f t="shared" si="61"/>
        <v>0</v>
      </c>
      <c r="AD55" s="405">
        <f t="shared" si="61"/>
        <v>0</v>
      </c>
      <c r="AE55" s="560">
        <f t="shared" si="61"/>
        <v>0</v>
      </c>
      <c r="AF55" s="1710">
        <f t="shared" si="61"/>
        <v>0</v>
      </c>
      <c r="AG55" s="405">
        <f t="shared" si="61"/>
        <v>0</v>
      </c>
      <c r="AH55" s="560">
        <f t="shared" si="61"/>
        <v>0</v>
      </c>
    </row>
    <row r="56" spans="1:34" ht="13.5" outlineLevel="1" thickBot="1">
      <c r="A56" s="308"/>
      <c r="B56" s="308"/>
      <c r="C56" s="308"/>
      <c r="E56" s="1713"/>
      <c r="F56" s="1714"/>
      <c r="G56" s="442"/>
      <c r="H56" s="443"/>
      <c r="I56" s="443"/>
      <c r="J56" s="443"/>
      <c r="K56" s="645"/>
      <c r="L56" s="442"/>
      <c r="M56" s="443"/>
      <c r="N56" s="443"/>
      <c r="O56" s="443"/>
      <c r="P56" s="443"/>
      <c r="Q56" s="421"/>
      <c r="R56" s="442"/>
      <c r="S56" s="443"/>
      <c r="T56" s="443"/>
      <c r="U56" s="443"/>
      <c r="V56" s="645"/>
      <c r="W56" s="1277"/>
      <c r="AA56" s="442"/>
      <c r="AB56" s="443"/>
      <c r="AC56" s="443"/>
      <c r="AD56" s="443"/>
      <c r="AE56" s="645"/>
      <c r="AF56" s="442"/>
      <c r="AG56" s="443"/>
      <c r="AH56" s="645"/>
    </row>
    <row r="57" spans="1:34">
      <c r="A57" s="308"/>
      <c r="B57" s="308"/>
      <c r="C57" s="308"/>
      <c r="E57" s="3607" t="s">
        <v>370</v>
      </c>
      <c r="F57" s="1705" t="s">
        <v>616</v>
      </c>
      <c r="G57" s="1261"/>
      <c r="H57" s="440"/>
      <c r="I57" s="440"/>
      <c r="J57" s="440"/>
      <c r="K57" s="1262"/>
      <c r="L57" s="1261"/>
      <c r="M57" s="440"/>
      <c r="N57" s="440"/>
      <c r="O57" s="440"/>
      <c r="P57" s="440"/>
      <c r="Q57" s="1271"/>
      <c r="R57" s="1280">
        <f ca="1">SUMIF($F$20:$V$55,"Total direct expenditure",R20:R55)</f>
        <v>0</v>
      </c>
      <c r="S57" s="441">
        <f ca="1">SUMIF($F$20:$V$55,"Total direct expenditure",S20:S55)</f>
        <v>0</v>
      </c>
      <c r="T57" s="441">
        <f ca="1">SUMIF($F$20:$V$55,"Total direct expenditure",T20:T55)</f>
        <v>0</v>
      </c>
      <c r="U57" s="441">
        <f ca="1">SUMIF($F$20:$V$55,"Total direct expenditure",U20:U55)</f>
        <v>0</v>
      </c>
      <c r="V57" s="1281">
        <f ca="1">SUMIF($F$20:$V$55,"Total direct expenditure",V20:V55)</f>
        <v>0</v>
      </c>
      <c r="W57" s="1278"/>
      <c r="AA57" s="1261"/>
      <c r="AB57" s="440"/>
      <c r="AC57" s="440"/>
      <c r="AD57" s="440"/>
      <c r="AE57" s="1262"/>
      <c r="AF57" s="1261"/>
      <c r="AG57" s="440"/>
      <c r="AH57" s="1262"/>
    </row>
    <row r="58" spans="1:34">
      <c r="A58" s="308"/>
      <c r="B58" s="308"/>
      <c r="C58" s="308"/>
      <c r="E58" s="3608"/>
      <c r="F58" s="1706" t="s">
        <v>12</v>
      </c>
      <c r="G58" s="401">
        <f>SUMIF($F$20:$F$55,"Total overhead expenditure",G20:G55)</f>
        <v>0</v>
      </c>
      <c r="H58" s="402">
        <f t="shared" ref="H58:V58" si="62">SUMIF($F$20:$F$55,"Total overhead expenditure",H20:H55)</f>
        <v>0</v>
      </c>
      <c r="I58" s="402">
        <f t="shared" si="62"/>
        <v>0</v>
      </c>
      <c r="J58" s="402">
        <f t="shared" si="62"/>
        <v>0</v>
      </c>
      <c r="K58" s="505">
        <f t="shared" si="62"/>
        <v>0</v>
      </c>
      <c r="L58" s="401">
        <f t="shared" si="62"/>
        <v>0</v>
      </c>
      <c r="M58" s="402">
        <f t="shared" si="62"/>
        <v>0</v>
      </c>
      <c r="N58" s="402">
        <f t="shared" si="62"/>
        <v>0</v>
      </c>
      <c r="O58" s="402">
        <f t="shared" si="62"/>
        <v>0</v>
      </c>
      <c r="P58" s="402">
        <f t="shared" si="62"/>
        <v>0</v>
      </c>
      <c r="Q58" s="1269">
        <f t="shared" si="62"/>
        <v>0</v>
      </c>
      <c r="R58" s="401">
        <f t="shared" si="62"/>
        <v>0</v>
      </c>
      <c r="S58" s="402">
        <f t="shared" si="62"/>
        <v>0</v>
      </c>
      <c r="T58" s="402">
        <f t="shared" si="62"/>
        <v>0</v>
      </c>
      <c r="U58" s="402">
        <f t="shared" si="62"/>
        <v>0</v>
      </c>
      <c r="V58" s="505">
        <f t="shared" si="62"/>
        <v>0</v>
      </c>
      <c r="W58" s="1278"/>
      <c r="AA58" s="401">
        <f>SUMIF($F$20:$F$55,"Total overhead expenditure",AA20:AA55)</f>
        <v>0</v>
      </c>
      <c r="AB58" s="402">
        <f t="shared" ref="AB58:AH58" si="63">SUMIF($F$20:$F$55,"Total overhead expenditure",AB20:AB55)</f>
        <v>0</v>
      </c>
      <c r="AC58" s="402">
        <f t="shared" si="63"/>
        <v>0</v>
      </c>
      <c r="AD58" s="402">
        <f t="shared" si="63"/>
        <v>0</v>
      </c>
      <c r="AE58" s="505">
        <f t="shared" si="63"/>
        <v>0</v>
      </c>
      <c r="AF58" s="401">
        <f t="shared" si="63"/>
        <v>0</v>
      </c>
      <c r="AG58" s="402">
        <f t="shared" si="63"/>
        <v>0</v>
      </c>
      <c r="AH58" s="505">
        <f t="shared" si="63"/>
        <v>0</v>
      </c>
    </row>
    <row r="59" spans="1:34">
      <c r="A59" s="308"/>
      <c r="B59" s="308"/>
      <c r="C59" s="308"/>
      <c r="E59" s="3608"/>
      <c r="F59" s="1706" t="s">
        <v>617</v>
      </c>
      <c r="G59" s="401">
        <f>SUMIF($F$20:$F$55,"Related party margin expenditure",G20:G55)</f>
        <v>0</v>
      </c>
      <c r="H59" s="402">
        <f t="shared" ref="H59:V59" si="64">SUMIF($F$20:$F$55,"Related party margin expenditure",H20:H55)</f>
        <v>0</v>
      </c>
      <c r="I59" s="402">
        <f t="shared" si="64"/>
        <v>0</v>
      </c>
      <c r="J59" s="402">
        <f t="shared" si="64"/>
        <v>0</v>
      </c>
      <c r="K59" s="505">
        <f t="shared" si="64"/>
        <v>0</v>
      </c>
      <c r="L59" s="401">
        <f t="shared" si="64"/>
        <v>0</v>
      </c>
      <c r="M59" s="402">
        <f t="shared" si="64"/>
        <v>0</v>
      </c>
      <c r="N59" s="402">
        <f t="shared" si="64"/>
        <v>0</v>
      </c>
      <c r="O59" s="402">
        <f t="shared" si="64"/>
        <v>0</v>
      </c>
      <c r="P59" s="402">
        <f t="shared" si="64"/>
        <v>0</v>
      </c>
      <c r="Q59" s="1269">
        <f t="shared" si="64"/>
        <v>0</v>
      </c>
      <c r="R59" s="401">
        <f t="shared" si="64"/>
        <v>0</v>
      </c>
      <c r="S59" s="402">
        <f t="shared" si="64"/>
        <v>0</v>
      </c>
      <c r="T59" s="402">
        <f t="shared" si="64"/>
        <v>0</v>
      </c>
      <c r="U59" s="402">
        <f t="shared" si="64"/>
        <v>0</v>
      </c>
      <c r="V59" s="505">
        <f t="shared" si="64"/>
        <v>0</v>
      </c>
      <c r="W59" s="1278"/>
      <c r="AA59" s="401">
        <f>SUMIF($F$20:$F$55,"Related party margin expenditure",AA20:AA55)</f>
        <v>0</v>
      </c>
      <c r="AB59" s="402">
        <f t="shared" ref="AB59:AH59" si="65">SUMIF($F$20:$F$55,"Related party margin expenditure",AB20:AB55)</f>
        <v>0</v>
      </c>
      <c r="AC59" s="402">
        <f t="shared" si="65"/>
        <v>0</v>
      </c>
      <c r="AD59" s="402">
        <f t="shared" si="65"/>
        <v>0</v>
      </c>
      <c r="AE59" s="505">
        <f t="shared" si="65"/>
        <v>0</v>
      </c>
      <c r="AF59" s="401">
        <f t="shared" si="65"/>
        <v>0</v>
      </c>
      <c r="AG59" s="402">
        <f t="shared" si="65"/>
        <v>0</v>
      </c>
      <c r="AH59" s="505">
        <f t="shared" si="65"/>
        <v>0</v>
      </c>
    </row>
    <row r="60" spans="1:34">
      <c r="A60" s="308"/>
      <c r="B60" s="308"/>
      <c r="C60" s="308"/>
      <c r="E60" s="3608"/>
      <c r="F60" s="1707" t="s">
        <v>620</v>
      </c>
      <c r="G60" s="1263">
        <f>SUMIF($F$20:$F$55,"Total gross expenditure",G20:G55)</f>
        <v>0</v>
      </c>
      <c r="H60" s="1264">
        <f t="shared" ref="H60:V60" si="66">SUMIF($F$20:$F$55,"Total gross expenditure",H20:H55)</f>
        <v>0</v>
      </c>
      <c r="I60" s="1264">
        <f t="shared" si="66"/>
        <v>0</v>
      </c>
      <c r="J60" s="1264">
        <f t="shared" si="66"/>
        <v>0</v>
      </c>
      <c r="K60" s="1265">
        <f t="shared" si="66"/>
        <v>0</v>
      </c>
      <c r="L60" s="1263">
        <f t="shared" si="66"/>
        <v>0</v>
      </c>
      <c r="M60" s="1264">
        <f t="shared" si="66"/>
        <v>0</v>
      </c>
      <c r="N60" s="1264">
        <f t="shared" si="66"/>
        <v>0</v>
      </c>
      <c r="O60" s="1264">
        <f t="shared" si="66"/>
        <v>0</v>
      </c>
      <c r="P60" s="1264">
        <f t="shared" si="66"/>
        <v>0</v>
      </c>
      <c r="Q60" s="1272">
        <f t="shared" si="66"/>
        <v>0</v>
      </c>
      <c r="R60" s="1263">
        <f t="shared" si="66"/>
        <v>0</v>
      </c>
      <c r="S60" s="1264">
        <f t="shared" si="66"/>
        <v>0</v>
      </c>
      <c r="T60" s="1264">
        <f t="shared" si="66"/>
        <v>0</v>
      </c>
      <c r="U60" s="1264">
        <f t="shared" si="66"/>
        <v>0</v>
      </c>
      <c r="V60" s="1265">
        <f t="shared" si="66"/>
        <v>0</v>
      </c>
      <c r="W60" s="1278"/>
      <c r="AA60" s="1263">
        <f>SUMIF($F$20:$F$55,"Total gross expenditure",AA20:AA55)</f>
        <v>0</v>
      </c>
      <c r="AB60" s="1264">
        <f t="shared" ref="AB60:AH60" si="67">SUMIF($F$20:$F$55,"Total gross expenditure",AB20:AB55)</f>
        <v>0</v>
      </c>
      <c r="AC60" s="1264">
        <f t="shared" si="67"/>
        <v>0</v>
      </c>
      <c r="AD60" s="1264">
        <f t="shared" si="67"/>
        <v>0</v>
      </c>
      <c r="AE60" s="1265">
        <f t="shared" si="67"/>
        <v>0</v>
      </c>
      <c r="AF60" s="1263">
        <f t="shared" si="67"/>
        <v>0</v>
      </c>
      <c r="AG60" s="1264">
        <f t="shared" si="67"/>
        <v>0</v>
      </c>
      <c r="AH60" s="1265">
        <f t="shared" si="67"/>
        <v>0</v>
      </c>
    </row>
    <row r="61" spans="1:34">
      <c r="A61" s="308"/>
      <c r="B61" s="308"/>
      <c r="C61" s="308"/>
      <c r="E61" s="3608"/>
      <c r="F61" s="1706" t="s">
        <v>35</v>
      </c>
      <c r="G61" s="401">
        <f>SUMIF($F$20:$F$55,"Less customer contributions",G20:G55)</f>
        <v>0</v>
      </c>
      <c r="H61" s="402">
        <f t="shared" ref="H61:V61" si="68">SUMIF($F$20:$F$55,"Less customer contributions",H20:H55)</f>
        <v>0</v>
      </c>
      <c r="I61" s="402">
        <f t="shared" si="68"/>
        <v>0</v>
      </c>
      <c r="J61" s="402">
        <f t="shared" si="68"/>
        <v>0</v>
      </c>
      <c r="K61" s="505">
        <f t="shared" si="68"/>
        <v>0</v>
      </c>
      <c r="L61" s="401">
        <f t="shared" si="68"/>
        <v>0</v>
      </c>
      <c r="M61" s="402">
        <f t="shared" si="68"/>
        <v>0</v>
      </c>
      <c r="N61" s="402">
        <f t="shared" si="68"/>
        <v>0</v>
      </c>
      <c r="O61" s="402">
        <f t="shared" si="68"/>
        <v>0</v>
      </c>
      <c r="P61" s="402">
        <f t="shared" si="68"/>
        <v>0</v>
      </c>
      <c r="Q61" s="1269">
        <f t="shared" si="68"/>
        <v>0</v>
      </c>
      <c r="R61" s="401">
        <f t="shared" si="68"/>
        <v>0</v>
      </c>
      <c r="S61" s="402">
        <f t="shared" si="68"/>
        <v>0</v>
      </c>
      <c r="T61" s="402">
        <f t="shared" si="68"/>
        <v>0</v>
      </c>
      <c r="U61" s="402">
        <f t="shared" si="68"/>
        <v>0</v>
      </c>
      <c r="V61" s="505">
        <f t="shared" si="68"/>
        <v>0</v>
      </c>
      <c r="W61" s="1278"/>
      <c r="AA61" s="401">
        <f>SUMIF($F$20:$F$55,"Less customer contributions",AA20:AA55)</f>
        <v>0</v>
      </c>
      <c r="AB61" s="402">
        <f t="shared" ref="AB61:AH61" si="69">SUMIF($F$20:$F$55,"Less customer contributions",AB20:AB55)</f>
        <v>0</v>
      </c>
      <c r="AC61" s="402">
        <f t="shared" si="69"/>
        <v>0</v>
      </c>
      <c r="AD61" s="402">
        <f t="shared" si="69"/>
        <v>0</v>
      </c>
      <c r="AE61" s="505">
        <f t="shared" si="69"/>
        <v>0</v>
      </c>
      <c r="AF61" s="401">
        <f t="shared" si="69"/>
        <v>0</v>
      </c>
      <c r="AG61" s="402">
        <f t="shared" si="69"/>
        <v>0</v>
      </c>
      <c r="AH61" s="505">
        <f t="shared" si="69"/>
        <v>0</v>
      </c>
    </row>
    <row r="62" spans="1:34" ht="13.5" thickBot="1">
      <c r="A62" s="308"/>
      <c r="B62" s="308"/>
      <c r="C62" s="308"/>
      <c r="E62" s="3609"/>
      <c r="F62" s="1708" t="s">
        <v>621</v>
      </c>
      <c r="G62" s="1266">
        <f>SUMIF($F$20:$F$55,"Total net expenditure",G20:G55)</f>
        <v>0</v>
      </c>
      <c r="H62" s="1267">
        <f t="shared" ref="H62:V62" si="70">SUMIF($F$20:$F$55,"Total net expenditure",H20:H55)</f>
        <v>0</v>
      </c>
      <c r="I62" s="1267">
        <f t="shared" si="70"/>
        <v>0</v>
      </c>
      <c r="J62" s="1267">
        <f t="shared" si="70"/>
        <v>0</v>
      </c>
      <c r="K62" s="1268">
        <f t="shared" si="70"/>
        <v>0</v>
      </c>
      <c r="L62" s="1266">
        <f t="shared" si="70"/>
        <v>0</v>
      </c>
      <c r="M62" s="1267">
        <f t="shared" si="70"/>
        <v>0</v>
      </c>
      <c r="N62" s="1267">
        <f t="shared" si="70"/>
        <v>0</v>
      </c>
      <c r="O62" s="1267">
        <f t="shared" si="70"/>
        <v>0</v>
      </c>
      <c r="P62" s="1267">
        <f t="shared" si="70"/>
        <v>0</v>
      </c>
      <c r="Q62" s="1273">
        <f t="shared" si="70"/>
        <v>0</v>
      </c>
      <c r="R62" s="1266">
        <f t="shared" si="70"/>
        <v>0</v>
      </c>
      <c r="S62" s="1267">
        <f t="shared" si="70"/>
        <v>0</v>
      </c>
      <c r="T62" s="1267">
        <f t="shared" si="70"/>
        <v>0</v>
      </c>
      <c r="U62" s="1267">
        <f t="shared" si="70"/>
        <v>0</v>
      </c>
      <c r="V62" s="1268">
        <f t="shared" si="70"/>
        <v>0</v>
      </c>
      <c r="W62" s="1278"/>
      <c r="AA62" s="2118">
        <f>SUMIF($F$20:$F$55,"Total net expenditure",AA20:AA55)</f>
        <v>0</v>
      </c>
      <c r="AB62" s="1267">
        <f t="shared" ref="AB62:AH62" si="71">SUMIF($F$20:$F$55,"Total net expenditure",AB20:AB55)</f>
        <v>0</v>
      </c>
      <c r="AC62" s="1267">
        <f t="shared" si="71"/>
        <v>0</v>
      </c>
      <c r="AD62" s="1267">
        <f t="shared" si="71"/>
        <v>0</v>
      </c>
      <c r="AE62" s="1268">
        <f t="shared" si="71"/>
        <v>0</v>
      </c>
      <c r="AF62" s="2118">
        <f t="shared" si="71"/>
        <v>0</v>
      </c>
      <c r="AG62" s="1267">
        <f t="shared" si="71"/>
        <v>0</v>
      </c>
      <c r="AH62" s="1268">
        <f t="shared" si="71"/>
        <v>0</v>
      </c>
    </row>
    <row r="63" spans="1:34" s="70" customFormat="1" ht="47.25" customHeight="1" thickBot="1">
      <c r="A63" s="360"/>
      <c r="B63" s="360"/>
      <c r="C63" s="360"/>
      <c r="D63" s="360"/>
      <c r="E63" s="3610" t="s">
        <v>125</v>
      </c>
      <c r="F63" s="3611"/>
      <c r="G63" s="309"/>
      <c r="H63" s="310"/>
      <c r="I63" s="310"/>
      <c r="J63" s="310"/>
      <c r="K63" s="310"/>
      <c r="L63" s="310"/>
      <c r="M63" s="310"/>
      <c r="N63" s="310"/>
      <c r="O63" s="310"/>
      <c r="P63" s="310"/>
      <c r="Q63" s="310"/>
      <c r="R63" s="310"/>
      <c r="S63" s="310"/>
      <c r="T63" s="310"/>
      <c r="U63" s="310"/>
      <c r="V63" s="310"/>
      <c r="W63" s="457"/>
      <c r="X63"/>
      <c r="Y63"/>
      <c r="Z63"/>
      <c r="AA63" s="2107"/>
      <c r="AB63" s="2116"/>
      <c r="AC63" s="2116"/>
      <c r="AD63" s="2116"/>
      <c r="AE63" s="2116"/>
      <c r="AF63" s="2116"/>
      <c r="AG63" s="2116"/>
      <c r="AH63" s="2119"/>
    </row>
    <row r="64" spans="1:34" s="79" customFormat="1" ht="33" customHeight="1" thickBot="1">
      <c r="A64" s="308"/>
      <c r="B64" s="308"/>
      <c r="C64" s="308"/>
      <c r="D64" s="308"/>
      <c r="E64" s="83"/>
      <c r="F64" s="83"/>
      <c r="G64" s="83"/>
      <c r="H64" s="83"/>
      <c r="I64" s="83"/>
      <c r="J64" s="83"/>
      <c r="K64" s="83"/>
      <c r="L64" s="83"/>
      <c r="M64" s="83"/>
      <c r="N64" s="83"/>
      <c r="O64" s="83"/>
      <c r="P64" s="83"/>
      <c r="Q64" s="83"/>
      <c r="R64" s="83"/>
      <c r="S64" s="83"/>
      <c r="T64" s="83"/>
      <c r="U64" s="83"/>
      <c r="X64"/>
      <c r="Y64"/>
      <c r="Z64"/>
      <c r="AA64" s="83"/>
      <c r="AB64" s="83"/>
      <c r="AC64" s="83"/>
      <c r="AD64" s="83"/>
      <c r="AE64" s="83"/>
      <c r="AF64" s="83"/>
      <c r="AG64" s="83"/>
      <c r="AH64" s="83"/>
    </row>
    <row r="65" spans="1:34" s="66" customFormat="1" ht="16.5" thickBot="1">
      <c r="A65" s="289"/>
      <c r="B65" s="289"/>
      <c r="C65" s="289"/>
      <c r="D65" s="289"/>
      <c r="E65" s="1576" t="s">
        <v>622</v>
      </c>
      <c r="F65" s="1576"/>
      <c r="G65" s="1577"/>
      <c r="H65" s="1577"/>
      <c r="I65" s="1577"/>
      <c r="J65" s="1577"/>
      <c r="K65" s="1577"/>
      <c r="L65" s="1577"/>
      <c r="M65" s="1577"/>
      <c r="N65" s="1577"/>
      <c r="O65" s="1577"/>
      <c r="P65" s="1578"/>
      <c r="W65"/>
      <c r="X65"/>
      <c r="Y65"/>
      <c r="Z65"/>
      <c r="AA65" s="1576"/>
      <c r="AB65" s="1577"/>
      <c r="AC65" s="1577"/>
      <c r="AD65" s="1577"/>
      <c r="AE65" s="1577"/>
      <c r="AF65" s="1577"/>
      <c r="AG65" s="1577"/>
      <c r="AH65" s="1578"/>
    </row>
    <row r="66" spans="1:34" s="66" customFormat="1" ht="18">
      <c r="A66" s="288"/>
      <c r="B66" s="288"/>
      <c r="C66" s="288"/>
      <c r="D66" s="288"/>
      <c r="E66" s="3630"/>
      <c r="F66" s="3631"/>
      <c r="G66" s="3620" t="s">
        <v>36</v>
      </c>
      <c r="H66" s="3549"/>
      <c r="I66" s="3549"/>
      <c r="J66" s="3549"/>
      <c r="K66" s="3549"/>
      <c r="L66" s="3602" t="s">
        <v>37</v>
      </c>
      <c r="M66" s="3603"/>
      <c r="N66" s="3603"/>
      <c r="O66" s="3603"/>
      <c r="P66" s="3604"/>
      <c r="X66"/>
      <c r="Y66"/>
      <c r="Z66"/>
      <c r="AA66" s="3601" t="s">
        <v>36</v>
      </c>
      <c r="AB66" s="3549"/>
      <c r="AC66" s="3549"/>
      <c r="AD66" s="3549"/>
      <c r="AE66" s="3549"/>
      <c r="AF66" s="3602" t="s">
        <v>37</v>
      </c>
      <c r="AG66" s="3603"/>
      <c r="AH66" s="3604"/>
    </row>
    <row r="67" spans="1:34" s="66" customFormat="1" ht="15">
      <c r="A67" s="288"/>
      <c r="B67" s="288"/>
      <c r="C67" s="288"/>
      <c r="D67" s="288"/>
      <c r="E67" s="3632"/>
      <c r="F67" s="3633"/>
      <c r="G67" s="3550" t="str">
        <f>CONCATENATE("$0's, real ",dms_DollarReal)</f>
        <v>$0's, real December 2017</v>
      </c>
      <c r="H67" s="3551"/>
      <c r="I67" s="3551"/>
      <c r="J67" s="3551"/>
      <c r="K67" s="3551"/>
      <c r="L67" s="3551"/>
      <c r="M67" s="3551"/>
      <c r="N67" s="3551"/>
      <c r="O67" s="3551"/>
      <c r="P67" s="3552"/>
      <c r="X67"/>
      <c r="Y67"/>
      <c r="Z67"/>
      <c r="AA67" s="3605" t="str">
        <f>CONCATENATE("$0's, real ",dms_DollarReal)</f>
        <v>$0's, real December 2017</v>
      </c>
      <c r="AB67" s="3590"/>
      <c r="AC67" s="3590"/>
      <c r="AD67" s="3590"/>
      <c r="AE67" s="3590"/>
      <c r="AF67" s="3590"/>
      <c r="AG67" s="3590"/>
      <c r="AH67" s="3591"/>
    </row>
    <row r="68" spans="1:34" s="66" customFormat="1" ht="15">
      <c r="A68" s="288"/>
      <c r="B68" s="288"/>
      <c r="C68" s="288"/>
      <c r="D68" s="288"/>
      <c r="E68" s="3632"/>
      <c r="F68" s="3633"/>
      <c r="G68" s="3592" t="s">
        <v>74</v>
      </c>
      <c r="H68" s="3593"/>
      <c r="I68" s="3593"/>
      <c r="J68" s="3593"/>
      <c r="K68" s="3593"/>
      <c r="L68" s="3593"/>
      <c r="M68" s="3593"/>
      <c r="N68" s="3593"/>
      <c r="O68" s="3593"/>
      <c r="P68" s="3606"/>
      <c r="X68"/>
      <c r="Y68"/>
      <c r="Z68"/>
      <c r="AA68" s="3592" t="s">
        <v>74</v>
      </c>
      <c r="AB68" s="3593"/>
      <c r="AC68" s="3593"/>
      <c r="AD68" s="3593"/>
      <c r="AE68" s="3593"/>
      <c r="AF68" s="3593"/>
      <c r="AG68" s="3593"/>
      <c r="AH68" s="3606"/>
    </row>
    <row r="69" spans="1:34" s="66" customFormat="1" ht="15.75" thickBot="1">
      <c r="A69" s="288"/>
      <c r="B69" s="288"/>
      <c r="C69" s="288"/>
      <c r="D69" s="288"/>
      <c r="E69" s="3634"/>
      <c r="F69" s="3635"/>
      <c r="G69" s="391">
        <f t="array" ref="G69:K69">PRCP</f>
        <v>2008</v>
      </c>
      <c r="H69" s="390">
        <v>2009</v>
      </c>
      <c r="I69" s="390">
        <v>2010</v>
      </c>
      <c r="J69" s="390">
        <v>2011</v>
      </c>
      <c r="K69" s="390">
        <v>2012</v>
      </c>
      <c r="L69" s="392">
        <f>CRCP_y1</f>
        <v>2013</v>
      </c>
      <c r="M69" s="392">
        <f>CRCP_y2</f>
        <v>2014</v>
      </c>
      <c r="N69" s="392">
        <f>CRCP_y3</f>
        <v>2015</v>
      </c>
      <c r="O69" s="392">
        <f>CRCP_y4</f>
        <v>2016</v>
      </c>
      <c r="P69" s="603">
        <f>CRCP_y5</f>
        <v>2017</v>
      </c>
      <c r="X69"/>
      <c r="Y69"/>
      <c r="Z69"/>
      <c r="AA69" s="1789">
        <f t="array" ref="AA69:AE69">PRCP</f>
        <v>2008</v>
      </c>
      <c r="AB69" s="390">
        <v>2009</v>
      </c>
      <c r="AC69" s="390">
        <v>2010</v>
      </c>
      <c r="AD69" s="390">
        <v>2011</v>
      </c>
      <c r="AE69" s="390">
        <v>2012</v>
      </c>
      <c r="AF69" s="392">
        <f>CRCP_y1</f>
        <v>2013</v>
      </c>
      <c r="AG69" s="392">
        <f>CRCP_y2</f>
        <v>2014</v>
      </c>
      <c r="AH69" s="603">
        <f>CRCP_y3</f>
        <v>2015</v>
      </c>
    </row>
    <row r="70" spans="1:34" ht="18" customHeight="1" outlineLevel="2">
      <c r="A70" s="308"/>
      <c r="B70" s="308"/>
      <c r="C70" s="308"/>
      <c r="E70" s="3612" t="s">
        <v>89</v>
      </c>
      <c r="F70" s="384" t="s">
        <v>615</v>
      </c>
      <c r="G70" s="527"/>
      <c r="H70" s="522"/>
      <c r="I70" s="522"/>
      <c r="J70" s="522"/>
      <c r="K70" s="535"/>
      <c r="L70" s="1253"/>
      <c r="M70" s="522"/>
      <c r="N70" s="522"/>
      <c r="O70" s="522"/>
      <c r="P70" s="535"/>
      <c r="Q70" s="93"/>
      <c r="R70" s="93"/>
      <c r="S70" s="93"/>
      <c r="T70" s="93"/>
      <c r="U70" s="93"/>
      <c r="V70" s="93"/>
      <c r="W70" s="78"/>
      <c r="AA70" s="517"/>
      <c r="AB70" s="518"/>
      <c r="AC70" s="518"/>
      <c r="AD70" s="518"/>
      <c r="AE70" s="519"/>
      <c r="AF70" s="571"/>
      <c r="AG70" s="518"/>
      <c r="AH70" s="519"/>
    </row>
    <row r="71" spans="1:34" outlineLevel="2">
      <c r="A71" s="308"/>
      <c r="B71" s="308"/>
      <c r="C71" s="308"/>
      <c r="E71" s="3612"/>
      <c r="F71" s="237" t="s">
        <v>619</v>
      </c>
      <c r="G71" s="514"/>
      <c r="H71" s="513"/>
      <c r="I71" s="513"/>
      <c r="J71" s="513"/>
      <c r="K71" s="515"/>
      <c r="L71" s="467"/>
      <c r="M71" s="513"/>
      <c r="N71" s="513"/>
      <c r="O71" s="513"/>
      <c r="P71" s="515"/>
      <c r="Q71" s="93"/>
      <c r="R71" s="93"/>
      <c r="S71" s="93"/>
      <c r="T71" s="93"/>
      <c r="U71" s="93"/>
      <c r="V71" s="93"/>
      <c r="W71" s="78"/>
      <c r="AA71" s="517"/>
      <c r="AB71" s="518"/>
      <c r="AC71" s="518"/>
      <c r="AD71" s="518"/>
      <c r="AE71" s="519"/>
      <c r="AF71" s="571"/>
      <c r="AG71" s="518"/>
      <c r="AH71" s="519"/>
    </row>
    <row r="72" spans="1:34" outlineLevel="2">
      <c r="A72" s="308"/>
      <c r="B72" s="308"/>
      <c r="C72" s="308"/>
      <c r="E72" s="3612"/>
      <c r="F72" s="237" t="s">
        <v>617</v>
      </c>
      <c r="G72" s="514"/>
      <c r="H72" s="513"/>
      <c r="I72" s="513"/>
      <c r="J72" s="513"/>
      <c r="K72" s="515"/>
      <c r="L72" s="467"/>
      <c r="M72" s="513"/>
      <c r="N72" s="513"/>
      <c r="O72" s="513"/>
      <c r="P72" s="515"/>
      <c r="Q72" s="93"/>
      <c r="R72" s="93"/>
      <c r="S72" s="93"/>
      <c r="T72" s="93"/>
      <c r="U72" s="93"/>
      <c r="V72" s="93"/>
      <c r="W72" s="78"/>
      <c r="AA72" s="517"/>
      <c r="AB72" s="518"/>
      <c r="AC72" s="518"/>
      <c r="AD72" s="518"/>
      <c r="AE72" s="519"/>
      <c r="AF72" s="571"/>
      <c r="AG72" s="518"/>
      <c r="AH72" s="519"/>
    </row>
    <row r="73" spans="1:34" outlineLevel="2">
      <c r="A73" s="308"/>
      <c r="B73" s="308"/>
      <c r="C73" s="308"/>
      <c r="E73" s="3612"/>
      <c r="F73" s="240" t="s">
        <v>620</v>
      </c>
      <c r="G73" s="432">
        <f t="shared" ref="G73:P73" si="72">SUM(G71:G72)</f>
        <v>0</v>
      </c>
      <c r="H73" s="411">
        <f t="shared" si="72"/>
        <v>0</v>
      </c>
      <c r="I73" s="411">
        <f t="shared" si="72"/>
        <v>0</v>
      </c>
      <c r="J73" s="411">
        <f t="shared" si="72"/>
        <v>0</v>
      </c>
      <c r="K73" s="412">
        <f t="shared" si="72"/>
        <v>0</v>
      </c>
      <c r="L73" s="1254">
        <f t="shared" si="72"/>
        <v>0</v>
      </c>
      <c r="M73" s="411">
        <f t="shared" si="72"/>
        <v>0</v>
      </c>
      <c r="N73" s="411">
        <f t="shared" si="72"/>
        <v>0</v>
      </c>
      <c r="O73" s="411">
        <f t="shared" si="72"/>
        <v>0</v>
      </c>
      <c r="P73" s="412">
        <f t="shared" si="72"/>
        <v>0</v>
      </c>
      <c r="Q73" s="93"/>
      <c r="R73" s="93"/>
      <c r="S73" s="93"/>
      <c r="T73" s="93"/>
      <c r="U73" s="93"/>
      <c r="V73" s="93"/>
      <c r="W73" s="78"/>
      <c r="AA73" s="2122">
        <f t="shared" ref="AA73:AH73" si="73">SUM(AA71:AA72)</f>
        <v>0</v>
      </c>
      <c r="AB73" s="2123">
        <f t="shared" si="73"/>
        <v>0</v>
      </c>
      <c r="AC73" s="2123">
        <f t="shared" si="73"/>
        <v>0</v>
      </c>
      <c r="AD73" s="2123">
        <f t="shared" si="73"/>
        <v>0</v>
      </c>
      <c r="AE73" s="2124">
        <f t="shared" si="73"/>
        <v>0</v>
      </c>
      <c r="AF73" s="2125">
        <f t="shared" si="73"/>
        <v>0</v>
      </c>
      <c r="AG73" s="2123">
        <f t="shared" si="73"/>
        <v>0</v>
      </c>
      <c r="AH73" s="2124">
        <f t="shared" si="73"/>
        <v>0</v>
      </c>
    </row>
    <row r="74" spans="1:34" outlineLevel="2">
      <c r="A74" s="308"/>
      <c r="B74" s="308"/>
      <c r="C74" s="308"/>
      <c r="E74" s="3612"/>
      <c r="F74" s="237" t="s">
        <v>35</v>
      </c>
      <c r="G74" s="514"/>
      <c r="H74" s="513"/>
      <c r="I74" s="513"/>
      <c r="J74" s="513"/>
      <c r="K74" s="515"/>
      <c r="L74" s="467"/>
      <c r="M74" s="513"/>
      <c r="N74" s="513"/>
      <c r="O74" s="513"/>
      <c r="P74" s="515"/>
      <c r="Q74" s="93"/>
      <c r="R74" s="93"/>
      <c r="S74" s="93"/>
      <c r="T74" s="93"/>
      <c r="U74" s="93"/>
      <c r="V74" s="93"/>
      <c r="W74" s="78"/>
      <c r="AA74" s="517"/>
      <c r="AB74" s="518"/>
      <c r="AC74" s="518"/>
      <c r="AD74" s="518"/>
      <c r="AE74" s="519"/>
      <c r="AF74" s="571"/>
      <c r="AG74" s="518"/>
      <c r="AH74" s="519"/>
    </row>
    <row r="75" spans="1:34" ht="13.5" outlineLevel="2" thickBot="1">
      <c r="A75" s="308"/>
      <c r="B75" s="308"/>
      <c r="C75" s="308"/>
      <c r="E75" s="3613"/>
      <c r="F75" s="406" t="s">
        <v>621</v>
      </c>
      <c r="G75" s="433">
        <f t="shared" ref="G75:P87" si="74">G73-G74</f>
        <v>0</v>
      </c>
      <c r="H75" s="413">
        <f t="shared" si="74"/>
        <v>0</v>
      </c>
      <c r="I75" s="413">
        <f t="shared" si="74"/>
        <v>0</v>
      </c>
      <c r="J75" s="413">
        <f t="shared" si="74"/>
        <v>0</v>
      </c>
      <c r="K75" s="414">
        <f t="shared" si="74"/>
        <v>0</v>
      </c>
      <c r="L75" s="1255">
        <f t="shared" si="74"/>
        <v>0</v>
      </c>
      <c r="M75" s="413">
        <f t="shared" si="74"/>
        <v>0</v>
      </c>
      <c r="N75" s="413">
        <f t="shared" si="74"/>
        <v>0</v>
      </c>
      <c r="O75" s="413">
        <f t="shared" si="74"/>
        <v>0</v>
      </c>
      <c r="P75" s="414">
        <f t="shared" si="74"/>
        <v>0</v>
      </c>
      <c r="Q75" s="93"/>
      <c r="R75" s="93"/>
      <c r="S75" s="93"/>
      <c r="T75" s="93"/>
      <c r="U75" s="93"/>
      <c r="V75" s="93"/>
      <c r="W75" s="78"/>
      <c r="AA75" s="2126">
        <f t="shared" ref="AA75:AH75" si="75">AA73-AA74</f>
        <v>0</v>
      </c>
      <c r="AB75" s="2127">
        <f t="shared" si="75"/>
        <v>0</v>
      </c>
      <c r="AC75" s="2127">
        <f t="shared" si="75"/>
        <v>0</v>
      </c>
      <c r="AD75" s="2127">
        <f t="shared" si="75"/>
        <v>0</v>
      </c>
      <c r="AE75" s="2128">
        <f t="shared" si="75"/>
        <v>0</v>
      </c>
      <c r="AF75" s="2129">
        <f t="shared" si="75"/>
        <v>0</v>
      </c>
      <c r="AG75" s="2127">
        <f t="shared" si="75"/>
        <v>0</v>
      </c>
      <c r="AH75" s="2128">
        <f t="shared" si="75"/>
        <v>0</v>
      </c>
    </row>
    <row r="76" spans="1:34" s="529" customFormat="1" outlineLevel="2">
      <c r="A76" s="308"/>
      <c r="B76" s="308"/>
      <c r="C76" s="308"/>
      <c r="D76" s="308"/>
      <c r="E76" s="3614" t="s">
        <v>89</v>
      </c>
      <c r="F76" s="1768" t="s">
        <v>615</v>
      </c>
      <c r="G76" s="527"/>
      <c r="H76" s="522"/>
      <c r="I76" s="522"/>
      <c r="J76" s="522"/>
      <c r="K76" s="535"/>
      <c r="L76" s="1253"/>
      <c r="M76" s="522"/>
      <c r="N76" s="522"/>
      <c r="O76" s="522"/>
      <c r="P76" s="535"/>
      <c r="Q76" s="510"/>
      <c r="R76" s="510"/>
      <c r="S76" s="510"/>
      <c r="T76" s="510"/>
      <c r="U76" s="510"/>
      <c r="V76" s="510"/>
      <c r="X76" s="1427"/>
      <c r="Y76" s="1427"/>
      <c r="Z76" s="1427"/>
      <c r="AA76" s="517"/>
      <c r="AB76" s="518"/>
      <c r="AC76" s="518"/>
      <c r="AD76" s="518"/>
      <c r="AE76" s="519"/>
      <c r="AF76" s="571"/>
      <c r="AG76" s="518"/>
      <c r="AH76" s="519"/>
    </row>
    <row r="77" spans="1:34" s="529" customFormat="1" outlineLevel="2">
      <c r="A77" s="308"/>
      <c r="B77" s="308"/>
      <c r="C77" s="308"/>
      <c r="D77" s="308"/>
      <c r="E77" s="3612"/>
      <c r="F77" s="1767" t="s">
        <v>619</v>
      </c>
      <c r="G77" s="514"/>
      <c r="H77" s="513"/>
      <c r="I77" s="513"/>
      <c r="J77" s="513"/>
      <c r="K77" s="515"/>
      <c r="L77" s="467"/>
      <c r="M77" s="513"/>
      <c r="N77" s="513"/>
      <c r="O77" s="513"/>
      <c r="P77" s="515"/>
      <c r="Q77" s="510"/>
      <c r="R77" s="510"/>
      <c r="S77" s="510"/>
      <c r="T77" s="510"/>
      <c r="U77" s="510"/>
      <c r="V77" s="510"/>
      <c r="X77" s="1427"/>
      <c r="Y77" s="1427"/>
      <c r="Z77" s="1427"/>
      <c r="AA77" s="517"/>
      <c r="AB77" s="518"/>
      <c r="AC77" s="518"/>
      <c r="AD77" s="518"/>
      <c r="AE77" s="519"/>
      <c r="AF77" s="571"/>
      <c r="AG77" s="518"/>
      <c r="AH77" s="519"/>
    </row>
    <row r="78" spans="1:34" s="529" customFormat="1" outlineLevel="2">
      <c r="A78" s="308"/>
      <c r="B78" s="308"/>
      <c r="C78" s="308"/>
      <c r="D78" s="308"/>
      <c r="E78" s="3612"/>
      <c r="F78" s="1767" t="s">
        <v>617</v>
      </c>
      <c r="G78" s="514"/>
      <c r="H78" s="513"/>
      <c r="I78" s="513"/>
      <c r="J78" s="513"/>
      <c r="K78" s="515"/>
      <c r="L78" s="467"/>
      <c r="M78" s="513"/>
      <c r="N78" s="513"/>
      <c r="O78" s="513"/>
      <c r="P78" s="515"/>
      <c r="Q78" s="510"/>
      <c r="R78" s="510"/>
      <c r="S78" s="510"/>
      <c r="T78" s="510"/>
      <c r="U78" s="510"/>
      <c r="V78" s="510"/>
      <c r="X78" s="1427"/>
      <c r="Y78" s="1427"/>
      <c r="Z78" s="1427"/>
      <c r="AA78" s="517"/>
      <c r="AB78" s="518"/>
      <c r="AC78" s="518"/>
      <c r="AD78" s="518"/>
      <c r="AE78" s="519"/>
      <c r="AF78" s="571"/>
      <c r="AG78" s="518"/>
      <c r="AH78" s="519"/>
    </row>
    <row r="79" spans="1:34" s="529" customFormat="1" outlineLevel="2">
      <c r="A79" s="308"/>
      <c r="B79" s="308"/>
      <c r="C79" s="308"/>
      <c r="D79" s="308"/>
      <c r="E79" s="3612"/>
      <c r="F79" s="1768" t="s">
        <v>620</v>
      </c>
      <c r="G79" s="432">
        <f t="shared" ref="G79:P79" si="76">SUM(G77:G78)</f>
        <v>0</v>
      </c>
      <c r="H79" s="411">
        <f t="shared" si="76"/>
        <v>0</v>
      </c>
      <c r="I79" s="411">
        <f t="shared" si="76"/>
        <v>0</v>
      </c>
      <c r="J79" s="411">
        <f t="shared" si="76"/>
        <v>0</v>
      </c>
      <c r="K79" s="412">
        <f t="shared" si="76"/>
        <v>0</v>
      </c>
      <c r="L79" s="1254">
        <f t="shared" si="76"/>
        <v>0</v>
      </c>
      <c r="M79" s="411">
        <f t="shared" si="76"/>
        <v>0</v>
      </c>
      <c r="N79" s="411">
        <f t="shared" si="76"/>
        <v>0</v>
      </c>
      <c r="O79" s="411">
        <f t="shared" si="76"/>
        <v>0</v>
      </c>
      <c r="P79" s="412">
        <f t="shared" si="76"/>
        <v>0</v>
      </c>
      <c r="Q79" s="510"/>
      <c r="R79" s="510"/>
      <c r="S79" s="510"/>
      <c r="T79" s="510"/>
      <c r="U79" s="510"/>
      <c r="V79" s="510"/>
      <c r="X79" s="1427"/>
      <c r="Y79" s="1427"/>
      <c r="Z79" s="1427"/>
      <c r="AA79" s="2122">
        <f t="shared" ref="AA79:AH79" si="77">SUM(AA77:AA78)</f>
        <v>0</v>
      </c>
      <c r="AB79" s="2123">
        <f t="shared" si="77"/>
        <v>0</v>
      </c>
      <c r="AC79" s="2123">
        <f t="shared" si="77"/>
        <v>0</v>
      </c>
      <c r="AD79" s="2123">
        <f t="shared" si="77"/>
        <v>0</v>
      </c>
      <c r="AE79" s="2124">
        <f t="shared" si="77"/>
        <v>0</v>
      </c>
      <c r="AF79" s="2125">
        <f t="shared" si="77"/>
        <v>0</v>
      </c>
      <c r="AG79" s="2123">
        <f t="shared" si="77"/>
        <v>0</v>
      </c>
      <c r="AH79" s="2124">
        <f t="shared" si="77"/>
        <v>0</v>
      </c>
    </row>
    <row r="80" spans="1:34" s="529" customFormat="1" outlineLevel="2">
      <c r="A80" s="308"/>
      <c r="B80" s="308"/>
      <c r="C80" s="308"/>
      <c r="D80" s="308"/>
      <c r="E80" s="3612"/>
      <c r="F80" s="1767" t="s">
        <v>35</v>
      </c>
      <c r="G80" s="514"/>
      <c r="H80" s="513"/>
      <c r="I80" s="513"/>
      <c r="J80" s="513"/>
      <c r="K80" s="515"/>
      <c r="L80" s="467"/>
      <c r="M80" s="513"/>
      <c r="N80" s="513"/>
      <c r="O80" s="513"/>
      <c r="P80" s="515"/>
      <c r="Q80" s="510"/>
      <c r="R80" s="510"/>
      <c r="S80" s="510"/>
      <c r="T80" s="510"/>
      <c r="U80" s="510"/>
      <c r="V80" s="510"/>
      <c r="X80" s="1427"/>
      <c r="Y80" s="1427"/>
      <c r="Z80" s="1427"/>
      <c r="AA80" s="517"/>
      <c r="AB80" s="518"/>
      <c r="AC80" s="518"/>
      <c r="AD80" s="518"/>
      <c r="AE80" s="519"/>
      <c r="AF80" s="571"/>
      <c r="AG80" s="518"/>
      <c r="AH80" s="519"/>
    </row>
    <row r="81" spans="1:34" s="529" customFormat="1" ht="13.5" outlineLevel="2" thickBot="1">
      <c r="A81" s="308"/>
      <c r="B81" s="308"/>
      <c r="C81" s="308"/>
      <c r="D81" s="308"/>
      <c r="E81" s="3613"/>
      <c r="F81" s="406" t="s">
        <v>621</v>
      </c>
      <c r="G81" s="433">
        <f t="shared" ref="G81:P81" si="78">G79-G80</f>
        <v>0</v>
      </c>
      <c r="H81" s="413">
        <f t="shared" si="78"/>
        <v>0</v>
      </c>
      <c r="I81" s="413">
        <f t="shared" si="78"/>
        <v>0</v>
      </c>
      <c r="J81" s="413">
        <f t="shared" si="78"/>
        <v>0</v>
      </c>
      <c r="K81" s="414">
        <f t="shared" si="78"/>
        <v>0</v>
      </c>
      <c r="L81" s="1255">
        <f t="shared" si="78"/>
        <v>0</v>
      </c>
      <c r="M81" s="413">
        <f t="shared" si="78"/>
        <v>0</v>
      </c>
      <c r="N81" s="413">
        <f t="shared" si="78"/>
        <v>0</v>
      </c>
      <c r="O81" s="413">
        <f t="shared" si="78"/>
        <v>0</v>
      </c>
      <c r="P81" s="414">
        <f t="shared" si="78"/>
        <v>0</v>
      </c>
      <c r="Q81" s="510"/>
      <c r="R81" s="510"/>
      <c r="S81" s="510"/>
      <c r="T81" s="510"/>
      <c r="U81" s="510"/>
      <c r="V81" s="510"/>
      <c r="X81" s="1427"/>
      <c r="Y81" s="1427"/>
      <c r="Z81" s="1427"/>
      <c r="AA81" s="2126">
        <f t="shared" ref="AA81:AH81" si="79">AA79-AA80</f>
        <v>0</v>
      </c>
      <c r="AB81" s="2127">
        <f t="shared" si="79"/>
        <v>0</v>
      </c>
      <c r="AC81" s="2127">
        <f t="shared" si="79"/>
        <v>0</v>
      </c>
      <c r="AD81" s="2127">
        <f t="shared" si="79"/>
        <v>0</v>
      </c>
      <c r="AE81" s="2128">
        <f t="shared" si="79"/>
        <v>0</v>
      </c>
      <c r="AF81" s="2129">
        <f t="shared" si="79"/>
        <v>0</v>
      </c>
      <c r="AG81" s="2127">
        <f t="shared" si="79"/>
        <v>0</v>
      </c>
      <c r="AH81" s="2128">
        <f t="shared" si="79"/>
        <v>0</v>
      </c>
    </row>
    <row r="82" spans="1:34" outlineLevel="2">
      <c r="A82" s="308"/>
      <c r="B82" s="308"/>
      <c r="C82" s="308"/>
      <c r="E82" s="3614" t="s">
        <v>89</v>
      </c>
      <c r="F82" s="240" t="s">
        <v>615</v>
      </c>
      <c r="G82" s="527"/>
      <c r="H82" s="522"/>
      <c r="I82" s="522"/>
      <c r="J82" s="522"/>
      <c r="K82" s="535"/>
      <c r="L82" s="1253"/>
      <c r="M82" s="522"/>
      <c r="N82" s="522"/>
      <c r="O82" s="522"/>
      <c r="P82" s="535"/>
      <c r="Q82" s="93"/>
      <c r="R82" s="93"/>
      <c r="S82" s="93"/>
      <c r="T82" s="93"/>
      <c r="U82" s="93"/>
      <c r="V82" s="93"/>
      <c r="W82" s="78"/>
      <c r="AA82" s="517"/>
      <c r="AB82" s="518"/>
      <c r="AC82" s="518"/>
      <c r="AD82" s="518"/>
      <c r="AE82" s="519"/>
      <c r="AF82" s="571"/>
      <c r="AG82" s="518"/>
      <c r="AH82" s="519"/>
    </row>
    <row r="83" spans="1:34" outlineLevel="2">
      <c r="A83" s="308"/>
      <c r="B83" s="308"/>
      <c r="C83" s="308"/>
      <c r="E83" s="3612"/>
      <c r="F83" s="237" t="s">
        <v>619</v>
      </c>
      <c r="G83" s="514"/>
      <c r="H83" s="513"/>
      <c r="I83" s="513"/>
      <c r="J83" s="513"/>
      <c r="K83" s="515"/>
      <c r="L83" s="467"/>
      <c r="M83" s="513"/>
      <c r="N83" s="513"/>
      <c r="O83" s="513"/>
      <c r="P83" s="515"/>
      <c r="Q83" s="93"/>
      <c r="R83" s="93"/>
      <c r="S83" s="93"/>
      <c r="T83" s="93"/>
      <c r="U83" s="93"/>
      <c r="V83" s="93"/>
      <c r="W83" s="78"/>
      <c r="AA83" s="517"/>
      <c r="AB83" s="518"/>
      <c r="AC83" s="518"/>
      <c r="AD83" s="518"/>
      <c r="AE83" s="519"/>
      <c r="AF83" s="571"/>
      <c r="AG83" s="518"/>
      <c r="AH83" s="519"/>
    </row>
    <row r="84" spans="1:34" outlineLevel="2">
      <c r="A84" s="308"/>
      <c r="B84" s="308"/>
      <c r="C84" s="308"/>
      <c r="E84" s="3612"/>
      <c r="F84" s="237" t="s">
        <v>617</v>
      </c>
      <c r="G84" s="514"/>
      <c r="H84" s="513"/>
      <c r="I84" s="513"/>
      <c r="J84" s="513"/>
      <c r="K84" s="515"/>
      <c r="L84" s="467"/>
      <c r="M84" s="513"/>
      <c r="N84" s="513"/>
      <c r="O84" s="513"/>
      <c r="P84" s="515"/>
      <c r="Q84" s="93"/>
      <c r="R84" s="93"/>
      <c r="S84" s="93"/>
      <c r="T84" s="93"/>
      <c r="U84" s="93"/>
      <c r="V84" s="93"/>
      <c r="W84" s="78"/>
      <c r="AA84" s="517"/>
      <c r="AB84" s="518"/>
      <c r="AC84" s="518"/>
      <c r="AD84" s="518"/>
      <c r="AE84" s="519"/>
      <c r="AF84" s="571"/>
      <c r="AG84" s="518"/>
      <c r="AH84" s="519"/>
    </row>
    <row r="85" spans="1:34" outlineLevel="2">
      <c r="A85" s="308"/>
      <c r="B85" s="308"/>
      <c r="C85" s="308"/>
      <c r="E85" s="3612"/>
      <c r="F85" s="240" t="s">
        <v>620</v>
      </c>
      <c r="G85" s="432">
        <f t="shared" ref="G85:P85" si="80">SUM(G83:G84)</f>
        <v>0</v>
      </c>
      <c r="H85" s="411">
        <f t="shared" si="80"/>
        <v>0</v>
      </c>
      <c r="I85" s="411">
        <f t="shared" si="80"/>
        <v>0</v>
      </c>
      <c r="J85" s="411">
        <f t="shared" si="80"/>
        <v>0</v>
      </c>
      <c r="K85" s="412">
        <f t="shared" si="80"/>
        <v>0</v>
      </c>
      <c r="L85" s="1254">
        <f t="shared" si="80"/>
        <v>0</v>
      </c>
      <c r="M85" s="411">
        <f t="shared" si="80"/>
        <v>0</v>
      </c>
      <c r="N85" s="411">
        <f t="shared" si="80"/>
        <v>0</v>
      </c>
      <c r="O85" s="411">
        <f t="shared" si="80"/>
        <v>0</v>
      </c>
      <c r="P85" s="412">
        <f t="shared" si="80"/>
        <v>0</v>
      </c>
      <c r="Q85" s="93"/>
      <c r="R85" s="93"/>
      <c r="S85" s="93"/>
      <c r="T85" s="93"/>
      <c r="U85" s="93"/>
      <c r="V85" s="93"/>
      <c r="W85" s="78"/>
      <c r="AA85" s="2122">
        <f t="shared" ref="AA85:AH85" si="81">SUM(AA83:AA84)</f>
        <v>0</v>
      </c>
      <c r="AB85" s="2123">
        <f t="shared" si="81"/>
        <v>0</v>
      </c>
      <c r="AC85" s="2123">
        <f t="shared" si="81"/>
        <v>0</v>
      </c>
      <c r="AD85" s="2123">
        <f t="shared" si="81"/>
        <v>0</v>
      </c>
      <c r="AE85" s="2124">
        <f t="shared" si="81"/>
        <v>0</v>
      </c>
      <c r="AF85" s="2125">
        <f t="shared" si="81"/>
        <v>0</v>
      </c>
      <c r="AG85" s="2123">
        <f t="shared" si="81"/>
        <v>0</v>
      </c>
      <c r="AH85" s="2124">
        <f t="shared" si="81"/>
        <v>0</v>
      </c>
    </row>
    <row r="86" spans="1:34" outlineLevel="2">
      <c r="A86" s="308"/>
      <c r="B86" s="308"/>
      <c r="C86" s="308"/>
      <c r="E86" s="3612"/>
      <c r="F86" s="237" t="s">
        <v>35</v>
      </c>
      <c r="G86" s="514"/>
      <c r="H86" s="513"/>
      <c r="I86" s="513"/>
      <c r="J86" s="513"/>
      <c r="K86" s="515"/>
      <c r="L86" s="467"/>
      <c r="M86" s="513"/>
      <c r="N86" s="513"/>
      <c r="O86" s="513"/>
      <c r="P86" s="515"/>
      <c r="Q86" s="93"/>
      <c r="R86" s="93"/>
      <c r="S86" s="93"/>
      <c r="T86" s="93"/>
      <c r="U86" s="93"/>
      <c r="V86" s="93"/>
      <c r="W86" s="78"/>
      <c r="AA86" s="517"/>
      <c r="AB86" s="518"/>
      <c r="AC86" s="518"/>
      <c r="AD86" s="518"/>
      <c r="AE86" s="519"/>
      <c r="AF86" s="571"/>
      <c r="AG86" s="518"/>
      <c r="AH86" s="519"/>
    </row>
    <row r="87" spans="1:34" ht="13.5" outlineLevel="2" thickBot="1">
      <c r="A87" s="308"/>
      <c r="B87" s="308"/>
      <c r="C87" s="308"/>
      <c r="E87" s="3613"/>
      <c r="F87" s="406" t="s">
        <v>621</v>
      </c>
      <c r="G87" s="433">
        <f t="shared" ref="G87:M87" si="82">G85-G86</f>
        <v>0</v>
      </c>
      <c r="H87" s="413">
        <f t="shared" si="82"/>
        <v>0</v>
      </c>
      <c r="I87" s="413">
        <f t="shared" si="82"/>
        <v>0</v>
      </c>
      <c r="J87" s="413">
        <f t="shared" si="82"/>
        <v>0</v>
      </c>
      <c r="K87" s="414">
        <f t="shared" si="82"/>
        <v>0</v>
      </c>
      <c r="L87" s="1255">
        <f t="shared" si="82"/>
        <v>0</v>
      </c>
      <c r="M87" s="413">
        <f t="shared" si="82"/>
        <v>0</v>
      </c>
      <c r="N87" s="413">
        <f t="shared" si="74"/>
        <v>0</v>
      </c>
      <c r="O87" s="413">
        <f t="shared" si="74"/>
        <v>0</v>
      </c>
      <c r="P87" s="414">
        <f t="shared" si="74"/>
        <v>0</v>
      </c>
      <c r="Q87" s="93"/>
      <c r="R87" s="93"/>
      <c r="S87" s="93"/>
      <c r="T87" s="93"/>
      <c r="U87" s="93"/>
      <c r="V87" s="93"/>
      <c r="W87" s="78"/>
      <c r="AA87" s="2126">
        <f t="shared" ref="AA87:AH87" si="83">AA85-AA86</f>
        <v>0</v>
      </c>
      <c r="AB87" s="2127">
        <f t="shared" si="83"/>
        <v>0</v>
      </c>
      <c r="AC87" s="2127">
        <f t="shared" si="83"/>
        <v>0</v>
      </c>
      <c r="AD87" s="2127">
        <f t="shared" si="83"/>
        <v>0</v>
      </c>
      <c r="AE87" s="2128">
        <f t="shared" si="83"/>
        <v>0</v>
      </c>
      <c r="AF87" s="2129">
        <f t="shared" si="83"/>
        <v>0</v>
      </c>
      <c r="AG87" s="2127">
        <f t="shared" si="83"/>
        <v>0</v>
      </c>
      <c r="AH87" s="2128">
        <f t="shared" si="83"/>
        <v>0</v>
      </c>
    </row>
    <row r="88" spans="1:34" outlineLevel="2">
      <c r="A88" s="308"/>
      <c r="B88" s="308"/>
      <c r="C88" s="308"/>
      <c r="E88" s="3614" t="s">
        <v>89</v>
      </c>
      <c r="F88" s="240" t="s">
        <v>615</v>
      </c>
      <c r="G88" s="527"/>
      <c r="H88" s="522"/>
      <c r="I88" s="522"/>
      <c r="J88" s="522"/>
      <c r="K88" s="535"/>
      <c r="L88" s="1253"/>
      <c r="M88" s="522"/>
      <c r="N88" s="522"/>
      <c r="O88" s="522"/>
      <c r="P88" s="535"/>
      <c r="Q88" s="93"/>
      <c r="R88" s="93"/>
      <c r="S88" s="93"/>
      <c r="T88" s="93"/>
      <c r="U88" s="93"/>
      <c r="V88" s="93"/>
      <c r="W88" s="78"/>
      <c r="AA88" s="517"/>
      <c r="AB88" s="518"/>
      <c r="AC88" s="518"/>
      <c r="AD88" s="518"/>
      <c r="AE88" s="519"/>
      <c r="AF88" s="571"/>
      <c r="AG88" s="518"/>
      <c r="AH88" s="519"/>
    </row>
    <row r="89" spans="1:34" outlineLevel="2">
      <c r="A89" s="308"/>
      <c r="B89" s="308"/>
      <c r="C89" s="308"/>
      <c r="E89" s="3612"/>
      <c r="F89" s="237" t="s">
        <v>619</v>
      </c>
      <c r="G89" s="514"/>
      <c r="H89" s="513"/>
      <c r="I89" s="513"/>
      <c r="J89" s="513"/>
      <c r="K89" s="515"/>
      <c r="L89" s="467"/>
      <c r="M89" s="513"/>
      <c r="N89" s="513"/>
      <c r="O89" s="513"/>
      <c r="P89" s="515"/>
      <c r="Q89" s="93"/>
      <c r="R89" s="93"/>
      <c r="S89" s="93"/>
      <c r="T89" s="93"/>
      <c r="U89" s="93"/>
      <c r="V89" s="93"/>
      <c r="W89" s="78"/>
      <c r="AA89" s="517"/>
      <c r="AB89" s="518"/>
      <c r="AC89" s="518"/>
      <c r="AD89" s="518"/>
      <c r="AE89" s="519"/>
      <c r="AF89" s="571"/>
      <c r="AG89" s="518"/>
      <c r="AH89" s="519"/>
    </row>
    <row r="90" spans="1:34" outlineLevel="2">
      <c r="A90" s="308"/>
      <c r="B90" s="308"/>
      <c r="C90" s="308"/>
      <c r="E90" s="3612"/>
      <c r="F90" s="237" t="s">
        <v>617</v>
      </c>
      <c r="G90" s="514"/>
      <c r="H90" s="513"/>
      <c r="I90" s="513"/>
      <c r="J90" s="513"/>
      <c r="K90" s="515"/>
      <c r="L90" s="467"/>
      <c r="M90" s="513"/>
      <c r="N90" s="513"/>
      <c r="O90" s="513"/>
      <c r="P90" s="515"/>
      <c r="Q90" s="93"/>
      <c r="R90" s="93"/>
      <c r="S90" s="93"/>
      <c r="T90" s="93"/>
      <c r="U90" s="93"/>
      <c r="V90" s="93"/>
      <c r="W90" s="78"/>
      <c r="AA90" s="517"/>
      <c r="AB90" s="518"/>
      <c r="AC90" s="518"/>
      <c r="AD90" s="518"/>
      <c r="AE90" s="519"/>
      <c r="AF90" s="571"/>
      <c r="AG90" s="518"/>
      <c r="AH90" s="519"/>
    </row>
    <row r="91" spans="1:34" outlineLevel="2">
      <c r="A91" s="308"/>
      <c r="B91" s="308"/>
      <c r="C91" s="308"/>
      <c r="E91" s="3612"/>
      <c r="F91" s="240" t="s">
        <v>620</v>
      </c>
      <c r="G91" s="432">
        <f t="shared" ref="G91:P91" si="84">SUM(G89:G90)</f>
        <v>0</v>
      </c>
      <c r="H91" s="411">
        <f t="shared" si="84"/>
        <v>0</v>
      </c>
      <c r="I91" s="411">
        <f t="shared" si="84"/>
        <v>0</v>
      </c>
      <c r="J91" s="411">
        <f t="shared" si="84"/>
        <v>0</v>
      </c>
      <c r="K91" s="412">
        <f t="shared" si="84"/>
        <v>0</v>
      </c>
      <c r="L91" s="1254">
        <f t="shared" si="84"/>
        <v>0</v>
      </c>
      <c r="M91" s="411">
        <f t="shared" si="84"/>
        <v>0</v>
      </c>
      <c r="N91" s="411">
        <f t="shared" si="84"/>
        <v>0</v>
      </c>
      <c r="O91" s="411">
        <f t="shared" si="84"/>
        <v>0</v>
      </c>
      <c r="P91" s="412">
        <f t="shared" si="84"/>
        <v>0</v>
      </c>
      <c r="Q91" s="93"/>
      <c r="R91" s="93"/>
      <c r="S91" s="93"/>
      <c r="T91" s="93"/>
      <c r="U91" s="93"/>
      <c r="V91" s="93"/>
      <c r="W91" s="78"/>
      <c r="AA91" s="2122">
        <f t="shared" ref="AA91:AH91" si="85">SUM(AA89:AA90)</f>
        <v>0</v>
      </c>
      <c r="AB91" s="2123">
        <f t="shared" si="85"/>
        <v>0</v>
      </c>
      <c r="AC91" s="2123">
        <f t="shared" si="85"/>
        <v>0</v>
      </c>
      <c r="AD91" s="2123">
        <f t="shared" si="85"/>
        <v>0</v>
      </c>
      <c r="AE91" s="2124">
        <f t="shared" si="85"/>
        <v>0</v>
      </c>
      <c r="AF91" s="2125">
        <f t="shared" si="85"/>
        <v>0</v>
      </c>
      <c r="AG91" s="2123">
        <f t="shared" si="85"/>
        <v>0</v>
      </c>
      <c r="AH91" s="2124">
        <f t="shared" si="85"/>
        <v>0</v>
      </c>
    </row>
    <row r="92" spans="1:34" outlineLevel="2">
      <c r="A92" s="308"/>
      <c r="B92" s="308"/>
      <c r="C92" s="308"/>
      <c r="E92" s="3612"/>
      <c r="F92" s="237" t="s">
        <v>35</v>
      </c>
      <c r="G92" s="514"/>
      <c r="H92" s="513"/>
      <c r="I92" s="513"/>
      <c r="J92" s="513"/>
      <c r="K92" s="515"/>
      <c r="L92" s="467"/>
      <c r="M92" s="513"/>
      <c r="N92" s="513"/>
      <c r="O92" s="513"/>
      <c r="P92" s="515"/>
      <c r="Q92" s="93"/>
      <c r="R92" s="93"/>
      <c r="S92" s="93"/>
      <c r="T92" s="93"/>
      <c r="U92" s="93"/>
      <c r="V92" s="93"/>
      <c r="W92" s="78"/>
      <c r="AA92" s="517"/>
      <c r="AB92" s="518"/>
      <c r="AC92" s="518"/>
      <c r="AD92" s="518"/>
      <c r="AE92" s="519"/>
      <c r="AF92" s="571"/>
      <c r="AG92" s="518"/>
      <c r="AH92" s="519"/>
    </row>
    <row r="93" spans="1:34" ht="13.5" outlineLevel="2" thickBot="1">
      <c r="A93" s="308"/>
      <c r="B93" s="308"/>
      <c r="C93" s="308"/>
      <c r="E93" s="3613"/>
      <c r="F93" s="406" t="s">
        <v>621</v>
      </c>
      <c r="G93" s="433">
        <f t="shared" ref="G93:P93" si="86">G91-G92</f>
        <v>0</v>
      </c>
      <c r="H93" s="413">
        <f t="shared" si="86"/>
        <v>0</v>
      </c>
      <c r="I93" s="413">
        <f t="shared" si="86"/>
        <v>0</v>
      </c>
      <c r="J93" s="413">
        <f t="shared" si="86"/>
        <v>0</v>
      </c>
      <c r="K93" s="414">
        <f t="shared" si="86"/>
        <v>0</v>
      </c>
      <c r="L93" s="1255">
        <f t="shared" si="86"/>
        <v>0</v>
      </c>
      <c r="M93" s="413">
        <f t="shared" si="86"/>
        <v>0</v>
      </c>
      <c r="N93" s="413">
        <f t="shared" ref="N93" si="87">N91-N92</f>
        <v>0</v>
      </c>
      <c r="O93" s="413">
        <f t="shared" si="86"/>
        <v>0</v>
      </c>
      <c r="P93" s="414">
        <f t="shared" si="86"/>
        <v>0</v>
      </c>
      <c r="Q93" s="93"/>
      <c r="R93" s="93"/>
      <c r="S93" s="93"/>
      <c r="T93" s="93"/>
      <c r="U93" s="93"/>
      <c r="V93" s="93"/>
      <c r="W93" s="78"/>
      <c r="AA93" s="2126">
        <f t="shared" ref="AA93:AH93" si="88">AA91-AA92</f>
        <v>0</v>
      </c>
      <c r="AB93" s="2127">
        <f t="shared" si="88"/>
        <v>0</v>
      </c>
      <c r="AC93" s="2127">
        <f t="shared" si="88"/>
        <v>0</v>
      </c>
      <c r="AD93" s="2127">
        <f t="shared" si="88"/>
        <v>0</v>
      </c>
      <c r="AE93" s="2128">
        <f t="shared" si="88"/>
        <v>0</v>
      </c>
      <c r="AF93" s="2129">
        <f t="shared" si="88"/>
        <v>0</v>
      </c>
      <c r="AG93" s="2127">
        <f t="shared" si="88"/>
        <v>0</v>
      </c>
      <c r="AH93" s="2128">
        <f t="shared" si="88"/>
        <v>0</v>
      </c>
    </row>
    <row r="94" spans="1:34">
      <c r="A94" s="308"/>
      <c r="B94" s="308"/>
      <c r="C94" s="308"/>
      <c r="E94" s="3607" t="s">
        <v>370</v>
      </c>
      <c r="F94" s="1682" t="s">
        <v>616</v>
      </c>
      <c r="G94" s="415">
        <f t="shared" ref="G94:P94" ca="1" si="89">SUMIF($F$70:$P$93,"Total direct expenditure",G70:G93)</f>
        <v>0</v>
      </c>
      <c r="H94" s="416">
        <f t="shared" ca="1" si="89"/>
        <v>0</v>
      </c>
      <c r="I94" s="416">
        <f t="shared" ca="1" si="89"/>
        <v>0</v>
      </c>
      <c r="J94" s="416">
        <f t="shared" ca="1" si="89"/>
        <v>0</v>
      </c>
      <c r="K94" s="436">
        <f t="shared" ca="1" si="89"/>
        <v>0</v>
      </c>
      <c r="L94" s="1256">
        <f t="shared" ca="1" si="89"/>
        <v>0</v>
      </c>
      <c r="M94" s="416">
        <f t="shared" ca="1" si="89"/>
        <v>0</v>
      </c>
      <c r="N94" s="416">
        <f t="shared" ca="1" si="89"/>
        <v>0</v>
      </c>
      <c r="O94" s="416">
        <f t="shared" ca="1" si="89"/>
        <v>0</v>
      </c>
      <c r="P94" s="436">
        <f t="shared" ca="1" si="89"/>
        <v>0</v>
      </c>
      <c r="Q94" s="145"/>
      <c r="R94" s="145"/>
      <c r="S94" s="145"/>
      <c r="T94" s="145"/>
      <c r="U94" s="145"/>
      <c r="V94" s="136"/>
      <c r="W94" s="78"/>
      <c r="AA94" s="2120">
        <f t="shared" ref="AA94:AH94" ca="1" si="90">SUMIF($F$70:$P$93,"Total direct expenditure",AA70:AA93)</f>
        <v>0</v>
      </c>
      <c r="AB94" s="416">
        <f t="shared" ca="1" si="90"/>
        <v>0</v>
      </c>
      <c r="AC94" s="416">
        <f t="shared" ca="1" si="90"/>
        <v>0</v>
      </c>
      <c r="AD94" s="416">
        <f t="shared" ca="1" si="90"/>
        <v>0</v>
      </c>
      <c r="AE94" s="436">
        <f t="shared" ca="1" si="90"/>
        <v>0</v>
      </c>
      <c r="AF94" s="1256">
        <f t="shared" ca="1" si="90"/>
        <v>0</v>
      </c>
      <c r="AG94" s="416">
        <f t="shared" ca="1" si="90"/>
        <v>0</v>
      </c>
      <c r="AH94" s="436">
        <f t="shared" ca="1" si="90"/>
        <v>0</v>
      </c>
    </row>
    <row r="95" spans="1:34">
      <c r="A95" s="308"/>
      <c r="B95" s="308"/>
      <c r="C95" s="308"/>
      <c r="E95" s="3608"/>
      <c r="F95" s="1703" t="s">
        <v>12</v>
      </c>
      <c r="G95" s="417">
        <f t="shared" ref="G95:P95" ca="1" si="91">SUMIF($F$70:$P$93,"Total overhead expenditure",G70:G93)</f>
        <v>0</v>
      </c>
      <c r="H95" s="418">
        <f t="shared" ca="1" si="91"/>
        <v>0</v>
      </c>
      <c r="I95" s="418">
        <f t="shared" ca="1" si="91"/>
        <v>0</v>
      </c>
      <c r="J95" s="418">
        <f t="shared" ca="1" si="91"/>
        <v>0</v>
      </c>
      <c r="K95" s="434">
        <f t="shared" ca="1" si="91"/>
        <v>0</v>
      </c>
      <c r="L95" s="1257">
        <f t="shared" ca="1" si="91"/>
        <v>0</v>
      </c>
      <c r="M95" s="418">
        <f t="shared" ca="1" si="91"/>
        <v>0</v>
      </c>
      <c r="N95" s="418">
        <f t="shared" ca="1" si="91"/>
        <v>0</v>
      </c>
      <c r="O95" s="418">
        <f t="shared" ca="1" si="91"/>
        <v>0</v>
      </c>
      <c r="P95" s="434">
        <f t="shared" ca="1" si="91"/>
        <v>0</v>
      </c>
      <c r="Q95" s="123"/>
      <c r="R95" s="24"/>
      <c r="S95" s="24"/>
      <c r="T95" s="24"/>
      <c r="U95" s="24"/>
      <c r="V95" s="24"/>
      <c r="W95" s="78"/>
      <c r="AA95" s="417">
        <f t="shared" ref="AA95:AH95" ca="1" si="92">SUMIF($F$70:$P$93,"Total overhead expenditure",AA70:AA93)</f>
        <v>0</v>
      </c>
      <c r="AB95" s="418">
        <f t="shared" ca="1" si="92"/>
        <v>0</v>
      </c>
      <c r="AC95" s="418">
        <f t="shared" ca="1" si="92"/>
        <v>0</v>
      </c>
      <c r="AD95" s="418">
        <f t="shared" ca="1" si="92"/>
        <v>0</v>
      </c>
      <c r="AE95" s="434">
        <f t="shared" ca="1" si="92"/>
        <v>0</v>
      </c>
      <c r="AF95" s="1257">
        <f t="shared" ca="1" si="92"/>
        <v>0</v>
      </c>
      <c r="AG95" s="418">
        <f t="shared" ca="1" si="92"/>
        <v>0</v>
      </c>
      <c r="AH95" s="434">
        <f t="shared" ca="1" si="92"/>
        <v>0</v>
      </c>
    </row>
    <row r="96" spans="1:34">
      <c r="A96" s="308"/>
      <c r="B96" s="308"/>
      <c r="C96" s="308"/>
      <c r="E96" s="3608"/>
      <c r="F96" s="1703" t="s">
        <v>617</v>
      </c>
      <c r="G96" s="417">
        <f t="shared" ref="G96:P96" ca="1" si="93">SUMIF($F$70:$P$93,"Related party margin expenditure",G70:G93)</f>
        <v>0</v>
      </c>
      <c r="H96" s="418">
        <f t="shared" ca="1" si="93"/>
        <v>0</v>
      </c>
      <c r="I96" s="418">
        <f t="shared" ca="1" si="93"/>
        <v>0</v>
      </c>
      <c r="J96" s="418">
        <f t="shared" ca="1" si="93"/>
        <v>0</v>
      </c>
      <c r="K96" s="434">
        <f t="shared" ca="1" si="93"/>
        <v>0</v>
      </c>
      <c r="L96" s="1257">
        <f t="shared" ca="1" si="93"/>
        <v>0</v>
      </c>
      <c r="M96" s="418">
        <f t="shared" ca="1" si="93"/>
        <v>0</v>
      </c>
      <c r="N96" s="418">
        <f t="shared" ca="1" si="93"/>
        <v>0</v>
      </c>
      <c r="O96" s="418">
        <f t="shared" ca="1" si="93"/>
        <v>0</v>
      </c>
      <c r="P96" s="434">
        <f t="shared" ca="1" si="93"/>
        <v>0</v>
      </c>
      <c r="Q96" s="24"/>
      <c r="R96" s="24"/>
      <c r="S96" s="24"/>
      <c r="T96" s="24"/>
      <c r="U96" s="24"/>
      <c r="V96" s="24"/>
      <c r="W96" s="78"/>
      <c r="AA96" s="417">
        <f t="shared" ref="AA96:AH96" ca="1" si="94">SUMIF($F$70:$P$93,"Related party margin expenditure",AA70:AA93)</f>
        <v>0</v>
      </c>
      <c r="AB96" s="418">
        <f t="shared" ca="1" si="94"/>
        <v>0</v>
      </c>
      <c r="AC96" s="418">
        <f t="shared" ca="1" si="94"/>
        <v>0</v>
      </c>
      <c r="AD96" s="418">
        <f t="shared" ca="1" si="94"/>
        <v>0</v>
      </c>
      <c r="AE96" s="434">
        <f t="shared" ca="1" si="94"/>
        <v>0</v>
      </c>
      <c r="AF96" s="1257">
        <f t="shared" ca="1" si="94"/>
        <v>0</v>
      </c>
      <c r="AG96" s="418">
        <f t="shared" ca="1" si="94"/>
        <v>0</v>
      </c>
      <c r="AH96" s="434">
        <f t="shared" ca="1" si="94"/>
        <v>0</v>
      </c>
    </row>
    <row r="97" spans="1:34" s="70" customFormat="1">
      <c r="A97" s="360"/>
      <c r="B97" s="360"/>
      <c r="C97" s="360"/>
      <c r="D97" s="360"/>
      <c r="E97" s="3608"/>
      <c r="F97" s="982" t="s">
        <v>620</v>
      </c>
      <c r="G97" s="419">
        <f t="shared" ref="G97:P97" ca="1" si="95">SUMIF($F$70:$P$93,"Total gross expenditure",G70:G93)</f>
        <v>0</v>
      </c>
      <c r="H97" s="408">
        <f t="shared" ca="1" si="95"/>
        <v>0</v>
      </c>
      <c r="I97" s="408">
        <f t="shared" ca="1" si="95"/>
        <v>0</v>
      </c>
      <c r="J97" s="408">
        <f t="shared" ca="1" si="95"/>
        <v>0</v>
      </c>
      <c r="K97" s="435">
        <f t="shared" ca="1" si="95"/>
        <v>0</v>
      </c>
      <c r="L97" s="407">
        <f t="shared" ca="1" si="95"/>
        <v>0</v>
      </c>
      <c r="M97" s="408">
        <f t="shared" ca="1" si="95"/>
        <v>0</v>
      </c>
      <c r="N97" s="408">
        <f t="shared" ca="1" si="95"/>
        <v>0</v>
      </c>
      <c r="O97" s="408">
        <f t="shared" ca="1" si="95"/>
        <v>0</v>
      </c>
      <c r="P97" s="435">
        <f t="shared" ca="1" si="95"/>
        <v>0</v>
      </c>
      <c r="Q97" s="149"/>
      <c r="R97" s="136"/>
      <c r="S97" s="136"/>
      <c r="T97" s="136"/>
      <c r="U97" s="136"/>
      <c r="V97" s="136"/>
      <c r="X97"/>
      <c r="Y97"/>
      <c r="Z97"/>
      <c r="AA97" s="419">
        <f t="shared" ref="AA97:AH97" ca="1" si="96">SUMIF($F$70:$P$93,"Total gross expenditure",AA70:AA93)</f>
        <v>0</v>
      </c>
      <c r="AB97" s="408">
        <f t="shared" ca="1" si="96"/>
        <v>0</v>
      </c>
      <c r="AC97" s="408">
        <f t="shared" ca="1" si="96"/>
        <v>0</v>
      </c>
      <c r="AD97" s="408">
        <f t="shared" ca="1" si="96"/>
        <v>0</v>
      </c>
      <c r="AE97" s="435">
        <f t="shared" ca="1" si="96"/>
        <v>0</v>
      </c>
      <c r="AF97" s="407">
        <f t="shared" ca="1" si="96"/>
        <v>0</v>
      </c>
      <c r="AG97" s="408">
        <f t="shared" ca="1" si="96"/>
        <v>0</v>
      </c>
      <c r="AH97" s="435">
        <f t="shared" ca="1" si="96"/>
        <v>0</v>
      </c>
    </row>
    <row r="98" spans="1:34" s="70" customFormat="1">
      <c r="A98" s="360"/>
      <c r="B98" s="360"/>
      <c r="C98" s="360"/>
      <c r="D98" s="360"/>
      <c r="E98" s="3608"/>
      <c r="F98" s="1703" t="s">
        <v>35</v>
      </c>
      <c r="G98" s="417">
        <f t="shared" ref="G98:P98" ca="1" si="97">SUMIF($F$70:$P$93,"Less customer contributions",G70:G93)</f>
        <v>0</v>
      </c>
      <c r="H98" s="418">
        <f t="shared" ca="1" si="97"/>
        <v>0</v>
      </c>
      <c r="I98" s="418">
        <f t="shared" ca="1" si="97"/>
        <v>0</v>
      </c>
      <c r="J98" s="418">
        <f t="shared" ca="1" si="97"/>
        <v>0</v>
      </c>
      <c r="K98" s="434">
        <f t="shared" ca="1" si="97"/>
        <v>0</v>
      </c>
      <c r="L98" s="1257">
        <f t="shared" ca="1" si="97"/>
        <v>0</v>
      </c>
      <c r="M98" s="418">
        <f t="shared" ca="1" si="97"/>
        <v>0</v>
      </c>
      <c r="N98" s="418">
        <f t="shared" ca="1" si="97"/>
        <v>0</v>
      </c>
      <c r="O98" s="418">
        <f t="shared" ca="1" si="97"/>
        <v>0</v>
      </c>
      <c r="P98" s="434">
        <f t="shared" ca="1" si="97"/>
        <v>0</v>
      </c>
      <c r="Q98" s="140"/>
      <c r="R98" s="135"/>
      <c r="S98" s="135"/>
      <c r="T98" s="135"/>
      <c r="U98" s="135"/>
      <c r="V98" s="135"/>
      <c r="X98"/>
      <c r="Y98"/>
      <c r="Z98"/>
      <c r="AA98" s="417">
        <f t="shared" ref="AA98:AH98" ca="1" si="98">SUMIF($F$70:$P$93,"Less customer contributions",AA70:AA93)</f>
        <v>0</v>
      </c>
      <c r="AB98" s="418">
        <f t="shared" ca="1" si="98"/>
        <v>0</v>
      </c>
      <c r="AC98" s="418">
        <f t="shared" ca="1" si="98"/>
        <v>0</v>
      </c>
      <c r="AD98" s="418">
        <f t="shared" ca="1" si="98"/>
        <v>0</v>
      </c>
      <c r="AE98" s="434">
        <f t="shared" ca="1" si="98"/>
        <v>0</v>
      </c>
      <c r="AF98" s="1257">
        <f t="shared" ca="1" si="98"/>
        <v>0</v>
      </c>
      <c r="AG98" s="418">
        <f t="shared" ca="1" si="98"/>
        <v>0</v>
      </c>
      <c r="AH98" s="434">
        <f t="shared" ca="1" si="98"/>
        <v>0</v>
      </c>
    </row>
    <row r="99" spans="1:34" s="70" customFormat="1" ht="13.5" thickBot="1">
      <c r="A99" s="360"/>
      <c r="B99" s="360"/>
      <c r="C99" s="360"/>
      <c r="D99" s="360"/>
      <c r="E99" s="3609"/>
      <c r="F99" s="1704" t="s">
        <v>621</v>
      </c>
      <c r="G99" s="437">
        <f t="shared" ref="G99:P99" ca="1" si="99">SUMIF($F$70:$P$93,"Total net expenditure",G70:G93)</f>
        <v>0</v>
      </c>
      <c r="H99" s="438">
        <f t="shared" ca="1" si="99"/>
        <v>0</v>
      </c>
      <c r="I99" s="438">
        <f t="shared" ca="1" si="99"/>
        <v>0</v>
      </c>
      <c r="J99" s="438">
        <f t="shared" ca="1" si="99"/>
        <v>0</v>
      </c>
      <c r="K99" s="439">
        <f t="shared" ca="1" si="99"/>
        <v>0</v>
      </c>
      <c r="L99" s="1258">
        <f t="shared" ca="1" si="99"/>
        <v>0</v>
      </c>
      <c r="M99" s="438">
        <f t="shared" ca="1" si="99"/>
        <v>0</v>
      </c>
      <c r="N99" s="438">
        <f t="shared" ca="1" si="99"/>
        <v>0</v>
      </c>
      <c r="O99" s="438">
        <f t="shared" ca="1" si="99"/>
        <v>0</v>
      </c>
      <c r="P99" s="439">
        <f t="shared" ca="1" si="99"/>
        <v>0</v>
      </c>
      <c r="Q99"/>
      <c r="R99"/>
      <c r="S99"/>
      <c r="T99"/>
      <c r="U99"/>
      <c r="V99"/>
      <c r="W99"/>
      <c r="X99"/>
      <c r="Y99"/>
      <c r="Z99"/>
      <c r="AA99" s="2121">
        <f t="shared" ref="AA99:AH99" ca="1" si="100">SUMIF($F$70:$P$93,"Total net expenditure",AA70:AA93)</f>
        <v>0</v>
      </c>
      <c r="AB99" s="438">
        <f t="shared" ca="1" si="100"/>
        <v>0</v>
      </c>
      <c r="AC99" s="438">
        <f t="shared" ca="1" si="100"/>
        <v>0</v>
      </c>
      <c r="AD99" s="438">
        <f t="shared" ca="1" si="100"/>
        <v>0</v>
      </c>
      <c r="AE99" s="439">
        <f t="shared" ca="1" si="100"/>
        <v>0</v>
      </c>
      <c r="AF99" s="1258">
        <f t="shared" ca="1" si="100"/>
        <v>0</v>
      </c>
      <c r="AG99" s="438">
        <f t="shared" ca="1" si="100"/>
        <v>0</v>
      </c>
      <c r="AH99" s="439">
        <f t="shared" ca="1" si="100"/>
        <v>0</v>
      </c>
    </row>
    <row r="100" spans="1:34" s="70" customFormat="1" ht="40.5" customHeight="1" thickBot="1">
      <c r="A100" s="360"/>
      <c r="B100" s="360"/>
      <c r="C100" s="360"/>
      <c r="D100" s="360"/>
      <c r="E100" s="3610" t="s">
        <v>125</v>
      </c>
      <c r="F100" s="3611"/>
      <c r="G100" s="309"/>
      <c r="H100" s="1498"/>
      <c r="I100" s="1498"/>
      <c r="J100" s="1498"/>
      <c r="K100" s="1498"/>
      <c r="L100" s="1498"/>
      <c r="M100" s="1498"/>
      <c r="N100" s="1498"/>
      <c r="O100" s="1498"/>
      <c r="P100" s="1499"/>
      <c r="Q100"/>
      <c r="R100"/>
      <c r="S100"/>
      <c r="T100"/>
      <c r="U100"/>
      <c r="V100"/>
      <c r="W100"/>
      <c r="X100"/>
      <c r="Y100"/>
      <c r="Z100"/>
      <c r="AA100" s="2107"/>
      <c r="AB100" s="2130"/>
      <c r="AC100" s="2130"/>
      <c r="AD100" s="2130"/>
      <c r="AE100" s="2130"/>
      <c r="AF100" s="2130"/>
      <c r="AG100" s="2130"/>
      <c r="AH100" s="2131"/>
    </row>
    <row r="101" spans="1:34" collapsed="1">
      <c r="A101" s="308"/>
      <c r="B101" s="308"/>
      <c r="C101" s="308"/>
    </row>
    <row r="102" spans="1:34">
      <c r="A102" s="308"/>
      <c r="B102" s="308"/>
      <c r="C102" s="308"/>
      <c r="F102" s="93"/>
      <c r="G102" s="93"/>
      <c r="H102" s="93"/>
      <c r="I102" s="93"/>
      <c r="J102" s="93"/>
      <c r="AA102" s="510"/>
      <c r="AB102" s="510"/>
      <c r="AC102" s="510"/>
      <c r="AD102" s="510"/>
    </row>
    <row r="103" spans="1:34">
      <c r="A103" s="308"/>
      <c r="B103" s="308"/>
      <c r="C103" s="308"/>
      <c r="F103" s="136"/>
      <c r="G103" s="136"/>
      <c r="H103" s="136"/>
      <c r="I103" s="136"/>
      <c r="J103" s="136"/>
      <c r="AA103" s="136"/>
      <c r="AB103" s="136"/>
      <c r="AC103" s="136"/>
      <c r="AD103" s="136"/>
    </row>
    <row r="104" spans="1:34">
      <c r="A104" s="308"/>
      <c r="B104" s="308"/>
      <c r="C104" s="308"/>
      <c r="F104" s="93"/>
      <c r="G104" s="93"/>
      <c r="H104" s="93"/>
      <c r="I104" s="93"/>
      <c r="J104" s="93"/>
      <c r="AA104" s="510"/>
      <c r="AB104" s="510"/>
      <c r="AC104" s="510"/>
      <c r="AD104" s="510"/>
    </row>
    <row r="105" spans="1:34">
      <c r="F105" s="93"/>
      <c r="G105" s="93"/>
      <c r="H105" s="93"/>
      <c r="I105" s="93"/>
      <c r="J105" s="93"/>
      <c r="AA105" s="510"/>
      <c r="AB105" s="510"/>
      <c r="AC105" s="510"/>
      <c r="AD105" s="510"/>
    </row>
    <row r="106" spans="1:34">
      <c r="F106" s="93"/>
      <c r="G106" s="93"/>
      <c r="H106" s="93"/>
      <c r="I106" s="93"/>
      <c r="J106" s="93"/>
      <c r="AA106" s="510"/>
      <c r="AB106" s="510"/>
      <c r="AC106" s="510"/>
      <c r="AD106" s="510"/>
    </row>
    <row r="107" spans="1:34">
      <c r="F107" s="93"/>
      <c r="G107" s="93"/>
      <c r="H107" s="93"/>
      <c r="I107" s="93"/>
      <c r="J107" s="93"/>
      <c r="AA107" s="510"/>
      <c r="AB107" s="510"/>
      <c r="AC107" s="510"/>
      <c r="AD107" s="510"/>
    </row>
    <row r="108" spans="1:34">
      <c r="F108" s="93"/>
      <c r="G108" s="93"/>
      <c r="H108" s="93"/>
      <c r="I108" s="93"/>
      <c r="J108" s="93"/>
      <c r="AA108" s="510"/>
      <c r="AB108" s="510"/>
      <c r="AC108" s="510"/>
      <c r="AD108" s="510"/>
    </row>
    <row r="109" spans="1:34">
      <c r="F109" s="93"/>
      <c r="G109" s="93"/>
      <c r="H109" s="93"/>
      <c r="I109" s="93"/>
      <c r="J109" s="93"/>
      <c r="AA109" s="510"/>
      <c r="AB109" s="510"/>
      <c r="AC109" s="510"/>
      <c r="AD109" s="510"/>
    </row>
    <row r="110" spans="1:34">
      <c r="F110" s="93"/>
      <c r="G110" s="93"/>
      <c r="H110" s="93"/>
      <c r="I110" s="93"/>
      <c r="J110" s="93"/>
      <c r="AA110" s="510"/>
      <c r="AB110" s="510"/>
      <c r="AC110" s="510"/>
      <c r="AD110" s="510"/>
    </row>
    <row r="111" spans="1:34">
      <c r="F111" s="93"/>
      <c r="G111" s="93"/>
      <c r="H111" s="93"/>
      <c r="I111" s="93"/>
      <c r="J111" s="93"/>
      <c r="AA111" s="510"/>
      <c r="AB111" s="510"/>
      <c r="AC111" s="510"/>
      <c r="AD111" s="510"/>
    </row>
    <row r="112" spans="1:34">
      <c r="F112" s="93"/>
      <c r="G112" s="93"/>
      <c r="H112" s="93"/>
      <c r="I112" s="93"/>
      <c r="J112" s="93"/>
      <c r="AA112" s="510"/>
      <c r="AB112" s="510"/>
      <c r="AC112" s="510"/>
      <c r="AD112" s="510"/>
    </row>
    <row r="113" spans="6:30">
      <c r="F113" s="93"/>
      <c r="G113" s="93"/>
      <c r="H113" s="93"/>
      <c r="I113" s="93"/>
      <c r="J113" s="93"/>
      <c r="AA113" s="510"/>
      <c r="AB113" s="510"/>
      <c r="AC113" s="510"/>
      <c r="AD113" s="510"/>
    </row>
    <row r="114" spans="6:30">
      <c r="F114" s="93"/>
      <c r="G114" s="93"/>
      <c r="H114" s="93"/>
      <c r="I114" s="93"/>
      <c r="J114" s="93"/>
      <c r="AA114" s="510"/>
      <c r="AB114" s="510"/>
      <c r="AC114" s="510"/>
      <c r="AD114" s="510"/>
    </row>
    <row r="115" spans="6:30">
      <c r="F115" s="136"/>
      <c r="G115" s="136"/>
      <c r="H115" s="136"/>
      <c r="I115" s="136"/>
      <c r="J115" s="136"/>
      <c r="AA115" s="136"/>
      <c r="AB115" s="136"/>
      <c r="AC115" s="136"/>
      <c r="AD115" s="136"/>
    </row>
    <row r="116" spans="6:30">
      <c r="F116" s="93"/>
      <c r="G116" s="93"/>
      <c r="H116" s="93"/>
      <c r="I116" s="93"/>
      <c r="J116" s="93"/>
      <c r="AA116" s="510"/>
      <c r="AB116" s="510"/>
      <c r="AC116" s="510"/>
      <c r="AD116" s="510"/>
    </row>
    <row r="117" spans="6:30">
      <c r="F117" s="93"/>
      <c r="G117" s="93"/>
      <c r="H117" s="93"/>
      <c r="I117" s="93"/>
      <c r="J117" s="93"/>
      <c r="AA117" s="510"/>
      <c r="AB117" s="510"/>
      <c r="AC117" s="510"/>
      <c r="AD117" s="510"/>
    </row>
    <row r="118" spans="6:30">
      <c r="F118" s="93"/>
      <c r="G118" s="93"/>
      <c r="H118" s="93"/>
      <c r="I118" s="93"/>
      <c r="J118" s="93"/>
      <c r="AA118" s="510"/>
      <c r="AB118" s="510"/>
      <c r="AC118" s="510"/>
      <c r="AD118" s="510"/>
    </row>
    <row r="119" spans="6:30">
      <c r="F119" s="93"/>
      <c r="G119" s="93"/>
      <c r="H119" s="93"/>
      <c r="I119" s="93"/>
      <c r="J119" s="93"/>
      <c r="AA119" s="510"/>
      <c r="AB119" s="510"/>
      <c r="AC119" s="510"/>
      <c r="AD119" s="510"/>
    </row>
    <row r="120" spans="6:30">
      <c r="F120" s="93"/>
      <c r="G120" s="93"/>
      <c r="H120" s="93"/>
      <c r="I120" s="93"/>
      <c r="J120" s="93"/>
      <c r="AA120" s="510"/>
      <c r="AB120" s="510"/>
      <c r="AC120" s="510"/>
      <c r="AD120" s="510"/>
    </row>
    <row r="121" spans="6:30">
      <c r="F121" s="93"/>
      <c r="G121" s="93"/>
      <c r="H121" s="93"/>
      <c r="I121" s="93"/>
      <c r="J121" s="93"/>
      <c r="AA121" s="510"/>
      <c r="AB121" s="510"/>
      <c r="AC121" s="510"/>
      <c r="AD121" s="510"/>
    </row>
    <row r="122" spans="6:30">
      <c r="F122" s="93"/>
      <c r="G122" s="93"/>
      <c r="H122" s="93"/>
      <c r="I122" s="93"/>
      <c r="J122" s="93"/>
      <c r="AA122" s="510"/>
      <c r="AB122" s="510"/>
      <c r="AC122" s="510"/>
      <c r="AD122" s="510"/>
    </row>
    <row r="123" spans="6:30">
      <c r="F123" s="93"/>
      <c r="G123" s="93"/>
      <c r="H123" s="93"/>
      <c r="I123" s="93"/>
      <c r="J123" s="93"/>
      <c r="AA123" s="510"/>
      <c r="AB123" s="510"/>
      <c r="AC123" s="510"/>
      <c r="AD123" s="510"/>
    </row>
    <row r="124" spans="6:30">
      <c r="F124" s="93"/>
      <c r="G124" s="93"/>
      <c r="H124" s="93"/>
      <c r="I124" s="93"/>
      <c r="J124" s="93"/>
      <c r="AA124" s="510"/>
      <c r="AB124" s="510"/>
      <c r="AC124" s="510"/>
      <c r="AD124" s="510"/>
    </row>
    <row r="125" spans="6:30">
      <c r="F125" s="93"/>
      <c r="G125" s="93"/>
      <c r="H125" s="93"/>
      <c r="I125" s="93"/>
      <c r="J125" s="93"/>
      <c r="AA125" s="510"/>
      <c r="AB125" s="510"/>
      <c r="AC125" s="510"/>
      <c r="AD125" s="510"/>
    </row>
    <row r="126" spans="6:30">
      <c r="F126" s="93"/>
      <c r="G126" s="93"/>
      <c r="H126" s="93"/>
      <c r="I126" s="93"/>
      <c r="J126" s="93"/>
      <c r="AA126" s="510"/>
      <c r="AB126" s="510"/>
      <c r="AC126" s="510"/>
      <c r="AD126" s="510"/>
    </row>
    <row r="127" spans="6:30">
      <c r="F127" s="131"/>
      <c r="G127" s="131"/>
      <c r="H127" s="131"/>
      <c r="I127" s="131"/>
      <c r="J127" s="131"/>
      <c r="AA127" s="1408"/>
      <c r="AB127" s="1408"/>
      <c r="AC127" s="1408"/>
      <c r="AD127" s="1408"/>
    </row>
    <row r="128" spans="6:30">
      <c r="F128" s="131"/>
      <c r="G128" s="131"/>
      <c r="H128" s="131"/>
      <c r="I128" s="131"/>
      <c r="J128" s="131"/>
      <c r="AA128" s="1408"/>
      <c r="AB128" s="1408"/>
      <c r="AC128" s="1408"/>
      <c r="AD128" s="1408"/>
    </row>
    <row r="129" spans="6:30">
      <c r="F129" s="131"/>
      <c r="G129" s="131"/>
      <c r="H129" s="131"/>
      <c r="I129" s="131"/>
      <c r="J129" s="131"/>
      <c r="AA129" s="1408"/>
      <c r="AB129" s="1408"/>
      <c r="AC129" s="1408"/>
      <c r="AD129" s="1408"/>
    </row>
    <row r="130" spans="6:30">
      <c r="F130" s="131"/>
      <c r="G130" s="131"/>
      <c r="H130" s="131"/>
      <c r="I130" s="131"/>
      <c r="J130" s="131"/>
      <c r="AA130" s="1408"/>
      <c r="AB130" s="1408"/>
      <c r="AC130" s="1408"/>
      <c r="AD130" s="1408"/>
    </row>
    <row r="131" spans="6:30">
      <c r="F131" s="131"/>
      <c r="G131" s="131"/>
      <c r="H131" s="131"/>
      <c r="I131" s="131"/>
      <c r="J131" s="131"/>
      <c r="AA131" s="1408"/>
      <c r="AB131" s="1408"/>
      <c r="AC131" s="1408"/>
      <c r="AD131" s="1408"/>
    </row>
    <row r="132" spans="6:30">
      <c r="F132" s="131"/>
      <c r="G132" s="131"/>
      <c r="H132" s="131"/>
      <c r="I132" s="131"/>
      <c r="J132" s="131"/>
      <c r="AA132" s="1408"/>
      <c r="AB132" s="1408"/>
      <c r="AC132" s="1408"/>
      <c r="AD132" s="1408"/>
    </row>
    <row r="133" spans="6:30">
      <c r="F133" s="131"/>
      <c r="G133" s="131"/>
      <c r="H133" s="131"/>
      <c r="I133" s="131"/>
      <c r="J133" s="131"/>
      <c r="AA133" s="1408"/>
      <c r="AB133" s="1408"/>
      <c r="AC133" s="1408"/>
      <c r="AD133" s="1408"/>
    </row>
    <row r="134" spans="6:30">
      <c r="F134" s="131"/>
      <c r="G134" s="131"/>
      <c r="H134" s="131"/>
      <c r="I134" s="131"/>
      <c r="J134" s="131"/>
      <c r="AA134" s="1408"/>
      <c r="AB134" s="1408"/>
      <c r="AC134" s="1408"/>
      <c r="AD134" s="1408"/>
    </row>
    <row r="135" spans="6:30">
      <c r="F135" s="131"/>
      <c r="G135" s="131"/>
      <c r="H135" s="131"/>
      <c r="I135" s="131"/>
      <c r="J135" s="131"/>
      <c r="AA135" s="1408"/>
      <c r="AB135" s="1408"/>
      <c r="AC135" s="1408"/>
      <c r="AD135" s="1408"/>
    </row>
    <row r="136" spans="6:30">
      <c r="F136" s="131"/>
      <c r="G136" s="131"/>
      <c r="H136" s="131"/>
      <c r="I136" s="131"/>
      <c r="J136" s="131"/>
      <c r="AA136" s="1408"/>
      <c r="AB136" s="1408"/>
      <c r="AC136" s="1408"/>
      <c r="AD136" s="1408"/>
    </row>
    <row r="137" spans="6:30">
      <c r="F137" s="131"/>
      <c r="G137" s="131"/>
      <c r="H137" s="131"/>
      <c r="I137" s="131"/>
      <c r="J137" s="131"/>
      <c r="AA137" s="1408"/>
      <c r="AB137" s="1408"/>
      <c r="AC137" s="1408"/>
      <c r="AD137" s="1408"/>
    </row>
    <row r="138" spans="6:30">
      <c r="F138" s="131"/>
      <c r="G138" s="131"/>
      <c r="H138" s="131"/>
      <c r="I138" s="131"/>
      <c r="J138" s="131"/>
      <c r="AA138" s="1408"/>
      <c r="AB138" s="1408"/>
      <c r="AC138" s="1408"/>
      <c r="AD138" s="1408"/>
    </row>
    <row r="139" spans="6:30">
      <c r="F139" s="131"/>
      <c r="G139" s="131"/>
      <c r="H139" s="131"/>
      <c r="I139" s="131"/>
      <c r="J139" s="131"/>
      <c r="AA139" s="1408"/>
      <c r="AB139" s="1408"/>
      <c r="AC139" s="1408"/>
      <c r="AD139" s="1408"/>
    </row>
    <row r="140" spans="6:30">
      <c r="F140" s="131"/>
      <c r="G140" s="131"/>
      <c r="H140" s="131"/>
      <c r="I140" s="131"/>
      <c r="J140" s="131"/>
      <c r="AA140" s="1408"/>
      <c r="AB140" s="1408"/>
      <c r="AC140" s="1408"/>
      <c r="AD140" s="1408"/>
    </row>
    <row r="141" spans="6:30">
      <c r="F141" s="131"/>
      <c r="G141" s="131"/>
      <c r="H141" s="131"/>
      <c r="I141" s="131"/>
      <c r="J141" s="131"/>
      <c r="AA141" s="1408"/>
      <c r="AB141" s="1408"/>
      <c r="AC141" s="1408"/>
      <c r="AD141" s="1408"/>
    </row>
    <row r="142" spans="6:30">
      <c r="F142" s="131"/>
      <c r="G142" s="131"/>
      <c r="H142" s="131"/>
      <c r="I142" s="131"/>
      <c r="J142" s="131"/>
      <c r="AA142" s="1408"/>
      <c r="AB142" s="1408"/>
      <c r="AC142" s="1408"/>
      <c r="AD142" s="1408"/>
    </row>
    <row r="143" spans="6:30">
      <c r="F143" s="131"/>
      <c r="G143" s="131"/>
      <c r="H143" s="131"/>
      <c r="I143" s="131"/>
      <c r="J143" s="131"/>
      <c r="AA143" s="1408"/>
      <c r="AB143" s="1408"/>
      <c r="AC143" s="1408"/>
      <c r="AD143" s="1408"/>
    </row>
    <row r="144" spans="6:30">
      <c r="F144" s="131"/>
      <c r="G144" s="131"/>
      <c r="H144" s="131"/>
      <c r="I144" s="131"/>
      <c r="J144" s="131"/>
      <c r="AA144" s="1408"/>
      <c r="AB144" s="1408"/>
      <c r="AC144" s="1408"/>
      <c r="AD144" s="1408"/>
    </row>
    <row r="145" spans="6:30">
      <c r="F145" s="131"/>
      <c r="G145" s="131"/>
      <c r="H145" s="131"/>
      <c r="I145" s="131"/>
      <c r="J145" s="131"/>
      <c r="AA145" s="1408"/>
      <c r="AB145" s="1408"/>
      <c r="AC145" s="1408"/>
      <c r="AD145" s="1408"/>
    </row>
    <row r="146" spans="6:30">
      <c r="F146" s="131"/>
      <c r="G146" s="131"/>
      <c r="H146" s="131"/>
      <c r="I146" s="131"/>
      <c r="J146" s="131"/>
      <c r="AA146" s="1408"/>
      <c r="AB146" s="1408"/>
      <c r="AC146" s="1408"/>
      <c r="AD146" s="1408"/>
    </row>
    <row r="147" spans="6:30">
      <c r="F147" s="131"/>
      <c r="G147" s="131"/>
      <c r="H147" s="131"/>
      <c r="I147" s="131"/>
      <c r="J147" s="131"/>
      <c r="AA147" s="1408"/>
      <c r="AB147" s="1408"/>
      <c r="AC147" s="1408"/>
      <c r="AD147" s="1408"/>
    </row>
    <row r="148" spans="6:30">
      <c r="F148" s="131"/>
      <c r="G148" s="131"/>
      <c r="H148" s="131"/>
      <c r="I148" s="131"/>
      <c r="J148" s="131"/>
      <c r="AA148" s="1408"/>
      <c r="AB148" s="1408"/>
      <c r="AC148" s="1408"/>
      <c r="AD148" s="1408"/>
    </row>
    <row r="149" spans="6:30">
      <c r="F149" s="131"/>
      <c r="G149" s="131"/>
      <c r="H149" s="131"/>
      <c r="I149" s="131"/>
      <c r="J149" s="131"/>
      <c r="AA149" s="1408"/>
      <c r="AB149" s="1408"/>
      <c r="AC149" s="1408"/>
      <c r="AD149" s="1408"/>
    </row>
    <row r="150" spans="6:30">
      <c r="F150" s="131"/>
      <c r="G150" s="131"/>
      <c r="H150" s="131"/>
      <c r="I150" s="131"/>
      <c r="J150" s="131"/>
      <c r="AA150" s="1408"/>
      <c r="AB150" s="1408"/>
      <c r="AC150" s="1408"/>
      <c r="AD150" s="1408"/>
    </row>
    <row r="151" spans="6:30">
      <c r="F151" s="131"/>
      <c r="G151" s="131"/>
      <c r="H151" s="131"/>
      <c r="I151" s="131"/>
      <c r="J151" s="131"/>
      <c r="AA151" s="1408"/>
      <c r="AB151" s="1408"/>
      <c r="AC151" s="1408"/>
      <c r="AD151" s="1408"/>
    </row>
    <row r="152" spans="6:30">
      <c r="F152" s="131"/>
      <c r="G152" s="131"/>
      <c r="H152" s="131"/>
      <c r="I152" s="131"/>
      <c r="J152" s="131"/>
      <c r="AA152" s="1408"/>
      <c r="AB152" s="1408"/>
      <c r="AC152" s="1408"/>
      <c r="AD152" s="1408"/>
    </row>
    <row r="153" spans="6:30">
      <c r="F153" s="131"/>
      <c r="G153" s="131"/>
      <c r="H153" s="131"/>
      <c r="I153" s="131"/>
      <c r="J153" s="131"/>
      <c r="AA153" s="1408"/>
      <c r="AB153" s="1408"/>
      <c r="AC153" s="1408"/>
      <c r="AD153" s="1408"/>
    </row>
    <row r="154" spans="6:30">
      <c r="F154" s="131"/>
      <c r="G154" s="131"/>
      <c r="H154" s="131"/>
      <c r="I154" s="131"/>
      <c r="J154" s="131"/>
      <c r="AA154" s="1408"/>
      <c r="AB154" s="1408"/>
      <c r="AC154" s="1408"/>
      <c r="AD154" s="1408"/>
    </row>
    <row r="155" spans="6:30">
      <c r="F155" s="131"/>
      <c r="G155" s="131"/>
      <c r="H155" s="131"/>
      <c r="I155" s="131"/>
      <c r="J155" s="131"/>
      <c r="AA155" s="1408"/>
      <c r="AB155" s="1408"/>
      <c r="AC155" s="1408"/>
      <c r="AD155" s="1408"/>
    </row>
    <row r="156" spans="6:30">
      <c r="F156" s="131"/>
      <c r="G156" s="131"/>
      <c r="H156" s="131"/>
      <c r="I156" s="131"/>
      <c r="J156" s="131"/>
      <c r="AA156" s="1408"/>
      <c r="AB156" s="1408"/>
      <c r="AC156" s="1408"/>
      <c r="AD156" s="1408"/>
    </row>
    <row r="157" spans="6:30">
      <c r="F157" s="131"/>
      <c r="G157" s="131"/>
      <c r="H157" s="131"/>
      <c r="I157" s="131"/>
      <c r="J157" s="131"/>
      <c r="AA157" s="1408"/>
      <c r="AB157" s="1408"/>
      <c r="AC157" s="1408"/>
      <c r="AD157" s="1408"/>
    </row>
    <row r="158" spans="6:30">
      <c r="F158" s="131"/>
      <c r="G158" s="131"/>
      <c r="H158" s="131"/>
      <c r="I158" s="131"/>
      <c r="J158" s="131"/>
      <c r="AA158" s="1408"/>
      <c r="AB158" s="1408"/>
      <c r="AC158" s="1408"/>
      <c r="AD158" s="1408"/>
    </row>
    <row r="159" spans="6:30">
      <c r="F159" s="131"/>
      <c r="G159" s="131"/>
      <c r="H159" s="131"/>
      <c r="I159" s="131"/>
      <c r="J159" s="131"/>
      <c r="AA159" s="1408"/>
      <c r="AB159" s="1408"/>
      <c r="AC159" s="1408"/>
      <c r="AD159" s="1408"/>
    </row>
    <row r="160" spans="6:30">
      <c r="F160" s="131"/>
      <c r="G160" s="131"/>
      <c r="H160" s="131"/>
      <c r="I160" s="131"/>
      <c r="J160" s="131"/>
      <c r="AA160" s="1408"/>
      <c r="AB160" s="1408"/>
      <c r="AC160" s="1408"/>
      <c r="AD160" s="1408"/>
    </row>
    <row r="161" spans="6:30">
      <c r="F161" s="131"/>
      <c r="G161" s="131"/>
      <c r="H161" s="131"/>
      <c r="I161" s="131"/>
      <c r="J161" s="131"/>
      <c r="AA161" s="1408"/>
      <c r="AB161" s="1408"/>
      <c r="AC161" s="1408"/>
      <c r="AD161" s="1408"/>
    </row>
    <row r="162" spans="6:30">
      <c r="F162" s="131"/>
      <c r="G162" s="131"/>
      <c r="H162" s="131"/>
      <c r="I162" s="131"/>
      <c r="J162" s="131"/>
      <c r="AA162" s="1408"/>
      <c r="AB162" s="1408"/>
      <c r="AC162" s="1408"/>
      <c r="AD162" s="1408"/>
    </row>
    <row r="163" spans="6:30">
      <c r="F163" s="131"/>
      <c r="G163" s="131"/>
      <c r="H163" s="131"/>
      <c r="I163" s="131"/>
      <c r="J163" s="131"/>
      <c r="AA163" s="1408"/>
      <c r="AB163" s="1408"/>
      <c r="AC163" s="1408"/>
      <c r="AD163" s="1408"/>
    </row>
    <row r="164" spans="6:30">
      <c r="F164" s="131"/>
      <c r="G164" s="131"/>
      <c r="H164" s="131"/>
      <c r="I164" s="131"/>
      <c r="J164" s="131"/>
      <c r="AA164" s="1408"/>
      <c r="AB164" s="1408"/>
      <c r="AC164" s="1408"/>
      <c r="AD164" s="1408"/>
    </row>
    <row r="165" spans="6:30">
      <c r="F165" s="131"/>
      <c r="G165" s="131"/>
      <c r="H165" s="131"/>
      <c r="I165" s="131"/>
      <c r="J165" s="131"/>
      <c r="AA165" s="1408"/>
      <c r="AB165" s="1408"/>
      <c r="AC165" s="1408"/>
      <c r="AD165" s="1408"/>
    </row>
    <row r="166" spans="6:30">
      <c r="F166" s="131"/>
      <c r="G166" s="131"/>
      <c r="H166" s="131"/>
      <c r="I166" s="131"/>
      <c r="J166" s="131"/>
      <c r="AA166" s="1408"/>
      <c r="AB166" s="1408"/>
      <c r="AC166" s="1408"/>
      <c r="AD166" s="1408"/>
    </row>
    <row r="167" spans="6:30">
      <c r="F167" s="131"/>
      <c r="G167" s="131"/>
      <c r="H167" s="131"/>
      <c r="I167" s="131"/>
      <c r="J167" s="131"/>
      <c r="AA167" s="1408"/>
      <c r="AB167" s="1408"/>
      <c r="AC167" s="1408"/>
      <c r="AD167" s="1408"/>
    </row>
    <row r="168" spans="6:30">
      <c r="F168" s="131"/>
      <c r="G168" s="131"/>
      <c r="H168" s="131"/>
      <c r="I168" s="131"/>
      <c r="J168" s="131"/>
      <c r="AA168" s="1408"/>
      <c r="AB168" s="1408"/>
      <c r="AC168" s="1408"/>
      <c r="AD168" s="1408"/>
    </row>
    <row r="169" spans="6:30">
      <c r="F169" s="131"/>
      <c r="G169" s="131"/>
      <c r="H169" s="131"/>
      <c r="I169" s="131"/>
      <c r="J169" s="131"/>
      <c r="AA169" s="1408"/>
      <c r="AB169" s="1408"/>
      <c r="AC169" s="1408"/>
      <c r="AD169" s="1408"/>
    </row>
    <row r="170" spans="6:30">
      <c r="F170" s="131"/>
      <c r="G170" s="131"/>
      <c r="H170" s="131"/>
      <c r="I170" s="131"/>
      <c r="J170" s="131"/>
      <c r="AA170" s="1408"/>
      <c r="AB170" s="1408"/>
      <c r="AC170" s="1408"/>
      <c r="AD170" s="1408"/>
    </row>
    <row r="171" spans="6:30">
      <c r="F171" s="131"/>
      <c r="G171" s="131"/>
      <c r="H171" s="131"/>
      <c r="I171" s="131"/>
      <c r="J171" s="131"/>
      <c r="AA171" s="1408"/>
      <c r="AB171" s="1408"/>
      <c r="AC171" s="1408"/>
      <c r="AD171" s="1408"/>
    </row>
    <row r="172" spans="6:30">
      <c r="F172" s="131"/>
      <c r="G172" s="131"/>
      <c r="H172" s="131"/>
      <c r="I172" s="131"/>
      <c r="J172" s="131"/>
      <c r="AA172" s="1408"/>
      <c r="AB172" s="1408"/>
      <c r="AC172" s="1408"/>
      <c r="AD172" s="1408"/>
    </row>
    <row r="173" spans="6:30">
      <c r="F173" s="131"/>
      <c r="G173" s="131"/>
      <c r="H173" s="131"/>
      <c r="I173" s="131"/>
      <c r="J173" s="131"/>
      <c r="AA173" s="1408"/>
      <c r="AB173" s="1408"/>
      <c r="AC173" s="1408"/>
      <c r="AD173" s="1408"/>
    </row>
    <row r="174" spans="6:30">
      <c r="F174" s="131"/>
      <c r="G174" s="131"/>
      <c r="H174" s="131"/>
      <c r="I174" s="131"/>
      <c r="J174" s="131"/>
      <c r="AA174" s="1408"/>
      <c r="AB174" s="1408"/>
      <c r="AC174" s="1408"/>
      <c r="AD174" s="1408"/>
    </row>
    <row r="175" spans="6:30">
      <c r="F175" s="131"/>
      <c r="G175" s="131"/>
      <c r="H175" s="131"/>
      <c r="I175" s="131"/>
      <c r="J175" s="131"/>
      <c r="AA175" s="1408"/>
      <c r="AB175" s="1408"/>
      <c r="AC175" s="1408"/>
      <c r="AD175" s="1408"/>
    </row>
    <row r="176" spans="6:30">
      <c r="F176" s="131"/>
      <c r="G176" s="131"/>
      <c r="H176" s="131"/>
      <c r="I176" s="131"/>
      <c r="J176" s="131"/>
      <c r="AA176" s="1408"/>
      <c r="AB176" s="1408"/>
      <c r="AC176" s="1408"/>
      <c r="AD176" s="1408"/>
    </row>
    <row r="177" spans="6:30">
      <c r="F177" s="131"/>
      <c r="G177" s="131"/>
      <c r="H177" s="131"/>
      <c r="I177" s="131"/>
      <c r="J177" s="131"/>
      <c r="AA177" s="1408"/>
      <c r="AB177" s="1408"/>
      <c r="AC177" s="1408"/>
      <c r="AD177" s="1408"/>
    </row>
    <row r="178" spans="6:30">
      <c r="F178" s="131"/>
      <c r="G178" s="131"/>
      <c r="H178" s="131"/>
      <c r="I178" s="131"/>
      <c r="J178" s="131"/>
      <c r="AA178" s="1408"/>
      <c r="AB178" s="1408"/>
      <c r="AC178" s="1408"/>
      <c r="AD178" s="1408"/>
    </row>
    <row r="179" spans="6:30">
      <c r="F179" s="131"/>
      <c r="G179" s="131"/>
      <c r="H179" s="131"/>
      <c r="I179" s="131"/>
      <c r="J179" s="131"/>
      <c r="AA179" s="1408"/>
      <c r="AB179" s="1408"/>
      <c r="AC179" s="1408"/>
      <c r="AD179" s="1408"/>
    </row>
    <row r="180" spans="6:30">
      <c r="F180" s="131"/>
      <c r="G180" s="131"/>
      <c r="H180" s="131"/>
      <c r="I180" s="131"/>
      <c r="J180" s="131"/>
      <c r="AA180" s="1408"/>
      <c r="AB180" s="1408"/>
      <c r="AC180" s="1408"/>
      <c r="AD180" s="1408"/>
    </row>
    <row r="181" spans="6:30">
      <c r="F181" s="131"/>
      <c r="G181" s="131"/>
      <c r="H181" s="131"/>
      <c r="I181" s="131"/>
      <c r="J181" s="131"/>
      <c r="AA181" s="1408"/>
      <c r="AB181" s="1408"/>
      <c r="AC181" s="1408"/>
      <c r="AD181" s="1408"/>
    </row>
    <row r="182" spans="6:30">
      <c r="F182" s="131"/>
      <c r="G182" s="131"/>
      <c r="H182" s="131"/>
      <c r="I182" s="131"/>
      <c r="J182" s="131"/>
      <c r="AA182" s="1408"/>
      <c r="AB182" s="1408"/>
      <c r="AC182" s="1408"/>
      <c r="AD182" s="1408"/>
    </row>
    <row r="183" spans="6:30">
      <c r="F183" s="131"/>
      <c r="G183" s="131"/>
      <c r="H183" s="131"/>
      <c r="I183" s="131"/>
      <c r="J183" s="131"/>
      <c r="AA183" s="1408"/>
      <c r="AB183" s="1408"/>
      <c r="AC183" s="1408"/>
      <c r="AD183" s="1408"/>
    </row>
    <row r="184" spans="6:30">
      <c r="F184" s="131"/>
      <c r="G184" s="131"/>
      <c r="H184" s="131"/>
      <c r="I184" s="131"/>
      <c r="J184" s="131"/>
      <c r="AA184" s="1408"/>
      <c r="AB184" s="1408"/>
      <c r="AC184" s="1408"/>
      <c r="AD184" s="1408"/>
    </row>
    <row r="185" spans="6:30">
      <c r="F185" s="131"/>
      <c r="G185" s="131"/>
      <c r="H185" s="131"/>
      <c r="I185" s="131"/>
      <c r="J185" s="131"/>
      <c r="AA185" s="1408"/>
      <c r="AB185" s="1408"/>
      <c r="AC185" s="1408"/>
      <c r="AD185" s="1408"/>
    </row>
    <row r="186" spans="6:30">
      <c r="F186" s="131"/>
      <c r="G186" s="131"/>
      <c r="H186" s="131"/>
      <c r="I186" s="131"/>
      <c r="J186" s="131"/>
      <c r="AA186" s="1408"/>
      <c r="AB186" s="1408"/>
      <c r="AC186" s="1408"/>
      <c r="AD186" s="1408"/>
    </row>
    <row r="187" spans="6:30">
      <c r="F187" s="131"/>
      <c r="G187" s="131"/>
      <c r="H187" s="131"/>
      <c r="I187" s="131"/>
      <c r="J187" s="131"/>
      <c r="AA187" s="1408"/>
      <c r="AB187" s="1408"/>
      <c r="AC187" s="1408"/>
      <c r="AD187" s="1408"/>
    </row>
    <row r="188" spans="6:30">
      <c r="F188" s="131"/>
      <c r="G188" s="131"/>
      <c r="H188" s="131"/>
      <c r="I188" s="131"/>
      <c r="J188" s="131"/>
      <c r="AA188" s="1408"/>
      <c r="AB188" s="1408"/>
      <c r="AC188" s="1408"/>
      <c r="AD188" s="1408"/>
    </row>
  </sheetData>
  <mergeCells count="45">
    <mergeCell ref="R16:V16"/>
    <mergeCell ref="Q16:Q17"/>
    <mergeCell ref="R17:V17"/>
    <mergeCell ref="R18:V18"/>
    <mergeCell ref="W16:W19"/>
    <mergeCell ref="A18:A19"/>
    <mergeCell ref="B18:B19"/>
    <mergeCell ref="C18:C19"/>
    <mergeCell ref="G66:K66"/>
    <mergeCell ref="L66:P66"/>
    <mergeCell ref="E20:E28"/>
    <mergeCell ref="E29:E37"/>
    <mergeCell ref="E38:E46"/>
    <mergeCell ref="E47:E55"/>
    <mergeCell ref="E57:E62"/>
    <mergeCell ref="E63:F63"/>
    <mergeCell ref="E16:F19"/>
    <mergeCell ref="E66:F69"/>
    <mergeCell ref="G68:P68"/>
    <mergeCell ref="G16:K16"/>
    <mergeCell ref="L16:P16"/>
    <mergeCell ref="E7:G7"/>
    <mergeCell ref="E8:G8"/>
    <mergeCell ref="E9:G9"/>
    <mergeCell ref="E10:G10"/>
    <mergeCell ref="E11:G11"/>
    <mergeCell ref="O18:P18"/>
    <mergeCell ref="G18:N18"/>
    <mergeCell ref="G67:P67"/>
    <mergeCell ref="O17:P17"/>
    <mergeCell ref="G17:N17"/>
    <mergeCell ref="E94:E99"/>
    <mergeCell ref="E100:F100"/>
    <mergeCell ref="E70:E75"/>
    <mergeCell ref="E82:E87"/>
    <mergeCell ref="E88:E93"/>
    <mergeCell ref="E76:E81"/>
    <mergeCell ref="AA66:AE66"/>
    <mergeCell ref="AF66:AH66"/>
    <mergeCell ref="AA67:AH67"/>
    <mergeCell ref="AA68:AH68"/>
    <mergeCell ref="AA16:AE16"/>
    <mergeCell ref="AF16:AH16"/>
    <mergeCell ref="AA17:AH17"/>
    <mergeCell ref="AA18:AH18"/>
  </mergeCells>
  <pageMargins left="0.75" right="0.75" top="1" bottom="1" header="0.5" footer="0.5"/>
  <pageSetup paperSize="9" orientation="landscape" r:id="rId1"/>
  <headerFooter alignWithMargins="0"/>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325</vt:i4>
      </vt:variant>
    </vt:vector>
  </HeadingPairs>
  <TitlesOfParts>
    <vt:vector size="366" baseType="lpstr">
      <vt:lpstr>Contents</vt:lpstr>
      <vt:lpstr>Instructions</vt:lpstr>
      <vt:lpstr>Business &amp; other details</vt:lpstr>
      <vt:lpstr>1. CPI</vt:lpstr>
      <vt:lpstr>2. Escalators</vt:lpstr>
      <vt:lpstr>3 - Capex summary</vt:lpstr>
      <vt:lpstr>4. Connections market expansn</vt:lpstr>
      <vt:lpstr>5. Mains augmentation</vt:lpstr>
      <vt:lpstr>6. Mains replacement</vt:lpstr>
      <vt:lpstr>7. Telemetry</vt:lpstr>
      <vt:lpstr>8. Meter replacement</vt:lpstr>
      <vt:lpstr>9. Other capex</vt:lpstr>
      <vt:lpstr>12. IT</vt:lpstr>
      <vt:lpstr>14. Overheads</vt:lpstr>
      <vt:lpstr>15. Related party transactions</vt:lpstr>
      <vt:lpstr>16. Capex allocation</vt:lpstr>
      <vt:lpstr>17. Gross Capex </vt:lpstr>
      <vt:lpstr>20. Changes in provisions</vt:lpstr>
      <vt:lpstr>21 - Indicative bill impacts</vt:lpstr>
      <vt:lpstr>22. WACC Inputs</vt:lpstr>
      <vt:lpstr>23.1 Opex incl. RPM</vt:lpstr>
      <vt:lpstr>23.2 Opex excl. RPM</vt:lpstr>
      <vt:lpstr>23.3 Opex base-step-trend</vt:lpstr>
      <vt:lpstr>23.4 Opex incentive mechanism</vt:lpstr>
      <vt:lpstr>24. Cost category matrix</vt:lpstr>
      <vt:lpstr>25. ARS</vt:lpstr>
      <vt:lpstr>26. Allocation of total revenue</vt:lpstr>
      <vt:lpstr>27. Customer numbers</vt:lpstr>
      <vt:lpstr>28. Consumption and demand</vt:lpstr>
      <vt:lpstr>29.1 Gas extenstions ($)</vt:lpstr>
      <vt:lpstr>29.2.1 Gas extenstions cust no</vt:lpstr>
      <vt:lpstr>29.3.1 Gas extensions - demand</vt:lpstr>
      <vt:lpstr>29.2.2 Gas extenstions cust no</vt:lpstr>
      <vt:lpstr>29.3.2 Gas extensions - demand</vt:lpstr>
      <vt:lpstr>29.2.3 Gas extenstions cust no</vt:lpstr>
      <vt:lpstr>29.3.3 Gas extensions - demand</vt:lpstr>
      <vt:lpstr>29.2.4 Gas extenstions cust no</vt:lpstr>
      <vt:lpstr>29.3.4 Gas extensions - demand</vt:lpstr>
      <vt:lpstr>29.4 Gas extensions - tariffs</vt:lpstr>
      <vt:lpstr>30. Network characteristics</vt:lpstr>
      <vt:lpstr>31 - Pass throughs</vt:lpstr>
      <vt:lpstr>CRCP</vt:lpstr>
      <vt:lpstr>CRCP_y1</vt:lpstr>
      <vt:lpstr>CRCP_y10</vt:lpstr>
      <vt:lpstr>CRCP_y2</vt:lpstr>
      <vt:lpstr>CRCP_y3</vt:lpstr>
      <vt:lpstr>CRCP_y4</vt:lpstr>
      <vt:lpstr>CRCP_y5</vt:lpstr>
      <vt:lpstr>CRCP_y6</vt:lpstr>
      <vt:lpstr>CRCP_y7</vt:lpstr>
      <vt:lpstr>CRCP_y8</vt:lpstr>
      <vt:lpstr>CRCP_y9</vt:lpstr>
      <vt:lpstr>dms_0203_ProjectType</vt:lpstr>
      <vt:lpstr>dms_020303_01_UOM</vt:lpstr>
      <vt:lpstr>dms_020501_01_UOM</vt:lpstr>
      <vt:lpstr>dms_020501_02_UOM</vt:lpstr>
      <vt:lpstr>dms_020501_03_UOM</vt:lpstr>
      <vt:lpstr>dms_020501_04_UOM</vt:lpstr>
      <vt:lpstr>dms_020603_01_UOM</vt:lpstr>
      <vt:lpstr>dms_030601_01_UOM</vt:lpstr>
      <vt:lpstr>dms_030601_02_UOM</vt:lpstr>
      <vt:lpstr>dms_030701_01_UOM</vt:lpstr>
      <vt:lpstr>dms_030702_01_UOM</vt:lpstr>
      <vt:lpstr>dms_030703_01_UOM</vt:lpstr>
      <vt:lpstr>dms_040102_01_UOM</vt:lpstr>
      <vt:lpstr>dms_040102_04_UOM</vt:lpstr>
      <vt:lpstr>dms_663</vt:lpstr>
      <vt:lpstr>'Business &amp; other details'!dms_663_List</vt:lpstr>
      <vt:lpstr>dms_663_List</vt:lpstr>
      <vt:lpstr>dms_ABN</vt:lpstr>
      <vt:lpstr>'Business &amp; other details'!dms_ABN_List</vt:lpstr>
      <vt:lpstr>dms_ABN_List</vt:lpstr>
      <vt:lpstr>dms_Addr1</vt:lpstr>
      <vt:lpstr>'Business &amp; other details'!dms_Addr1_List</vt:lpstr>
      <vt:lpstr>dms_Addr1_List</vt:lpstr>
      <vt:lpstr>dms_Addr2</vt:lpstr>
      <vt:lpstr>'Business &amp; other details'!dms_Addr2_List</vt:lpstr>
      <vt:lpstr>dms_Addr2_List</vt:lpstr>
      <vt:lpstr>dms_AmendmentReason</vt:lpstr>
      <vt:lpstr>dms_ARR</vt:lpstr>
      <vt:lpstr>dms_CA</vt:lpstr>
      <vt:lpstr>dms_CBD_flag</vt:lpstr>
      <vt:lpstr>'Business &amp; other details'!dms_CFinalYear_List</vt:lpstr>
      <vt:lpstr>dms_CFinalYear_List</vt:lpstr>
      <vt:lpstr>dms_Classification</vt:lpstr>
      <vt:lpstr>dms_ContactEmail</vt:lpstr>
      <vt:lpstr>'Business &amp; other details'!dms_ContactEmail_List</vt:lpstr>
      <vt:lpstr>dms_ContactEmail_List</vt:lpstr>
      <vt:lpstr>dms_ContactEmail2</vt:lpstr>
      <vt:lpstr>dms_ContactName1</vt:lpstr>
      <vt:lpstr>'Business &amp; other details'!dms_ContactName1_List</vt:lpstr>
      <vt:lpstr>dms_ContactName1_List</vt:lpstr>
      <vt:lpstr>dms_ContactName2</vt:lpstr>
      <vt:lpstr>dms_ContactPh1</vt:lpstr>
      <vt:lpstr>'Business &amp; other details'!dms_ContactPh1_List</vt:lpstr>
      <vt:lpstr>dms_ContactPh1_List</vt:lpstr>
      <vt:lpstr>dms_ContactPh2</vt:lpstr>
      <vt:lpstr>dms_crcp_cy1</vt:lpstr>
      <vt:lpstr>dms_crcp_cy10</vt:lpstr>
      <vt:lpstr>dms_crcp_cy11</vt:lpstr>
      <vt:lpstr>dms_crcp_cy12</vt:lpstr>
      <vt:lpstr>dms_crcp_cy13</vt:lpstr>
      <vt:lpstr>dms_crcp_cy14</vt:lpstr>
      <vt:lpstr>dms_crcp_cy15</vt:lpstr>
      <vt:lpstr>dms_crcp_cy2</vt:lpstr>
      <vt:lpstr>dms_crcp_cy3</vt:lpstr>
      <vt:lpstr>dms_crcp_cy4</vt:lpstr>
      <vt:lpstr>dms_crcp_cy5</vt:lpstr>
      <vt:lpstr>dms_crcp_cy6</vt:lpstr>
      <vt:lpstr>dms_crcp_cy7</vt:lpstr>
      <vt:lpstr>dms_crcp_cy8</vt:lpstr>
      <vt:lpstr>dms_crcp_cy9</vt:lpstr>
      <vt:lpstr>dms_CRCP_FinalYear_Ref</vt:lpstr>
      <vt:lpstr>dms_CRCP_FinalYear_Result</vt:lpstr>
      <vt:lpstr>dms_CRCP_FirstYear_Result</vt:lpstr>
      <vt:lpstr>'Business &amp; other details'!dms_CRCP_index</vt:lpstr>
      <vt:lpstr>dms_CRCP_index</vt:lpstr>
      <vt:lpstr>'Business &amp; other details'!dms_CRCP_years</vt:lpstr>
      <vt:lpstr>dms_CRCP_years</vt:lpstr>
      <vt:lpstr>'Business &amp; other details'!dms_CRCP_yM</vt:lpstr>
      <vt:lpstr>dms_CRCP_yM</vt:lpstr>
      <vt:lpstr>'Business &amp; other details'!dms_CRCP_yN</vt:lpstr>
      <vt:lpstr>dms_CRCP_yN</vt:lpstr>
      <vt:lpstr>'Business &amp; other details'!dms_CRCP_yO</vt:lpstr>
      <vt:lpstr>dms_CRCP_yO</vt:lpstr>
      <vt:lpstr>'Business &amp; other details'!dms_CRCP_yP</vt:lpstr>
      <vt:lpstr>dms_CRCP_yP</vt:lpstr>
      <vt:lpstr>'Business &amp; other details'!dms_CRCP_yQ</vt:lpstr>
      <vt:lpstr>dms_CRCP_yQ</vt:lpstr>
      <vt:lpstr>'Business &amp; other details'!dms_CRCP_yR</vt:lpstr>
      <vt:lpstr>dms_CRCP_yR</vt:lpstr>
      <vt:lpstr>'Business &amp; other details'!dms_CRCP_yS</vt:lpstr>
      <vt:lpstr>dms_CRCP_yS</vt:lpstr>
      <vt:lpstr>'Business &amp; other details'!dms_CRCP_yT</vt:lpstr>
      <vt:lpstr>dms_CRCP_yT</vt:lpstr>
      <vt:lpstr>'Business &amp; other details'!dms_CRCP_yU</vt:lpstr>
      <vt:lpstr>dms_CRCP_yU</vt:lpstr>
      <vt:lpstr>'Business &amp; other details'!dms_CRCP_yV</vt:lpstr>
      <vt:lpstr>dms_CRCP_yV</vt:lpstr>
      <vt:lpstr>'Business &amp; other details'!dms_CRCP_yW</vt:lpstr>
      <vt:lpstr>dms_CRCP_yW</vt:lpstr>
      <vt:lpstr>'Business &amp; other details'!dms_CRCP_yX</vt:lpstr>
      <vt:lpstr>dms_CRCP_yX</vt:lpstr>
      <vt:lpstr>'Business &amp; other details'!dms_CRCP_yY</vt:lpstr>
      <vt:lpstr>dms_CRCP_yY</vt:lpstr>
      <vt:lpstr>'Business &amp; other details'!dms_CRCP_yZ</vt:lpstr>
      <vt:lpstr>dms_CRCP_yZ</vt:lpstr>
      <vt:lpstr>'Business &amp; other details'!dms_CRCPlength_List</vt:lpstr>
      <vt:lpstr>dms_CRCPlength_List</vt:lpstr>
      <vt:lpstr>dms_CRCPlength_Num</vt:lpstr>
      <vt:lpstr>'Business &amp; other details'!dms_CRCPlength_Num_List</vt:lpstr>
      <vt:lpstr>dms_CRCPlength_Num_List</vt:lpstr>
      <vt:lpstr>'Business &amp; other details'!dms_CRY_ListC</vt:lpstr>
      <vt:lpstr>dms_CRY_ListC</vt:lpstr>
      <vt:lpstr>'Business &amp; other details'!dms_CRY_ListF</vt:lpstr>
      <vt:lpstr>dms_CRY_ListF</vt:lpstr>
      <vt:lpstr>dms_cy1</vt:lpstr>
      <vt:lpstr>dms_cy10</vt:lpstr>
      <vt:lpstr>dms_cy11</vt:lpstr>
      <vt:lpstr>dms_cy12</vt:lpstr>
      <vt:lpstr>dms_cy13</vt:lpstr>
      <vt:lpstr>dms_cy14</vt:lpstr>
      <vt:lpstr>dms_cy15</vt:lpstr>
      <vt:lpstr>dms_cy2</vt:lpstr>
      <vt:lpstr>dms_cy3</vt:lpstr>
      <vt:lpstr>dms_cy4</vt:lpstr>
      <vt:lpstr>dms_cy5</vt:lpstr>
      <vt:lpstr>dms_cy6</vt:lpstr>
      <vt:lpstr>dms_cy7</vt:lpstr>
      <vt:lpstr>dms_cy8</vt:lpstr>
      <vt:lpstr>dms_cy9</vt:lpstr>
      <vt:lpstr>dms_DataQuality</vt:lpstr>
      <vt:lpstr>'Business &amp; other details'!dms_DataQuality_List</vt:lpstr>
      <vt:lpstr>dms_DataQuality_List</vt:lpstr>
      <vt:lpstr>dms_Defined_Names_Used</vt:lpstr>
      <vt:lpstr>'Business &amp; other details'!dms_DeterminationRef_List</vt:lpstr>
      <vt:lpstr>dms_DeterminationRef_List</vt:lpstr>
      <vt:lpstr>dms_DollarReal</vt:lpstr>
      <vt:lpstr>dms_EB</vt:lpstr>
      <vt:lpstr>'Business &amp; other details'!dms_EBSS_status</vt:lpstr>
      <vt:lpstr>dms_ESCALATOR_rows</vt:lpstr>
      <vt:lpstr>dms_FeederName_1</vt:lpstr>
      <vt:lpstr>dms_FeederName_2</vt:lpstr>
      <vt:lpstr>dms_FeederName_3</vt:lpstr>
      <vt:lpstr>dms_FeederName_4</vt:lpstr>
      <vt:lpstr>dms_FeederName_5</vt:lpstr>
      <vt:lpstr>dms_FeederType_5_flag</vt:lpstr>
      <vt:lpstr>'Business &amp; other details'!dms_FinalYear_List</vt:lpstr>
      <vt:lpstr>dms_FinalYear_List</vt:lpstr>
      <vt:lpstr>dms_FormControl</vt:lpstr>
      <vt:lpstr>dms_FormControl_Choices</vt:lpstr>
      <vt:lpstr>'Business &amp; other details'!dms_FormControl_List</vt:lpstr>
      <vt:lpstr>dms_FormControl_List</vt:lpstr>
      <vt:lpstr>dms_FRCP_cyear_list</vt:lpstr>
      <vt:lpstr>dms_frcp_fy1</vt:lpstr>
      <vt:lpstr>dms_frcp_fy10</vt:lpstr>
      <vt:lpstr>dms_frcp_fy11</vt:lpstr>
      <vt:lpstr>dms_frcp_fy12</vt:lpstr>
      <vt:lpstr>dms_frcp_fy13</vt:lpstr>
      <vt:lpstr>dms_frcp_fy14</vt:lpstr>
      <vt:lpstr>dms_frcp_fy15</vt:lpstr>
      <vt:lpstr>dms_frcp_fy2</vt:lpstr>
      <vt:lpstr>dms_frcp_fy3</vt:lpstr>
      <vt:lpstr>dms_frcp_fy4</vt:lpstr>
      <vt:lpstr>dms_frcp_fy5</vt:lpstr>
      <vt:lpstr>dms_frcp_fy6</vt:lpstr>
      <vt:lpstr>dms_frcp_fy7</vt:lpstr>
      <vt:lpstr>dms_frcp_fy8</vt:lpstr>
      <vt:lpstr>dms_frcp_fy9</vt:lpstr>
      <vt:lpstr>dms_FRCP_fyear_list</vt:lpstr>
      <vt:lpstr>'Business &amp; other details'!dms_FRCP_ListC</vt:lpstr>
      <vt:lpstr>dms_FRCP_ListC</vt:lpstr>
      <vt:lpstr>'Business &amp; other details'!dms_FRCP_ListF</vt:lpstr>
      <vt:lpstr>dms_FRCP_ListF</vt:lpstr>
      <vt:lpstr>'Business &amp; other details'!dms_FRCP_y1</vt:lpstr>
      <vt:lpstr>dms_FRCP_y1</vt:lpstr>
      <vt:lpstr>'Business &amp; other details'!dms_FRCP_y10</vt:lpstr>
      <vt:lpstr>dms_FRCP_y10</vt:lpstr>
      <vt:lpstr>'Business &amp; other details'!dms_FRCP_y11</vt:lpstr>
      <vt:lpstr>dms_FRCP_y11</vt:lpstr>
      <vt:lpstr>'Business &amp; other details'!dms_FRCP_y12</vt:lpstr>
      <vt:lpstr>dms_FRCP_y12</vt:lpstr>
      <vt:lpstr>'Business &amp; other details'!dms_FRCP_y13</vt:lpstr>
      <vt:lpstr>dms_FRCP_y13</vt:lpstr>
      <vt:lpstr>'Business &amp; other details'!dms_FRCP_y14</vt:lpstr>
      <vt:lpstr>dms_FRCP_y14</vt:lpstr>
      <vt:lpstr>'Business &amp; other details'!dms_FRCP_y2</vt:lpstr>
      <vt:lpstr>dms_FRCP_y2</vt:lpstr>
      <vt:lpstr>'Business &amp; other details'!dms_FRCP_y3</vt:lpstr>
      <vt:lpstr>dms_FRCP_y3</vt:lpstr>
      <vt:lpstr>'Business &amp; other details'!dms_FRCP_y4</vt:lpstr>
      <vt:lpstr>dms_FRCP_y4</vt:lpstr>
      <vt:lpstr>'Business &amp; other details'!dms_FRCP_y5</vt:lpstr>
      <vt:lpstr>dms_FRCP_y5</vt:lpstr>
      <vt:lpstr>'Business &amp; other details'!dms_FRCP_y6</vt:lpstr>
      <vt:lpstr>dms_FRCP_y6</vt:lpstr>
      <vt:lpstr>'Business &amp; other details'!dms_FRCP_y7</vt:lpstr>
      <vt:lpstr>dms_FRCP_y7</vt:lpstr>
      <vt:lpstr>'Business &amp; other details'!dms_FRCP_y8</vt:lpstr>
      <vt:lpstr>dms_FRCP_y8</vt:lpstr>
      <vt:lpstr>'Business &amp; other details'!dms_FRCP_y9</vt:lpstr>
      <vt:lpstr>dms_FRCP_y9</vt:lpstr>
      <vt:lpstr>dms_FRCP_years</vt:lpstr>
      <vt:lpstr>'Business &amp; other details'!dms_FRCPlength_List</vt:lpstr>
      <vt:lpstr>dms_FRCPlength_List</vt:lpstr>
      <vt:lpstr>dms_FRCPlength_Num</vt:lpstr>
      <vt:lpstr>'Business &amp; other details'!dms_FRCPlength_Num_List</vt:lpstr>
      <vt:lpstr>dms_FRCPlength_Num_List</vt:lpstr>
      <vt:lpstr>dms_fy1</vt:lpstr>
      <vt:lpstr>dms_fy10</vt:lpstr>
      <vt:lpstr>dms_fy11</vt:lpstr>
      <vt:lpstr>dms_fy12</vt:lpstr>
      <vt:lpstr>dms_fy13</vt:lpstr>
      <vt:lpstr>dms_fy14</vt:lpstr>
      <vt:lpstr>dms_fy15</vt:lpstr>
      <vt:lpstr>dms_fy2</vt:lpstr>
      <vt:lpstr>dms_fy3</vt:lpstr>
      <vt:lpstr>dms_fy4</vt:lpstr>
      <vt:lpstr>dms_fy5</vt:lpstr>
      <vt:lpstr>dms_fy6</vt:lpstr>
      <vt:lpstr>dms_fy7</vt:lpstr>
      <vt:lpstr>dms_fy8</vt:lpstr>
      <vt:lpstr>dms_fy9</vt:lpstr>
      <vt:lpstr>dms_Jurisdiction</vt:lpstr>
      <vt:lpstr>'Business &amp; other details'!dms_JurisdictionList</vt:lpstr>
      <vt:lpstr>dms_JurisdictionList</vt:lpstr>
      <vt:lpstr>dms_LongRural_flag</vt:lpstr>
      <vt:lpstr>dms_MAIFI_flag_List</vt:lpstr>
      <vt:lpstr>dms_Model</vt:lpstr>
      <vt:lpstr>'Business &amp; other details'!dms_Model_List</vt:lpstr>
      <vt:lpstr>dms_Model_List</vt:lpstr>
      <vt:lpstr>dms_MultiYear_FinalYear_Ref</vt:lpstr>
      <vt:lpstr>dms_MultiYear_FinalYear_Result</vt:lpstr>
      <vt:lpstr>dms_MultiYear_Flag</vt:lpstr>
      <vt:lpstr>dms_PAddr1</vt:lpstr>
      <vt:lpstr>'Business &amp; other details'!dms_PAddr1_List</vt:lpstr>
      <vt:lpstr>dms_PAddr1_List</vt:lpstr>
      <vt:lpstr>dms_PAddr2</vt:lpstr>
      <vt:lpstr>'Business &amp; other details'!dms_PAddr2_List</vt:lpstr>
      <vt:lpstr>dms_PAddr2_List</vt:lpstr>
      <vt:lpstr>dms_PostCode</vt:lpstr>
      <vt:lpstr>'Business &amp; other details'!dms_PostCode_List</vt:lpstr>
      <vt:lpstr>dms_PostCode_List</vt:lpstr>
      <vt:lpstr>dms_PPostCode</vt:lpstr>
      <vt:lpstr>'Business &amp; other details'!dms_PPostCode_List</vt:lpstr>
      <vt:lpstr>dms_PPostCode_List</vt:lpstr>
      <vt:lpstr>dms_PState</vt:lpstr>
      <vt:lpstr>'Business &amp; other details'!dms_PState_List</vt:lpstr>
      <vt:lpstr>dms_PState_List</vt:lpstr>
      <vt:lpstr>dms_PSuburb</vt:lpstr>
      <vt:lpstr>'Business &amp; other details'!dms_PSuburb_List</vt:lpstr>
      <vt:lpstr>dms_PSuburb_List</vt:lpstr>
      <vt:lpstr>dms_RCP_cyear_list</vt:lpstr>
      <vt:lpstr>dms_RCP_fyear_list</vt:lpstr>
      <vt:lpstr>dms_Reason_Interruption</vt:lpstr>
      <vt:lpstr>dms_Reason_Interruption_Detailed</vt:lpstr>
      <vt:lpstr>dms_Reg_Year_Span</vt:lpstr>
      <vt:lpstr>dms_RINversion</vt:lpstr>
      <vt:lpstr>dms_RPT</vt:lpstr>
      <vt:lpstr>'Business &amp; other details'!dms_RPT_List</vt:lpstr>
      <vt:lpstr>dms_RPT_List</vt:lpstr>
      <vt:lpstr>dms_RPTMonth</vt:lpstr>
      <vt:lpstr>'Business &amp; other details'!dms_RPTMonth_List</vt:lpstr>
      <vt:lpstr>dms_RPTMonth_List</vt:lpstr>
      <vt:lpstr>dms_RYE</vt:lpstr>
      <vt:lpstr>'Business &amp; other details'!dms_RYE_Formula_Result</vt:lpstr>
      <vt:lpstr>dms_RYE_Formula_Result</vt:lpstr>
      <vt:lpstr>dms_Sector</vt:lpstr>
      <vt:lpstr>'Business &amp; other details'!dms_Sector_List</vt:lpstr>
      <vt:lpstr>dms_Sector_List</vt:lpstr>
      <vt:lpstr>dms_Segment</vt:lpstr>
      <vt:lpstr>'Business &amp; other details'!dms_Segment_List</vt:lpstr>
      <vt:lpstr>dms_Segment_List</vt:lpstr>
      <vt:lpstr>dms_ShortRural_flag</vt:lpstr>
      <vt:lpstr>dms_SingleYear_FinalYear_Ref</vt:lpstr>
      <vt:lpstr>dms_SingleYear_FinalYear_Result</vt:lpstr>
      <vt:lpstr>dms_SingleYear_Model</vt:lpstr>
      <vt:lpstr>dms_Source</vt:lpstr>
      <vt:lpstr>'Business &amp; other details'!dms_SourceList</vt:lpstr>
      <vt:lpstr>dms_SourceList</vt:lpstr>
      <vt:lpstr>dms_Specified_FinalYear</vt:lpstr>
      <vt:lpstr>dms_State</vt:lpstr>
      <vt:lpstr>'Business &amp; other details'!dms_State_List</vt:lpstr>
      <vt:lpstr>dms_State_List</vt:lpstr>
      <vt:lpstr>dms_STPIS_exclusions</vt:lpstr>
      <vt:lpstr>dms_SubmissionDate</vt:lpstr>
      <vt:lpstr>dms_Suburb</vt:lpstr>
      <vt:lpstr>'Business &amp; other details'!dms_Suburb_List</vt:lpstr>
      <vt:lpstr>dms_Suburb_List</vt:lpstr>
      <vt:lpstr>dms_TemplateNumber</vt:lpstr>
      <vt:lpstr>dms_TradingName</vt:lpstr>
      <vt:lpstr>'Business &amp; other details'!dms_TradingName_List</vt:lpstr>
      <vt:lpstr>dms_TradingName_List</vt:lpstr>
      <vt:lpstr>dms_TradingNameFull</vt:lpstr>
      <vt:lpstr>'Business &amp; other details'!dms_TradingNameFull_List</vt:lpstr>
      <vt:lpstr>dms_TradingNameFull_List</vt:lpstr>
      <vt:lpstr>dms_Urban_flag</vt:lpstr>
      <vt:lpstr>'Business &amp; other details'!dms_Worksheet_List</vt:lpstr>
      <vt:lpstr>dms_Worksheet_List</vt:lpstr>
      <vt:lpstr>'23.4 Opex incentive mechanism'!EBSS</vt:lpstr>
      <vt:lpstr>FRCP</vt:lpstr>
      <vt:lpstr>FRCP_y1</vt:lpstr>
      <vt:lpstr>FRCP_y10</vt:lpstr>
      <vt:lpstr>FRCP_y2</vt:lpstr>
      <vt:lpstr>FRCP_y3</vt:lpstr>
      <vt:lpstr>FRCP_y4</vt:lpstr>
      <vt:lpstr>FRCP_y5</vt:lpstr>
      <vt:lpstr>FRCP_y6</vt:lpstr>
      <vt:lpstr>FRCP_y7</vt:lpstr>
      <vt:lpstr>FRCP_y8</vt:lpstr>
      <vt:lpstr>FRCP_y9</vt:lpstr>
      <vt:lpstr>MAIFI_flag</vt:lpstr>
      <vt:lpstr>'23.1 Opex incl. RPM'!OLE_LINK1</vt:lpstr>
      <vt:lpstr>PRCP</vt:lpstr>
      <vt:lpstr>PRCP_y1</vt:lpstr>
      <vt:lpstr>PRCP_y2</vt:lpstr>
      <vt:lpstr>PRCP_y3</vt:lpstr>
      <vt:lpstr>PRCP_y4</vt:lpstr>
      <vt:lpstr>PRCP_y5</vt:lpstr>
      <vt:lpstr>'17. Gross Capex '!Print_Area</vt:lpstr>
      <vt:lpstr>'23.4 Opex incentive mechanism'!Print_Area</vt:lpstr>
      <vt:lpstr>'27. Customer numbers'!Print_Area</vt:lpstr>
      <vt:lpstr>Contents!Print_Area</vt:lpstr>
      <vt:lpstr>'27. Customer numbers'!Print_Titles</vt:lpstr>
      <vt:lpstr>SheetHeader</vt:lpstr>
      <vt:lpstr>Years</vt:lpstr>
    </vt:vector>
  </TitlesOfParts>
  <Company>Essential Services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Envestra Victoria Data templates</dc:title>
  <dc:subject>Data templates for GAAR 2008</dc:subject>
  <dc:creator>Essential Services Commission</dc:creator>
  <cp:lastModifiedBy>Robert Ball</cp:lastModifiedBy>
  <cp:lastPrinted>2016-11-03T00:45:34Z</cp:lastPrinted>
  <dcterms:created xsi:type="dcterms:W3CDTF">2006-05-08T03:46:56Z</dcterms:created>
  <dcterms:modified xsi:type="dcterms:W3CDTF">2017-08-02T01:28:07Z</dcterms:modified>
  <cp:category>Data templates</cp:category>
  <cp:contentStatus>CURRENT @ 20160905</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f">
    <vt:lpwstr>\\CBRVPWXFS01\home$\bshel\jgn 2014 - rin template - pre- (D2013-00135942).xlsx</vt:lpwstr>
  </property>
  <property fmtid="{D5CDD505-2E9C-101B-9397-08002B2CF9AE}" pid="3" name="URI">
    <vt:lpwstr>8759653</vt:lpwstr>
  </property>
  <property fmtid="{D5CDD505-2E9C-101B-9397-08002B2CF9AE}" pid="4" name="currfile">
    <vt:lpwstr>\\cdchnas-evs02\home$\gabatt\vic gaar 2018-22 draft rin regulatory templates - ausnet - 20160922 (D2016-00122459).xlsx</vt:lpwstr>
  </property>
</Properties>
</file>